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3417" i="1" l="1"/>
  <c r="Q3417" i="1"/>
  <c r="L3417" i="1"/>
  <c r="K3417" i="1"/>
  <c r="J3417" i="1"/>
  <c r="H3417" i="1"/>
  <c r="F3417" i="1"/>
  <c r="D3417" i="1"/>
  <c r="B3417" i="1"/>
  <c r="S3416" i="1"/>
  <c r="L3416" i="1"/>
  <c r="K3416" i="1"/>
  <c r="J3416" i="1"/>
  <c r="H3416" i="1"/>
  <c r="F3416" i="1"/>
  <c r="D3416" i="1"/>
  <c r="B3416" i="1"/>
  <c r="S3415" i="1"/>
  <c r="L3415" i="1"/>
  <c r="K3415" i="1"/>
  <c r="J3415" i="1"/>
  <c r="H3415" i="1"/>
  <c r="F3415" i="1"/>
  <c r="D3415" i="1"/>
  <c r="B3415" i="1"/>
  <c r="S3414" i="1"/>
  <c r="L3414" i="1"/>
  <c r="K3414" i="1"/>
  <c r="J3414" i="1"/>
  <c r="H3414" i="1"/>
  <c r="F3414" i="1"/>
  <c r="D3414" i="1"/>
  <c r="B3414" i="1"/>
  <c r="S3413" i="1"/>
  <c r="L3413" i="1"/>
  <c r="K3413" i="1"/>
  <c r="J3413" i="1"/>
  <c r="H3413" i="1"/>
  <c r="F3413" i="1"/>
  <c r="D3413" i="1"/>
  <c r="B3413" i="1"/>
  <c r="S3412" i="1"/>
  <c r="Q3412" i="1"/>
  <c r="L3412" i="1"/>
  <c r="K3412" i="1"/>
  <c r="J3412" i="1"/>
  <c r="H3412" i="1"/>
  <c r="F3412" i="1"/>
  <c r="D3412" i="1"/>
  <c r="B3412" i="1"/>
  <c r="S3411" i="1"/>
  <c r="L3411" i="1"/>
  <c r="K3411" i="1"/>
  <c r="J3411" i="1"/>
  <c r="H3411" i="1"/>
  <c r="F3411" i="1"/>
  <c r="D3411" i="1"/>
  <c r="B3411" i="1"/>
  <c r="S3410" i="1"/>
  <c r="Q3410" i="1"/>
  <c r="L3410" i="1"/>
  <c r="K3410" i="1"/>
  <c r="J3410" i="1"/>
  <c r="H3410" i="1"/>
  <c r="F3410" i="1"/>
  <c r="D3410" i="1"/>
  <c r="B3410" i="1"/>
  <c r="S3409" i="1"/>
  <c r="Q3409" i="1"/>
  <c r="L3409" i="1"/>
  <c r="K3409" i="1"/>
  <c r="J3409" i="1"/>
  <c r="H3409" i="1"/>
  <c r="F3409" i="1"/>
  <c r="D3409" i="1"/>
  <c r="B3409" i="1"/>
  <c r="S3408" i="1"/>
  <c r="L3408" i="1"/>
  <c r="K3408" i="1"/>
  <c r="J3408" i="1"/>
  <c r="H3408" i="1"/>
  <c r="F3408" i="1"/>
  <c r="D3408" i="1"/>
  <c r="B3408" i="1"/>
  <c r="S3407" i="1"/>
  <c r="L3407" i="1"/>
  <c r="K3407" i="1"/>
  <c r="J3407" i="1"/>
  <c r="H3407" i="1"/>
  <c r="F3407" i="1"/>
  <c r="D3407" i="1"/>
  <c r="B3407" i="1"/>
  <c r="S3406" i="1"/>
  <c r="L3406" i="1"/>
  <c r="K3406" i="1"/>
  <c r="J3406" i="1"/>
  <c r="H3406" i="1"/>
  <c r="F3406" i="1"/>
  <c r="D3406" i="1"/>
  <c r="B3406" i="1"/>
  <c r="S3405" i="1"/>
  <c r="L3405" i="1"/>
  <c r="K3405" i="1"/>
  <c r="J3405" i="1"/>
  <c r="H3405" i="1"/>
  <c r="F3405" i="1"/>
  <c r="D3405" i="1"/>
  <c r="B3405" i="1"/>
  <c r="S3404" i="1"/>
  <c r="L3404" i="1"/>
  <c r="K3404" i="1"/>
  <c r="J3404" i="1"/>
  <c r="H3404" i="1"/>
  <c r="F3404" i="1"/>
  <c r="D3404" i="1"/>
  <c r="B3404" i="1"/>
  <c r="S3403" i="1"/>
  <c r="L3403" i="1"/>
  <c r="K3403" i="1"/>
  <c r="J3403" i="1"/>
  <c r="H3403" i="1"/>
  <c r="F3403" i="1"/>
  <c r="D3403" i="1"/>
  <c r="B3403" i="1"/>
  <c r="S3402" i="1"/>
  <c r="L3402" i="1"/>
  <c r="K3402" i="1"/>
  <c r="J3402" i="1"/>
  <c r="H3402" i="1"/>
  <c r="F3402" i="1"/>
  <c r="D3402" i="1"/>
  <c r="B3402" i="1"/>
  <c r="S3401" i="1"/>
  <c r="L3401" i="1"/>
  <c r="K3401" i="1"/>
  <c r="J3401" i="1"/>
  <c r="H3401" i="1"/>
  <c r="F3401" i="1"/>
  <c r="D3401" i="1"/>
  <c r="B3401" i="1"/>
  <c r="S3400" i="1"/>
  <c r="Q3400" i="1"/>
  <c r="L3400" i="1"/>
  <c r="K3400" i="1"/>
  <c r="J3400" i="1"/>
  <c r="H3400" i="1"/>
  <c r="F3400" i="1"/>
  <c r="D3400" i="1"/>
  <c r="B3400" i="1"/>
  <c r="S3399" i="1"/>
  <c r="Q3399" i="1"/>
  <c r="L3399" i="1"/>
  <c r="K3399" i="1"/>
  <c r="J3399" i="1"/>
  <c r="H3399" i="1"/>
  <c r="F3399" i="1"/>
  <c r="D3399" i="1"/>
  <c r="B3399" i="1"/>
  <c r="S3398" i="1"/>
  <c r="Q3398" i="1"/>
  <c r="L3398" i="1"/>
  <c r="K3398" i="1"/>
  <c r="J3398" i="1"/>
  <c r="H3398" i="1"/>
  <c r="F3398" i="1"/>
  <c r="D3398" i="1"/>
  <c r="B3398" i="1"/>
  <c r="S3397" i="1"/>
  <c r="L3397" i="1"/>
  <c r="K3397" i="1"/>
  <c r="J3397" i="1"/>
  <c r="H3397" i="1"/>
  <c r="F3397" i="1"/>
  <c r="D3397" i="1"/>
  <c r="B3397" i="1"/>
  <c r="S3396" i="1"/>
  <c r="Q3396" i="1"/>
  <c r="L3396" i="1"/>
  <c r="K3396" i="1"/>
  <c r="J3396" i="1"/>
  <c r="H3396" i="1"/>
  <c r="F3396" i="1"/>
  <c r="D3396" i="1"/>
  <c r="B3396" i="1"/>
  <c r="S3395" i="1"/>
  <c r="Q3395" i="1"/>
  <c r="L3395" i="1"/>
  <c r="K3395" i="1"/>
  <c r="J3395" i="1"/>
  <c r="H3395" i="1"/>
  <c r="F3395" i="1"/>
  <c r="D3395" i="1"/>
  <c r="B3395" i="1"/>
  <c r="S3394" i="1"/>
  <c r="Q3394" i="1"/>
  <c r="L3394" i="1"/>
  <c r="K3394" i="1"/>
  <c r="J3394" i="1"/>
  <c r="H3394" i="1"/>
  <c r="F3394" i="1"/>
  <c r="D3394" i="1"/>
  <c r="B3394" i="1"/>
  <c r="S3393" i="1"/>
  <c r="L3393" i="1"/>
  <c r="K3393" i="1"/>
  <c r="J3393" i="1"/>
  <c r="H3393" i="1"/>
  <c r="F3393" i="1"/>
  <c r="D3393" i="1"/>
  <c r="B3393" i="1"/>
  <c r="S3392" i="1"/>
  <c r="Q3392" i="1"/>
  <c r="L3392" i="1"/>
  <c r="K3392" i="1"/>
  <c r="J3392" i="1"/>
  <c r="H3392" i="1"/>
  <c r="F3392" i="1"/>
  <c r="D3392" i="1"/>
  <c r="B3392" i="1"/>
  <c r="S3391" i="1"/>
  <c r="Q3391" i="1"/>
  <c r="L3391" i="1"/>
  <c r="K3391" i="1"/>
  <c r="J3391" i="1"/>
  <c r="H3391" i="1"/>
  <c r="F3391" i="1"/>
  <c r="D3391" i="1"/>
  <c r="B3391" i="1"/>
  <c r="S3390" i="1"/>
  <c r="Q3390" i="1"/>
  <c r="L3390" i="1"/>
  <c r="K3390" i="1"/>
  <c r="J3390" i="1"/>
  <c r="H3390" i="1"/>
  <c r="F3390" i="1"/>
  <c r="D3390" i="1"/>
  <c r="B3390" i="1"/>
  <c r="S3389" i="1"/>
  <c r="L3389" i="1"/>
  <c r="K3389" i="1"/>
  <c r="J3389" i="1"/>
  <c r="H3389" i="1"/>
  <c r="F3389" i="1"/>
  <c r="D3389" i="1"/>
  <c r="B3389" i="1"/>
  <c r="S3388" i="1"/>
  <c r="L3388" i="1"/>
  <c r="K3388" i="1"/>
  <c r="J3388" i="1"/>
  <c r="H3388" i="1"/>
  <c r="F3388" i="1"/>
  <c r="D3388" i="1"/>
  <c r="B3388" i="1"/>
  <c r="S3387" i="1"/>
  <c r="L3387" i="1"/>
  <c r="K3387" i="1"/>
  <c r="J3387" i="1"/>
  <c r="H3387" i="1"/>
  <c r="F3387" i="1"/>
  <c r="D3387" i="1"/>
  <c r="B3387" i="1"/>
  <c r="S3386" i="1"/>
  <c r="L3386" i="1"/>
  <c r="K3386" i="1"/>
  <c r="J3386" i="1"/>
  <c r="H3386" i="1"/>
  <c r="F3386" i="1"/>
  <c r="D3386" i="1"/>
  <c r="B3386" i="1"/>
  <c r="S3385" i="1"/>
  <c r="L3385" i="1"/>
  <c r="K3385" i="1"/>
  <c r="J3385" i="1"/>
  <c r="H3385" i="1"/>
  <c r="F3385" i="1"/>
  <c r="D3385" i="1"/>
  <c r="B3385" i="1"/>
  <c r="S3384" i="1"/>
  <c r="L3384" i="1"/>
  <c r="K3384" i="1"/>
  <c r="J3384" i="1"/>
  <c r="H3384" i="1"/>
  <c r="F3384" i="1"/>
  <c r="D3384" i="1"/>
  <c r="B3384" i="1"/>
  <c r="S3383" i="1"/>
  <c r="Q3383" i="1"/>
  <c r="L3383" i="1"/>
  <c r="K3383" i="1"/>
  <c r="J3383" i="1"/>
  <c r="I3383" i="1"/>
  <c r="H3383" i="1"/>
  <c r="G3383" i="1"/>
  <c r="F3383" i="1"/>
  <c r="E3383" i="1"/>
  <c r="D3383" i="1"/>
  <c r="B3383" i="1"/>
  <c r="S3382" i="1"/>
  <c r="L3382" i="1"/>
  <c r="K3382" i="1"/>
  <c r="J3382" i="1"/>
  <c r="H3382" i="1"/>
  <c r="F3382" i="1"/>
  <c r="D3382" i="1"/>
  <c r="B3382" i="1"/>
  <c r="S3381" i="1"/>
  <c r="L3381" i="1"/>
  <c r="K3381" i="1"/>
  <c r="J3381" i="1"/>
  <c r="H3381" i="1"/>
  <c r="F3381" i="1"/>
  <c r="D3381" i="1"/>
  <c r="B3381" i="1"/>
  <c r="S3380" i="1"/>
  <c r="L3380" i="1"/>
  <c r="K3380" i="1"/>
  <c r="J3380" i="1"/>
  <c r="H3380" i="1"/>
  <c r="F3380" i="1"/>
  <c r="D3380" i="1"/>
  <c r="B3380" i="1"/>
  <c r="S3379" i="1"/>
  <c r="L3379" i="1"/>
  <c r="K3379" i="1"/>
  <c r="J3379" i="1"/>
  <c r="H3379" i="1"/>
  <c r="F3379" i="1"/>
  <c r="D3379" i="1"/>
  <c r="B3379" i="1"/>
  <c r="S3378" i="1"/>
  <c r="L3378" i="1"/>
  <c r="K3378" i="1"/>
  <c r="J3378" i="1"/>
  <c r="H3378" i="1"/>
  <c r="F3378" i="1"/>
  <c r="D3378" i="1"/>
  <c r="B3378" i="1"/>
  <c r="S3377" i="1"/>
  <c r="Q3377" i="1"/>
  <c r="L3377" i="1"/>
  <c r="K3377" i="1"/>
  <c r="J3377" i="1"/>
  <c r="H3377" i="1"/>
  <c r="F3377" i="1"/>
  <c r="D3377" i="1"/>
  <c r="B3377" i="1"/>
  <c r="S3376" i="1"/>
  <c r="Q3376" i="1"/>
  <c r="L3376" i="1"/>
  <c r="K3376" i="1"/>
  <c r="J3376" i="1"/>
  <c r="H3376" i="1"/>
  <c r="F3376" i="1"/>
  <c r="D3376" i="1"/>
  <c r="B3376" i="1"/>
  <c r="S3375" i="1"/>
  <c r="L3375" i="1"/>
  <c r="K3375" i="1"/>
  <c r="J3375" i="1"/>
  <c r="H3375" i="1"/>
  <c r="F3375" i="1"/>
  <c r="D3375" i="1"/>
  <c r="B3375" i="1"/>
  <c r="S3374" i="1"/>
  <c r="Q3374" i="1"/>
  <c r="L3374" i="1"/>
  <c r="K3374" i="1"/>
  <c r="J3374" i="1"/>
  <c r="H3374" i="1"/>
  <c r="F3374" i="1"/>
  <c r="D3374" i="1"/>
  <c r="B3374" i="1"/>
  <c r="S3373" i="1"/>
  <c r="Q3373" i="1"/>
  <c r="L3373" i="1"/>
  <c r="K3373" i="1"/>
  <c r="J3373" i="1"/>
  <c r="H3373" i="1"/>
  <c r="F3373" i="1"/>
  <c r="D3373" i="1"/>
  <c r="B3373" i="1"/>
  <c r="S3372" i="1"/>
  <c r="Q3372" i="1"/>
  <c r="L3372" i="1"/>
  <c r="K3372" i="1"/>
  <c r="J3372" i="1"/>
  <c r="H3372" i="1"/>
  <c r="F3372" i="1"/>
  <c r="D3372" i="1"/>
  <c r="B3372" i="1"/>
  <c r="S3371" i="1"/>
  <c r="Q3371" i="1"/>
  <c r="L3371" i="1"/>
  <c r="K3371" i="1"/>
  <c r="J3371" i="1"/>
  <c r="H3371" i="1"/>
  <c r="F3371" i="1"/>
  <c r="D3371" i="1"/>
  <c r="B3371" i="1"/>
  <c r="S3370" i="1"/>
  <c r="Q3370" i="1"/>
  <c r="L3370" i="1"/>
  <c r="K3370" i="1"/>
  <c r="J3370" i="1"/>
  <c r="H3370" i="1"/>
  <c r="F3370" i="1"/>
  <c r="D3370" i="1"/>
  <c r="B3370" i="1"/>
  <c r="S3369" i="1"/>
  <c r="Q3369" i="1"/>
  <c r="L3369" i="1"/>
  <c r="K3369" i="1"/>
  <c r="J3369" i="1"/>
  <c r="H3369" i="1"/>
  <c r="F3369" i="1"/>
  <c r="D3369" i="1"/>
  <c r="B3369" i="1"/>
  <c r="S3368" i="1"/>
  <c r="Q3368" i="1"/>
  <c r="L3368" i="1"/>
  <c r="K3368" i="1"/>
  <c r="J3368" i="1"/>
  <c r="H3368" i="1"/>
  <c r="F3368" i="1"/>
  <c r="D3368" i="1"/>
  <c r="B3368" i="1"/>
  <c r="S3367" i="1"/>
  <c r="L3367" i="1"/>
  <c r="K3367" i="1"/>
  <c r="J3367" i="1"/>
  <c r="H3367" i="1"/>
  <c r="F3367" i="1"/>
  <c r="D3367" i="1"/>
  <c r="B3367" i="1"/>
  <c r="S3366" i="1"/>
  <c r="Q3366" i="1"/>
  <c r="L3366" i="1"/>
  <c r="K3366" i="1"/>
  <c r="J3366" i="1"/>
  <c r="H3366" i="1"/>
  <c r="F3366" i="1"/>
  <c r="D3366" i="1"/>
  <c r="B3366" i="1"/>
  <c r="S3365" i="1"/>
  <c r="Q3365" i="1"/>
  <c r="L3365" i="1"/>
  <c r="K3365" i="1"/>
  <c r="J3365" i="1"/>
  <c r="H3365" i="1"/>
  <c r="F3365" i="1"/>
  <c r="D3365" i="1"/>
  <c r="B3365" i="1"/>
  <c r="S3364" i="1"/>
  <c r="L3364" i="1"/>
  <c r="K3364" i="1"/>
  <c r="J3364" i="1"/>
  <c r="H3364" i="1"/>
  <c r="F3364" i="1"/>
  <c r="D3364" i="1"/>
  <c r="B3364" i="1"/>
  <c r="S3363" i="1"/>
  <c r="Q3363" i="1"/>
  <c r="L3363" i="1"/>
  <c r="K3363" i="1"/>
  <c r="J3363" i="1"/>
  <c r="H3363" i="1"/>
  <c r="F3363" i="1"/>
  <c r="D3363" i="1"/>
  <c r="B3363" i="1"/>
  <c r="S3362" i="1"/>
  <c r="Q3362" i="1"/>
  <c r="L3362" i="1"/>
  <c r="K3362" i="1"/>
  <c r="J3362" i="1"/>
  <c r="H3362" i="1"/>
  <c r="F3362" i="1"/>
  <c r="D3362" i="1"/>
  <c r="B3362" i="1"/>
  <c r="S3361" i="1"/>
  <c r="Q3361" i="1"/>
  <c r="L3361" i="1"/>
  <c r="K3361" i="1"/>
  <c r="J3361" i="1"/>
  <c r="H3361" i="1"/>
  <c r="F3361" i="1"/>
  <c r="D3361" i="1"/>
  <c r="B3361" i="1"/>
  <c r="S3360" i="1"/>
  <c r="Q3360" i="1"/>
  <c r="L3360" i="1"/>
  <c r="K3360" i="1"/>
  <c r="J3360" i="1"/>
  <c r="H3360" i="1"/>
  <c r="F3360" i="1"/>
  <c r="D3360" i="1"/>
  <c r="B3360" i="1"/>
  <c r="S3359" i="1"/>
  <c r="Q3359" i="1"/>
  <c r="L3359" i="1"/>
  <c r="K3359" i="1"/>
  <c r="J3359" i="1"/>
  <c r="H3359" i="1"/>
  <c r="F3359" i="1"/>
  <c r="D3359" i="1"/>
  <c r="B3359" i="1"/>
  <c r="S3358" i="1"/>
  <c r="Q3358" i="1"/>
  <c r="L3358" i="1"/>
  <c r="K3358" i="1"/>
  <c r="J3358" i="1"/>
  <c r="H3358" i="1"/>
  <c r="F3358" i="1"/>
  <c r="D3358" i="1"/>
  <c r="B3358" i="1"/>
  <c r="S3357" i="1"/>
  <c r="Q3357" i="1"/>
  <c r="L3357" i="1"/>
  <c r="K3357" i="1"/>
  <c r="J3357" i="1"/>
  <c r="H3357" i="1"/>
  <c r="F3357" i="1"/>
  <c r="D3357" i="1"/>
  <c r="B3357" i="1"/>
  <c r="S3356" i="1"/>
  <c r="Q3356" i="1"/>
  <c r="L3356" i="1"/>
  <c r="K3356" i="1"/>
  <c r="J3356" i="1"/>
  <c r="H3356" i="1"/>
  <c r="F3356" i="1"/>
  <c r="D3356" i="1"/>
  <c r="B3356" i="1"/>
  <c r="S3355" i="1"/>
  <c r="L3355" i="1"/>
  <c r="K3355" i="1"/>
  <c r="J3355" i="1"/>
  <c r="H3355" i="1"/>
  <c r="F3355" i="1"/>
  <c r="D3355" i="1"/>
  <c r="B3355" i="1"/>
  <c r="S3354" i="1"/>
  <c r="L3354" i="1"/>
  <c r="K3354" i="1"/>
  <c r="J3354" i="1"/>
  <c r="H3354" i="1"/>
  <c r="F3354" i="1"/>
  <c r="D3354" i="1"/>
  <c r="B3354" i="1"/>
  <c r="S3353" i="1"/>
  <c r="Q3353" i="1"/>
  <c r="L3353" i="1"/>
  <c r="K3353" i="1"/>
  <c r="J3353" i="1"/>
  <c r="H3353" i="1"/>
  <c r="F3353" i="1"/>
  <c r="D3353" i="1"/>
  <c r="B3353" i="1"/>
  <c r="S3352" i="1"/>
  <c r="Q3352" i="1"/>
  <c r="L3352" i="1"/>
  <c r="K3352" i="1"/>
  <c r="J3352" i="1"/>
  <c r="H3352" i="1"/>
  <c r="F3352" i="1"/>
  <c r="D3352" i="1"/>
  <c r="B3352" i="1"/>
  <c r="S3351" i="1"/>
  <c r="Q3351" i="1"/>
  <c r="L3351" i="1"/>
  <c r="K3351" i="1"/>
  <c r="J3351" i="1"/>
  <c r="H3351" i="1"/>
  <c r="F3351" i="1"/>
  <c r="D3351" i="1"/>
  <c r="B3351" i="1"/>
  <c r="S3350" i="1"/>
  <c r="L3350" i="1"/>
  <c r="K3350" i="1"/>
  <c r="J3350" i="1"/>
  <c r="H3350" i="1"/>
  <c r="F3350" i="1"/>
  <c r="D3350" i="1"/>
  <c r="B3350" i="1"/>
  <c r="S3349" i="1"/>
  <c r="L3349" i="1"/>
  <c r="K3349" i="1"/>
  <c r="J3349" i="1"/>
  <c r="H3349" i="1"/>
  <c r="F3349" i="1"/>
  <c r="D3349" i="1"/>
  <c r="B3349" i="1"/>
  <c r="S3348" i="1"/>
  <c r="Q3348" i="1"/>
  <c r="L3348" i="1"/>
  <c r="K3348" i="1"/>
  <c r="J3348" i="1"/>
  <c r="H3348" i="1"/>
  <c r="F3348" i="1"/>
  <c r="D3348" i="1"/>
  <c r="B3348" i="1"/>
  <c r="S3347" i="1"/>
  <c r="L3347" i="1"/>
  <c r="K3347" i="1"/>
  <c r="J3347" i="1"/>
  <c r="H3347" i="1"/>
  <c r="F3347" i="1"/>
  <c r="D3347" i="1"/>
  <c r="B3347" i="1"/>
  <c r="S3346" i="1"/>
  <c r="Q3346" i="1"/>
  <c r="L3346" i="1"/>
  <c r="K3346" i="1"/>
  <c r="J3346" i="1"/>
  <c r="H3346" i="1"/>
  <c r="F3346" i="1"/>
  <c r="D3346" i="1"/>
  <c r="B3346" i="1"/>
  <c r="S3345" i="1"/>
  <c r="Q3345" i="1"/>
  <c r="L3345" i="1"/>
  <c r="K3345" i="1"/>
  <c r="J3345" i="1"/>
  <c r="H3345" i="1"/>
  <c r="F3345" i="1"/>
  <c r="D3345" i="1"/>
  <c r="B3345" i="1"/>
  <c r="S3344" i="1"/>
  <c r="L3344" i="1"/>
  <c r="K3344" i="1"/>
  <c r="J3344" i="1"/>
  <c r="H3344" i="1"/>
  <c r="F3344" i="1"/>
  <c r="D3344" i="1"/>
  <c r="B3344" i="1"/>
  <c r="S3343" i="1"/>
  <c r="Q3343" i="1"/>
  <c r="L3343" i="1"/>
  <c r="K3343" i="1"/>
  <c r="J3343" i="1"/>
  <c r="H3343" i="1"/>
  <c r="F3343" i="1"/>
  <c r="D3343" i="1"/>
  <c r="B3343" i="1"/>
  <c r="S3342" i="1"/>
  <c r="Q3342" i="1"/>
  <c r="L3342" i="1"/>
  <c r="K3342" i="1"/>
  <c r="J3342" i="1"/>
  <c r="I3342" i="1"/>
  <c r="H3342" i="1"/>
  <c r="G3342" i="1"/>
  <c r="F3342" i="1"/>
  <c r="D3342" i="1"/>
  <c r="B3342" i="1"/>
  <c r="S3341" i="1"/>
  <c r="Q3341" i="1"/>
  <c r="L3341" i="1"/>
  <c r="K3341" i="1"/>
  <c r="J3341" i="1"/>
  <c r="I3341" i="1"/>
  <c r="H3341" i="1"/>
  <c r="G3341" i="1"/>
  <c r="F3341" i="1"/>
  <c r="D3341" i="1"/>
  <c r="B3341" i="1"/>
  <c r="S3340" i="1"/>
  <c r="L3340" i="1"/>
  <c r="K3340" i="1"/>
  <c r="J3340" i="1"/>
  <c r="H3340" i="1"/>
  <c r="F3340" i="1"/>
  <c r="D3340" i="1"/>
  <c r="B3340" i="1"/>
  <c r="S3339" i="1"/>
  <c r="L3339" i="1"/>
  <c r="K3339" i="1"/>
  <c r="J3339" i="1"/>
  <c r="H3339" i="1"/>
  <c r="F3339" i="1"/>
  <c r="D3339" i="1"/>
  <c r="B3339" i="1"/>
  <c r="S3338" i="1"/>
  <c r="L3338" i="1"/>
  <c r="K3338" i="1"/>
  <c r="J3338" i="1"/>
  <c r="H3338" i="1"/>
  <c r="F3338" i="1"/>
  <c r="D3338" i="1"/>
  <c r="B3338" i="1"/>
  <c r="S3337" i="1"/>
  <c r="Q3337" i="1"/>
  <c r="L3337" i="1"/>
  <c r="K3337" i="1"/>
  <c r="J3337" i="1"/>
  <c r="I3337" i="1"/>
  <c r="H3337" i="1"/>
  <c r="F3337" i="1"/>
  <c r="D3337" i="1"/>
  <c r="B3337" i="1"/>
  <c r="S3336" i="1"/>
  <c r="L3336" i="1"/>
  <c r="K3336" i="1"/>
  <c r="J3336" i="1"/>
  <c r="H3336" i="1"/>
  <c r="F3336" i="1"/>
  <c r="D3336" i="1"/>
  <c r="B3336" i="1"/>
  <c r="S3335" i="1"/>
  <c r="L3335" i="1"/>
  <c r="K3335" i="1"/>
  <c r="J3335" i="1"/>
  <c r="H3335" i="1"/>
  <c r="F3335" i="1"/>
  <c r="D3335" i="1"/>
  <c r="B3335" i="1"/>
  <c r="S3334" i="1"/>
  <c r="L3334" i="1"/>
  <c r="K3334" i="1"/>
  <c r="J3334" i="1"/>
  <c r="H3334" i="1"/>
  <c r="F3334" i="1"/>
  <c r="D3334" i="1"/>
  <c r="B3334" i="1"/>
  <c r="S3333" i="1"/>
  <c r="Q3333" i="1"/>
  <c r="L3333" i="1"/>
  <c r="K3333" i="1"/>
  <c r="J3333" i="1"/>
  <c r="H3333" i="1"/>
  <c r="F3333" i="1"/>
  <c r="D3333" i="1"/>
  <c r="B3333" i="1"/>
  <c r="S3332" i="1"/>
  <c r="L3332" i="1"/>
  <c r="K3332" i="1"/>
  <c r="J3332" i="1"/>
  <c r="H3332" i="1"/>
  <c r="F3332" i="1"/>
  <c r="D3332" i="1"/>
  <c r="B3332" i="1"/>
  <c r="S3331" i="1"/>
  <c r="L3331" i="1"/>
  <c r="K3331" i="1"/>
  <c r="J3331" i="1"/>
  <c r="H3331" i="1"/>
  <c r="F3331" i="1"/>
  <c r="D3331" i="1"/>
  <c r="B3331" i="1"/>
  <c r="S3330" i="1"/>
  <c r="L3330" i="1"/>
  <c r="K3330" i="1"/>
  <c r="J3330" i="1"/>
  <c r="H3330" i="1"/>
  <c r="F3330" i="1"/>
  <c r="D3330" i="1"/>
  <c r="B3330" i="1"/>
  <c r="S3329" i="1"/>
  <c r="L3329" i="1"/>
  <c r="K3329" i="1"/>
  <c r="J3329" i="1"/>
  <c r="H3329" i="1"/>
  <c r="F3329" i="1"/>
  <c r="D3329" i="1"/>
  <c r="B3329" i="1"/>
  <c r="S3328" i="1"/>
  <c r="L3328" i="1"/>
  <c r="K3328" i="1"/>
  <c r="J3328" i="1"/>
  <c r="H3328" i="1"/>
  <c r="F3328" i="1"/>
  <c r="D3328" i="1"/>
  <c r="B3328" i="1"/>
  <c r="S3327" i="1"/>
  <c r="L3327" i="1"/>
  <c r="K3327" i="1"/>
  <c r="J3327" i="1"/>
  <c r="H3327" i="1"/>
  <c r="F3327" i="1"/>
  <c r="D3327" i="1"/>
  <c r="B3327" i="1"/>
  <c r="S3326" i="1"/>
  <c r="L3326" i="1"/>
  <c r="K3326" i="1"/>
  <c r="J3326" i="1"/>
  <c r="H3326" i="1"/>
  <c r="F3326" i="1"/>
  <c r="D3326" i="1"/>
  <c r="B3326" i="1"/>
  <c r="S3325" i="1"/>
  <c r="L3325" i="1"/>
  <c r="K3325" i="1"/>
  <c r="J3325" i="1"/>
  <c r="H3325" i="1"/>
  <c r="F3325" i="1"/>
  <c r="D3325" i="1"/>
  <c r="B3325" i="1"/>
  <c r="S3324" i="1"/>
  <c r="L3324" i="1"/>
  <c r="K3324" i="1"/>
  <c r="J3324" i="1"/>
  <c r="H3324" i="1"/>
  <c r="F3324" i="1"/>
  <c r="D3324" i="1"/>
  <c r="B3324" i="1"/>
  <c r="S3323" i="1"/>
  <c r="L3323" i="1"/>
  <c r="K3323" i="1"/>
  <c r="J3323" i="1"/>
  <c r="H3323" i="1"/>
  <c r="F3323" i="1"/>
  <c r="D3323" i="1"/>
  <c r="B3323" i="1"/>
  <c r="S3322" i="1"/>
  <c r="L3322" i="1"/>
  <c r="K3322" i="1"/>
  <c r="J3322" i="1"/>
  <c r="H3322" i="1"/>
  <c r="F3322" i="1"/>
  <c r="D3322" i="1"/>
  <c r="B3322" i="1"/>
  <c r="S3321" i="1"/>
  <c r="Q3321" i="1"/>
  <c r="L3321" i="1"/>
  <c r="K3321" i="1"/>
  <c r="J3321" i="1"/>
  <c r="H3321" i="1"/>
  <c r="F3321" i="1"/>
  <c r="D3321" i="1"/>
  <c r="B3321" i="1"/>
  <c r="S3320" i="1"/>
  <c r="L3320" i="1"/>
  <c r="K3320" i="1"/>
  <c r="J3320" i="1"/>
  <c r="H3320" i="1"/>
  <c r="F3320" i="1"/>
  <c r="D3320" i="1"/>
  <c r="B3320" i="1"/>
  <c r="S3319" i="1"/>
  <c r="L3319" i="1"/>
  <c r="K3319" i="1"/>
  <c r="J3319" i="1"/>
  <c r="H3319" i="1"/>
  <c r="F3319" i="1"/>
  <c r="D3319" i="1"/>
  <c r="B3319" i="1"/>
  <c r="S3318" i="1"/>
  <c r="L3318" i="1"/>
  <c r="K3318" i="1"/>
  <c r="J3318" i="1"/>
  <c r="H3318" i="1"/>
  <c r="F3318" i="1"/>
  <c r="D3318" i="1"/>
  <c r="B3318" i="1"/>
  <c r="S3317" i="1"/>
  <c r="L3317" i="1"/>
  <c r="K3317" i="1"/>
  <c r="J3317" i="1"/>
  <c r="H3317" i="1"/>
  <c r="F3317" i="1"/>
  <c r="D3317" i="1"/>
  <c r="B3317" i="1"/>
  <c r="S3316" i="1"/>
  <c r="L3316" i="1"/>
  <c r="K3316" i="1"/>
  <c r="J3316" i="1"/>
  <c r="H3316" i="1"/>
  <c r="F3316" i="1"/>
  <c r="D3316" i="1"/>
  <c r="B3316" i="1"/>
  <c r="S3315" i="1"/>
  <c r="Q3315" i="1"/>
  <c r="L3315" i="1"/>
  <c r="K3315" i="1"/>
  <c r="J3315" i="1"/>
  <c r="I3315" i="1"/>
  <c r="H3315" i="1"/>
  <c r="G3315" i="1"/>
  <c r="F3315" i="1"/>
  <c r="D3315" i="1"/>
  <c r="B3315" i="1"/>
  <c r="S3314" i="1"/>
  <c r="L3314" i="1"/>
  <c r="K3314" i="1"/>
  <c r="J3314" i="1"/>
  <c r="H3314" i="1"/>
  <c r="F3314" i="1"/>
  <c r="D3314" i="1"/>
  <c r="B3314" i="1"/>
  <c r="S3313" i="1"/>
  <c r="Q3313" i="1"/>
  <c r="L3313" i="1"/>
  <c r="K3313" i="1"/>
  <c r="J3313" i="1"/>
  <c r="H3313" i="1"/>
  <c r="F3313" i="1"/>
  <c r="D3313" i="1"/>
  <c r="B3313" i="1"/>
  <c r="S3312" i="1"/>
  <c r="L3312" i="1"/>
  <c r="K3312" i="1"/>
  <c r="J3312" i="1"/>
  <c r="H3312" i="1"/>
  <c r="F3312" i="1"/>
  <c r="D3312" i="1"/>
  <c r="B3312" i="1"/>
  <c r="S3311" i="1"/>
  <c r="L3311" i="1"/>
  <c r="K3311" i="1"/>
  <c r="J3311" i="1"/>
  <c r="H3311" i="1"/>
  <c r="F3311" i="1"/>
  <c r="D3311" i="1"/>
  <c r="B3311" i="1"/>
  <c r="S3310" i="1"/>
  <c r="L3310" i="1"/>
  <c r="K3310" i="1"/>
  <c r="J3310" i="1"/>
  <c r="H3310" i="1"/>
  <c r="F3310" i="1"/>
  <c r="D3310" i="1"/>
  <c r="B3310" i="1"/>
  <c r="S3309" i="1"/>
  <c r="Q3309" i="1"/>
  <c r="L3309" i="1"/>
  <c r="K3309" i="1"/>
  <c r="J3309" i="1"/>
  <c r="H3309" i="1"/>
  <c r="F3309" i="1"/>
  <c r="D3309" i="1"/>
  <c r="B3309" i="1"/>
  <c r="S3308" i="1"/>
  <c r="L3308" i="1"/>
  <c r="K3308" i="1"/>
  <c r="J3308" i="1"/>
  <c r="H3308" i="1"/>
  <c r="F3308" i="1"/>
  <c r="D3308" i="1"/>
  <c r="B3308" i="1"/>
  <c r="S3307" i="1"/>
  <c r="L3307" i="1"/>
  <c r="K3307" i="1"/>
  <c r="J3307" i="1"/>
  <c r="H3307" i="1"/>
  <c r="F3307" i="1"/>
  <c r="D3307" i="1"/>
  <c r="B3307" i="1"/>
  <c r="S3306" i="1"/>
  <c r="L3306" i="1"/>
  <c r="K3306" i="1"/>
  <c r="J3306" i="1"/>
  <c r="H3306" i="1"/>
  <c r="F3306" i="1"/>
  <c r="D3306" i="1"/>
  <c r="B3306" i="1"/>
  <c r="S3305" i="1"/>
  <c r="L3305" i="1"/>
  <c r="K3305" i="1"/>
  <c r="J3305" i="1"/>
  <c r="H3305" i="1"/>
  <c r="F3305" i="1"/>
  <c r="D3305" i="1"/>
  <c r="B3305" i="1"/>
  <c r="S3304" i="1"/>
  <c r="L3304" i="1"/>
  <c r="K3304" i="1"/>
  <c r="J3304" i="1"/>
  <c r="H3304" i="1"/>
  <c r="F3304" i="1"/>
  <c r="D3304" i="1"/>
  <c r="B3304" i="1"/>
  <c r="S3303" i="1"/>
  <c r="L3303" i="1"/>
  <c r="K3303" i="1"/>
  <c r="J3303" i="1"/>
  <c r="H3303" i="1"/>
  <c r="F3303" i="1"/>
  <c r="D3303" i="1"/>
  <c r="B3303" i="1"/>
  <c r="S3302" i="1"/>
  <c r="L3302" i="1"/>
  <c r="K3302" i="1"/>
  <c r="J3302" i="1"/>
  <c r="H3302" i="1"/>
  <c r="F3302" i="1"/>
  <c r="D3302" i="1"/>
  <c r="B3302" i="1"/>
  <c r="S3301" i="1"/>
  <c r="L3301" i="1"/>
  <c r="K3301" i="1"/>
  <c r="J3301" i="1"/>
  <c r="H3301" i="1"/>
  <c r="F3301" i="1"/>
  <c r="D3301" i="1"/>
  <c r="B3301" i="1"/>
  <c r="S3300" i="1"/>
  <c r="L3300" i="1"/>
  <c r="K3300" i="1"/>
  <c r="J3300" i="1"/>
  <c r="H3300" i="1"/>
  <c r="F3300" i="1"/>
  <c r="D3300" i="1"/>
  <c r="B3300" i="1"/>
  <c r="S3299" i="1"/>
  <c r="L3299" i="1"/>
  <c r="K3299" i="1"/>
  <c r="J3299" i="1"/>
  <c r="H3299" i="1"/>
  <c r="F3299" i="1"/>
  <c r="D3299" i="1"/>
  <c r="B3299" i="1"/>
  <c r="S3298" i="1"/>
  <c r="L3298" i="1"/>
  <c r="K3298" i="1"/>
  <c r="J3298" i="1"/>
  <c r="H3298" i="1"/>
  <c r="F3298" i="1"/>
  <c r="D3298" i="1"/>
  <c r="B3298" i="1"/>
  <c r="S3297" i="1"/>
  <c r="L3297" i="1"/>
  <c r="K3297" i="1"/>
  <c r="J3297" i="1"/>
  <c r="H3297" i="1"/>
  <c r="F3297" i="1"/>
  <c r="D3297" i="1"/>
  <c r="B3297" i="1"/>
  <c r="S3296" i="1"/>
  <c r="L3296" i="1"/>
  <c r="K3296" i="1"/>
  <c r="J3296" i="1"/>
  <c r="H3296" i="1"/>
  <c r="F3296" i="1"/>
  <c r="D3296" i="1"/>
  <c r="B3296" i="1"/>
  <c r="S3295" i="1"/>
  <c r="L3295" i="1"/>
  <c r="K3295" i="1"/>
  <c r="J3295" i="1"/>
  <c r="H3295" i="1"/>
  <c r="F3295" i="1"/>
  <c r="D3295" i="1"/>
  <c r="B3295" i="1"/>
  <c r="S3294" i="1"/>
  <c r="L3294" i="1"/>
  <c r="K3294" i="1"/>
  <c r="J3294" i="1"/>
  <c r="H3294" i="1"/>
  <c r="F3294" i="1"/>
  <c r="D3294" i="1"/>
  <c r="B3294" i="1"/>
  <c r="S3293" i="1"/>
  <c r="Q3293" i="1"/>
  <c r="L3293" i="1"/>
  <c r="K3293" i="1"/>
  <c r="J3293" i="1"/>
  <c r="I3293" i="1"/>
  <c r="H3293" i="1"/>
  <c r="F3293" i="1"/>
  <c r="D3293" i="1"/>
  <c r="B3293" i="1"/>
  <c r="S3292" i="1"/>
  <c r="L3292" i="1"/>
  <c r="K3292" i="1"/>
  <c r="J3292" i="1"/>
  <c r="H3292" i="1"/>
  <c r="F3292" i="1"/>
  <c r="D3292" i="1"/>
  <c r="B3292" i="1"/>
  <c r="S3291" i="1"/>
  <c r="Q3291" i="1"/>
  <c r="L3291" i="1"/>
  <c r="K3291" i="1"/>
  <c r="J3291" i="1"/>
  <c r="H3291" i="1"/>
  <c r="F3291" i="1"/>
  <c r="D3291" i="1"/>
  <c r="B3291" i="1"/>
  <c r="S3290" i="1"/>
  <c r="L3290" i="1"/>
  <c r="K3290" i="1"/>
  <c r="J3290" i="1"/>
  <c r="H3290" i="1"/>
  <c r="F3290" i="1"/>
  <c r="D3290" i="1"/>
  <c r="B3290" i="1"/>
  <c r="S3289" i="1"/>
  <c r="L3289" i="1"/>
  <c r="K3289" i="1"/>
  <c r="J3289" i="1"/>
  <c r="H3289" i="1"/>
  <c r="F3289" i="1"/>
  <c r="D3289" i="1"/>
  <c r="B3289" i="1"/>
  <c r="S3288" i="1"/>
  <c r="Q3288" i="1"/>
  <c r="L3288" i="1"/>
  <c r="K3288" i="1"/>
  <c r="J3288" i="1"/>
  <c r="H3288" i="1"/>
  <c r="F3288" i="1"/>
  <c r="D3288" i="1"/>
  <c r="B3288" i="1"/>
  <c r="S3287" i="1"/>
  <c r="L3287" i="1"/>
  <c r="K3287" i="1"/>
  <c r="J3287" i="1"/>
  <c r="H3287" i="1"/>
  <c r="F3287" i="1"/>
  <c r="D3287" i="1"/>
  <c r="B3287" i="1"/>
  <c r="S3286" i="1"/>
  <c r="L3286" i="1"/>
  <c r="K3286" i="1"/>
  <c r="J3286" i="1"/>
  <c r="H3286" i="1"/>
  <c r="F3286" i="1"/>
  <c r="D3286" i="1"/>
  <c r="B3286" i="1"/>
  <c r="S3285" i="1"/>
  <c r="Q3285" i="1"/>
  <c r="L3285" i="1"/>
  <c r="K3285" i="1"/>
  <c r="J3285" i="1"/>
  <c r="I3285" i="1"/>
  <c r="H3285" i="1"/>
  <c r="F3285" i="1"/>
  <c r="D3285" i="1"/>
  <c r="B3285" i="1"/>
  <c r="S3284" i="1"/>
  <c r="Q3284" i="1"/>
  <c r="L3284" i="1"/>
  <c r="K3284" i="1"/>
  <c r="J3284" i="1"/>
  <c r="H3284" i="1"/>
  <c r="F3284" i="1"/>
  <c r="D3284" i="1"/>
  <c r="B3284" i="1"/>
  <c r="S3283" i="1"/>
  <c r="Q3283" i="1"/>
  <c r="L3283" i="1"/>
  <c r="K3283" i="1"/>
  <c r="J3283" i="1"/>
  <c r="H3283" i="1"/>
  <c r="F3283" i="1"/>
  <c r="D3283" i="1"/>
  <c r="B3283" i="1"/>
  <c r="S3282" i="1"/>
  <c r="Q3282" i="1"/>
  <c r="L3282" i="1"/>
  <c r="K3282" i="1"/>
  <c r="J3282" i="1"/>
  <c r="H3282" i="1"/>
  <c r="F3282" i="1"/>
  <c r="D3282" i="1"/>
  <c r="B3282" i="1"/>
  <c r="S3281" i="1"/>
  <c r="Q3281" i="1"/>
  <c r="L3281" i="1"/>
  <c r="K3281" i="1"/>
  <c r="J3281" i="1"/>
  <c r="H3281" i="1"/>
  <c r="F3281" i="1"/>
  <c r="D3281" i="1"/>
  <c r="B3281" i="1"/>
  <c r="S3280" i="1"/>
  <c r="Q3280" i="1"/>
  <c r="L3280" i="1"/>
  <c r="K3280" i="1"/>
  <c r="J3280" i="1"/>
  <c r="H3280" i="1"/>
  <c r="F3280" i="1"/>
  <c r="D3280" i="1"/>
  <c r="B3280" i="1"/>
  <c r="S3279" i="1"/>
  <c r="Q3279" i="1"/>
  <c r="L3279" i="1"/>
  <c r="K3279" i="1"/>
  <c r="J3279" i="1"/>
  <c r="H3279" i="1"/>
  <c r="F3279" i="1"/>
  <c r="D3279" i="1"/>
  <c r="B3279" i="1"/>
  <c r="S3278" i="1"/>
  <c r="Q3278" i="1"/>
  <c r="L3278" i="1"/>
  <c r="K3278" i="1"/>
  <c r="J3278" i="1"/>
  <c r="H3278" i="1"/>
  <c r="F3278" i="1"/>
  <c r="D3278" i="1"/>
  <c r="B3278" i="1"/>
  <c r="S3277" i="1"/>
  <c r="Q3277" i="1"/>
  <c r="L3277" i="1"/>
  <c r="K3277" i="1"/>
  <c r="J3277" i="1"/>
  <c r="H3277" i="1"/>
  <c r="F3277" i="1"/>
  <c r="D3277" i="1"/>
  <c r="B3277" i="1"/>
  <c r="S3276" i="1"/>
  <c r="Q3276" i="1"/>
  <c r="L3276" i="1"/>
  <c r="K3276" i="1"/>
  <c r="J3276" i="1"/>
  <c r="H3276" i="1"/>
  <c r="F3276" i="1"/>
  <c r="D3276" i="1"/>
  <c r="B3276" i="1"/>
  <c r="S3275" i="1"/>
  <c r="L3275" i="1"/>
  <c r="K3275" i="1"/>
  <c r="J3275" i="1"/>
  <c r="H3275" i="1"/>
  <c r="F3275" i="1"/>
  <c r="D3275" i="1"/>
  <c r="B3275" i="1"/>
  <c r="S3274" i="1"/>
  <c r="Q3274" i="1"/>
  <c r="L3274" i="1"/>
  <c r="K3274" i="1"/>
  <c r="J3274" i="1"/>
  <c r="H3274" i="1"/>
  <c r="F3274" i="1"/>
  <c r="D3274" i="1"/>
  <c r="B3274" i="1"/>
  <c r="S3273" i="1"/>
  <c r="Q3273" i="1"/>
  <c r="L3273" i="1"/>
  <c r="K3273" i="1"/>
  <c r="J3273" i="1"/>
  <c r="H3273" i="1"/>
  <c r="F3273" i="1"/>
  <c r="D3273" i="1"/>
  <c r="B3273" i="1"/>
  <c r="S3272" i="1"/>
  <c r="Q3272" i="1"/>
  <c r="L3272" i="1"/>
  <c r="K3272" i="1"/>
  <c r="J3272" i="1"/>
  <c r="H3272" i="1"/>
  <c r="F3272" i="1"/>
  <c r="D3272" i="1"/>
  <c r="B3272" i="1"/>
  <c r="S3271" i="1"/>
  <c r="Q3271" i="1"/>
  <c r="L3271" i="1"/>
  <c r="K3271" i="1"/>
  <c r="J3271" i="1"/>
  <c r="H3271" i="1"/>
  <c r="F3271" i="1"/>
  <c r="D3271" i="1"/>
  <c r="B3271" i="1"/>
  <c r="S3270" i="1"/>
  <c r="Q3270" i="1"/>
  <c r="L3270" i="1"/>
  <c r="K3270" i="1"/>
  <c r="J3270" i="1"/>
  <c r="H3270" i="1"/>
  <c r="F3270" i="1"/>
  <c r="D3270" i="1"/>
  <c r="B3270" i="1"/>
  <c r="S3269" i="1"/>
  <c r="Q3269" i="1"/>
  <c r="L3269" i="1"/>
  <c r="K3269" i="1"/>
  <c r="J3269" i="1"/>
  <c r="H3269" i="1"/>
  <c r="F3269" i="1"/>
  <c r="D3269" i="1"/>
  <c r="B3269" i="1"/>
  <c r="S3268" i="1"/>
  <c r="Q3268" i="1"/>
  <c r="L3268" i="1"/>
  <c r="K3268" i="1"/>
  <c r="J3268" i="1"/>
  <c r="H3268" i="1"/>
  <c r="F3268" i="1"/>
  <c r="D3268" i="1"/>
  <c r="B3268" i="1"/>
  <c r="S3267" i="1"/>
  <c r="Q3267" i="1"/>
  <c r="L3267" i="1"/>
  <c r="K3267" i="1"/>
  <c r="J3267" i="1"/>
  <c r="H3267" i="1"/>
  <c r="F3267" i="1"/>
  <c r="D3267" i="1"/>
  <c r="B3267" i="1"/>
  <c r="S3266" i="1"/>
  <c r="Q3266" i="1"/>
  <c r="L3266" i="1"/>
  <c r="K3266" i="1"/>
  <c r="J3266" i="1"/>
  <c r="H3266" i="1"/>
  <c r="F3266" i="1"/>
  <c r="D3266" i="1"/>
  <c r="B3266" i="1"/>
  <c r="S3265" i="1"/>
  <c r="L3265" i="1"/>
  <c r="K3265" i="1"/>
  <c r="J3265" i="1"/>
  <c r="H3265" i="1"/>
  <c r="F3265" i="1"/>
  <c r="D3265" i="1"/>
  <c r="B3265" i="1"/>
  <c r="S3264" i="1"/>
  <c r="L3264" i="1"/>
  <c r="K3264" i="1"/>
  <c r="J3264" i="1"/>
  <c r="H3264" i="1"/>
  <c r="F3264" i="1"/>
  <c r="D3264" i="1"/>
  <c r="B3264" i="1"/>
  <c r="S3263" i="1"/>
  <c r="Q3263" i="1"/>
  <c r="L3263" i="1"/>
  <c r="K3263" i="1"/>
  <c r="J3263" i="1"/>
  <c r="H3263" i="1"/>
  <c r="F3263" i="1"/>
  <c r="D3263" i="1"/>
  <c r="B3263" i="1"/>
  <c r="S3262" i="1"/>
  <c r="Q3262" i="1"/>
  <c r="L3262" i="1"/>
  <c r="K3262" i="1"/>
  <c r="J3262" i="1"/>
  <c r="H3262" i="1"/>
  <c r="F3262" i="1"/>
  <c r="D3262" i="1"/>
  <c r="B3262" i="1"/>
  <c r="S3261" i="1"/>
  <c r="L3261" i="1"/>
  <c r="K3261" i="1"/>
  <c r="J3261" i="1"/>
  <c r="H3261" i="1"/>
  <c r="F3261" i="1"/>
  <c r="D3261" i="1"/>
  <c r="B3261" i="1"/>
  <c r="S3260" i="1"/>
  <c r="Q3260" i="1"/>
  <c r="L3260" i="1"/>
  <c r="K3260" i="1"/>
  <c r="J3260" i="1"/>
  <c r="H3260" i="1"/>
  <c r="F3260" i="1"/>
  <c r="D3260" i="1"/>
  <c r="B3260" i="1"/>
  <c r="S3259" i="1"/>
  <c r="Q3259" i="1"/>
  <c r="L3259" i="1"/>
  <c r="K3259" i="1"/>
  <c r="J3259" i="1"/>
  <c r="H3259" i="1"/>
  <c r="F3259" i="1"/>
  <c r="D3259" i="1"/>
  <c r="B3259" i="1"/>
  <c r="S3258" i="1"/>
  <c r="Q3258" i="1"/>
  <c r="L3258" i="1"/>
  <c r="K3258" i="1"/>
  <c r="J3258" i="1"/>
  <c r="H3258" i="1"/>
  <c r="F3258" i="1"/>
  <c r="D3258" i="1"/>
  <c r="B3258" i="1"/>
  <c r="S3257" i="1"/>
  <c r="L3257" i="1"/>
  <c r="K3257" i="1"/>
  <c r="J3257" i="1"/>
  <c r="H3257" i="1"/>
  <c r="F3257" i="1"/>
  <c r="D3257" i="1"/>
  <c r="B3257" i="1"/>
  <c r="S3256" i="1"/>
  <c r="L3256" i="1"/>
  <c r="K3256" i="1"/>
  <c r="J3256" i="1"/>
  <c r="H3256" i="1"/>
  <c r="F3256" i="1"/>
  <c r="D3256" i="1"/>
  <c r="B3256" i="1"/>
  <c r="S3255" i="1"/>
  <c r="Q3255" i="1"/>
  <c r="L3255" i="1"/>
  <c r="K3255" i="1"/>
  <c r="J3255" i="1"/>
  <c r="H3255" i="1"/>
  <c r="F3255" i="1"/>
  <c r="D3255" i="1"/>
  <c r="B3255" i="1"/>
  <c r="S3254" i="1"/>
  <c r="L3254" i="1"/>
  <c r="K3254" i="1"/>
  <c r="J3254" i="1"/>
  <c r="H3254" i="1"/>
  <c r="F3254" i="1"/>
  <c r="D3254" i="1"/>
  <c r="B3254" i="1"/>
  <c r="S3253" i="1"/>
  <c r="L3253" i="1"/>
  <c r="K3253" i="1"/>
  <c r="J3253" i="1"/>
  <c r="H3253" i="1"/>
  <c r="F3253" i="1"/>
  <c r="D3253" i="1"/>
  <c r="B3253" i="1"/>
  <c r="S3252" i="1"/>
  <c r="L3252" i="1"/>
  <c r="K3252" i="1"/>
  <c r="J3252" i="1"/>
  <c r="H3252" i="1"/>
  <c r="F3252" i="1"/>
  <c r="D3252" i="1"/>
  <c r="B3252" i="1"/>
  <c r="S3251" i="1"/>
  <c r="L3251" i="1"/>
  <c r="K3251" i="1"/>
  <c r="J3251" i="1"/>
  <c r="H3251" i="1"/>
  <c r="F3251" i="1"/>
  <c r="D3251" i="1"/>
  <c r="B3251" i="1"/>
  <c r="S3250" i="1"/>
  <c r="Q3250" i="1"/>
  <c r="L3250" i="1"/>
  <c r="K3250" i="1"/>
  <c r="J3250" i="1"/>
  <c r="H3250" i="1"/>
  <c r="F3250" i="1"/>
  <c r="D3250" i="1"/>
  <c r="B3250" i="1"/>
  <c r="S3249" i="1"/>
  <c r="Q3249" i="1"/>
  <c r="L3249" i="1"/>
  <c r="K3249" i="1"/>
  <c r="J3249" i="1"/>
  <c r="H3249" i="1"/>
  <c r="F3249" i="1"/>
  <c r="D3249" i="1"/>
  <c r="B3249" i="1"/>
  <c r="S3248" i="1"/>
  <c r="L3248" i="1"/>
  <c r="K3248" i="1"/>
  <c r="J3248" i="1"/>
  <c r="H3248" i="1"/>
  <c r="F3248" i="1"/>
  <c r="D3248" i="1"/>
  <c r="B3248" i="1"/>
  <c r="S3247" i="1"/>
  <c r="L3247" i="1"/>
  <c r="K3247" i="1"/>
  <c r="J3247" i="1"/>
  <c r="H3247" i="1"/>
  <c r="F3247" i="1"/>
  <c r="D3247" i="1"/>
  <c r="B3247" i="1"/>
  <c r="S3246" i="1"/>
  <c r="L3246" i="1"/>
  <c r="K3246" i="1"/>
  <c r="J3246" i="1"/>
  <c r="H3246" i="1"/>
  <c r="F3246" i="1"/>
  <c r="D3246" i="1"/>
  <c r="B3246" i="1"/>
  <c r="S3245" i="1"/>
  <c r="Q3245" i="1"/>
  <c r="L3245" i="1"/>
  <c r="K3245" i="1"/>
  <c r="J3245" i="1"/>
  <c r="H3245" i="1"/>
  <c r="F3245" i="1"/>
  <c r="D3245" i="1"/>
  <c r="B3245" i="1"/>
  <c r="S3244" i="1"/>
  <c r="Q3244" i="1"/>
  <c r="L3244" i="1"/>
  <c r="K3244" i="1"/>
  <c r="J3244" i="1"/>
  <c r="H3244" i="1"/>
  <c r="F3244" i="1"/>
  <c r="D3244" i="1"/>
  <c r="B3244" i="1"/>
  <c r="S3243" i="1"/>
  <c r="Q3243" i="1"/>
  <c r="L3243" i="1"/>
  <c r="K3243" i="1"/>
  <c r="J3243" i="1"/>
  <c r="H3243" i="1"/>
  <c r="F3243" i="1"/>
  <c r="D3243" i="1"/>
  <c r="B3243" i="1"/>
  <c r="S3242" i="1"/>
  <c r="Q3242" i="1"/>
  <c r="L3242" i="1"/>
  <c r="K3242" i="1"/>
  <c r="J3242" i="1"/>
  <c r="H3242" i="1"/>
  <c r="F3242" i="1"/>
  <c r="D3242" i="1"/>
  <c r="B3242" i="1"/>
  <c r="S3241" i="1"/>
  <c r="Q3241" i="1"/>
  <c r="L3241" i="1"/>
  <c r="K3241" i="1"/>
  <c r="J3241" i="1"/>
  <c r="H3241" i="1"/>
  <c r="F3241" i="1"/>
  <c r="D3241" i="1"/>
  <c r="B3241" i="1"/>
  <c r="S3240" i="1"/>
  <c r="L3240" i="1"/>
  <c r="K3240" i="1"/>
  <c r="J3240" i="1"/>
  <c r="H3240" i="1"/>
  <c r="F3240" i="1"/>
  <c r="D3240" i="1"/>
  <c r="B3240" i="1"/>
  <c r="S3239" i="1"/>
  <c r="Q3239" i="1"/>
  <c r="L3239" i="1"/>
  <c r="K3239" i="1"/>
  <c r="J3239" i="1"/>
  <c r="H3239" i="1"/>
  <c r="F3239" i="1"/>
  <c r="D3239" i="1"/>
  <c r="B3239" i="1"/>
  <c r="S3238" i="1"/>
  <c r="Q3238" i="1"/>
  <c r="L3238" i="1"/>
  <c r="K3238" i="1"/>
  <c r="J3238" i="1"/>
  <c r="H3238" i="1"/>
  <c r="F3238" i="1"/>
  <c r="D3238" i="1"/>
  <c r="B3238" i="1"/>
  <c r="S3237" i="1"/>
  <c r="L3237" i="1"/>
  <c r="K3237" i="1"/>
  <c r="J3237" i="1"/>
  <c r="H3237" i="1"/>
  <c r="F3237" i="1"/>
  <c r="D3237" i="1"/>
  <c r="B3237" i="1"/>
  <c r="S3236" i="1"/>
  <c r="L3236" i="1"/>
  <c r="K3236" i="1"/>
  <c r="J3236" i="1"/>
  <c r="H3236" i="1"/>
  <c r="F3236" i="1"/>
  <c r="D3236" i="1"/>
  <c r="B3236" i="1"/>
  <c r="S3235" i="1"/>
  <c r="L3235" i="1"/>
  <c r="K3235" i="1"/>
  <c r="J3235" i="1"/>
  <c r="H3235" i="1"/>
  <c r="F3235" i="1"/>
  <c r="D3235" i="1"/>
  <c r="B3235" i="1"/>
  <c r="S3234" i="1"/>
  <c r="L3234" i="1"/>
  <c r="K3234" i="1"/>
  <c r="J3234" i="1"/>
  <c r="H3234" i="1"/>
  <c r="F3234" i="1"/>
  <c r="D3234" i="1"/>
  <c r="B3234" i="1"/>
  <c r="S3233" i="1"/>
  <c r="L3233" i="1"/>
  <c r="K3233" i="1"/>
  <c r="J3233" i="1"/>
  <c r="H3233" i="1"/>
  <c r="F3233" i="1"/>
  <c r="D3233" i="1"/>
  <c r="B3233" i="1"/>
  <c r="S3232" i="1"/>
  <c r="L3232" i="1"/>
  <c r="K3232" i="1"/>
  <c r="J3232" i="1"/>
  <c r="H3232" i="1"/>
  <c r="F3232" i="1"/>
  <c r="D3232" i="1"/>
  <c r="B3232" i="1"/>
  <c r="S3231" i="1"/>
  <c r="L3231" i="1"/>
  <c r="K3231" i="1"/>
  <c r="J3231" i="1"/>
  <c r="H3231" i="1"/>
  <c r="F3231" i="1"/>
  <c r="D3231" i="1"/>
  <c r="B3231" i="1"/>
  <c r="S3230" i="1"/>
  <c r="L3230" i="1"/>
  <c r="K3230" i="1"/>
  <c r="J3230" i="1"/>
  <c r="H3230" i="1"/>
  <c r="F3230" i="1"/>
  <c r="D3230" i="1"/>
  <c r="B3230" i="1"/>
  <c r="S3229" i="1"/>
  <c r="L3229" i="1"/>
  <c r="K3229" i="1"/>
  <c r="J3229" i="1"/>
  <c r="H3229" i="1"/>
  <c r="F3229" i="1"/>
  <c r="D3229" i="1"/>
  <c r="B3229" i="1"/>
  <c r="S3228" i="1"/>
  <c r="L3228" i="1"/>
  <c r="K3228" i="1"/>
  <c r="J3228" i="1"/>
  <c r="H3228" i="1"/>
  <c r="F3228" i="1"/>
  <c r="D3228" i="1"/>
  <c r="B3228" i="1"/>
  <c r="S3227" i="1"/>
  <c r="L3227" i="1"/>
  <c r="K3227" i="1"/>
  <c r="J3227" i="1"/>
  <c r="H3227" i="1"/>
  <c r="F3227" i="1"/>
  <c r="D3227" i="1"/>
  <c r="B3227" i="1"/>
  <c r="S3226" i="1"/>
  <c r="L3226" i="1"/>
  <c r="K3226" i="1"/>
  <c r="J3226" i="1"/>
  <c r="H3226" i="1"/>
  <c r="F3226" i="1"/>
  <c r="D3226" i="1"/>
  <c r="B3226" i="1"/>
  <c r="S3225" i="1"/>
  <c r="L3225" i="1"/>
  <c r="K3225" i="1"/>
  <c r="J3225" i="1"/>
  <c r="H3225" i="1"/>
  <c r="F3225" i="1"/>
  <c r="D3225" i="1"/>
  <c r="B3225" i="1"/>
  <c r="S3224" i="1"/>
  <c r="L3224" i="1"/>
  <c r="K3224" i="1"/>
  <c r="J3224" i="1"/>
  <c r="H3224" i="1"/>
  <c r="F3224" i="1"/>
  <c r="D3224" i="1"/>
  <c r="B3224" i="1"/>
  <c r="S3223" i="1"/>
  <c r="L3223" i="1"/>
  <c r="K3223" i="1"/>
  <c r="J3223" i="1"/>
  <c r="H3223" i="1"/>
  <c r="F3223" i="1"/>
  <c r="D3223" i="1"/>
  <c r="B3223" i="1"/>
  <c r="S3222" i="1"/>
  <c r="L3222" i="1"/>
  <c r="K3222" i="1"/>
  <c r="J3222" i="1"/>
  <c r="H3222" i="1"/>
  <c r="F3222" i="1"/>
  <c r="D3222" i="1"/>
  <c r="B3222" i="1"/>
  <c r="S3221" i="1"/>
  <c r="L3221" i="1"/>
  <c r="K3221" i="1"/>
  <c r="J3221" i="1"/>
  <c r="H3221" i="1"/>
  <c r="F3221" i="1"/>
  <c r="D3221" i="1"/>
  <c r="B3221" i="1"/>
  <c r="S3220" i="1"/>
  <c r="Q3220" i="1"/>
  <c r="L3220" i="1"/>
  <c r="K3220" i="1"/>
  <c r="J3220" i="1"/>
  <c r="I3220" i="1"/>
  <c r="H3220" i="1"/>
  <c r="G3220" i="1"/>
  <c r="F3220" i="1"/>
  <c r="D3220" i="1"/>
  <c r="B3220" i="1"/>
  <c r="S3219" i="1"/>
  <c r="L3219" i="1"/>
  <c r="K3219" i="1"/>
  <c r="J3219" i="1"/>
  <c r="H3219" i="1"/>
  <c r="F3219" i="1"/>
  <c r="D3219" i="1"/>
  <c r="B3219" i="1"/>
  <c r="S3218" i="1"/>
  <c r="L3218" i="1"/>
  <c r="K3218" i="1"/>
  <c r="J3218" i="1"/>
  <c r="H3218" i="1"/>
  <c r="F3218" i="1"/>
  <c r="D3218" i="1"/>
  <c r="B3218" i="1"/>
  <c r="S3217" i="1"/>
  <c r="L3217" i="1"/>
  <c r="K3217" i="1"/>
  <c r="J3217" i="1"/>
  <c r="H3217" i="1"/>
  <c r="F3217" i="1"/>
  <c r="D3217" i="1"/>
  <c r="B3217" i="1"/>
  <c r="S3216" i="1"/>
  <c r="Q3216" i="1"/>
  <c r="L3216" i="1"/>
  <c r="K3216" i="1"/>
  <c r="J3216" i="1"/>
  <c r="H3216" i="1"/>
  <c r="F3216" i="1"/>
  <c r="D3216" i="1"/>
  <c r="B3216" i="1"/>
  <c r="S3215" i="1"/>
  <c r="Q3215" i="1"/>
  <c r="L3215" i="1"/>
  <c r="K3215" i="1"/>
  <c r="J3215" i="1"/>
  <c r="H3215" i="1"/>
  <c r="F3215" i="1"/>
  <c r="D3215" i="1"/>
  <c r="B3215" i="1"/>
  <c r="S3214" i="1"/>
  <c r="Q3214" i="1"/>
  <c r="L3214" i="1"/>
  <c r="K3214" i="1"/>
  <c r="J3214" i="1"/>
  <c r="H3214" i="1"/>
  <c r="F3214" i="1"/>
  <c r="D3214" i="1"/>
  <c r="B3214" i="1"/>
  <c r="S3213" i="1"/>
  <c r="Q3213" i="1"/>
  <c r="L3213" i="1"/>
  <c r="K3213" i="1"/>
  <c r="J3213" i="1"/>
  <c r="H3213" i="1"/>
  <c r="F3213" i="1"/>
  <c r="D3213" i="1"/>
  <c r="B3213" i="1"/>
  <c r="S3212" i="1"/>
  <c r="Q3212" i="1"/>
  <c r="L3212" i="1"/>
  <c r="K3212" i="1"/>
  <c r="J3212" i="1"/>
  <c r="H3212" i="1"/>
  <c r="F3212" i="1"/>
  <c r="D3212" i="1"/>
  <c r="B3212" i="1"/>
  <c r="S3211" i="1"/>
  <c r="Q3211" i="1"/>
  <c r="L3211" i="1"/>
  <c r="K3211" i="1"/>
  <c r="J3211" i="1"/>
  <c r="H3211" i="1"/>
  <c r="F3211" i="1"/>
  <c r="D3211" i="1"/>
  <c r="B3211" i="1"/>
  <c r="S3210" i="1"/>
  <c r="L3210" i="1"/>
  <c r="K3210" i="1"/>
  <c r="J3210" i="1"/>
  <c r="H3210" i="1"/>
  <c r="F3210" i="1"/>
  <c r="D3210" i="1"/>
  <c r="B3210" i="1"/>
  <c r="S3209" i="1"/>
  <c r="Q3209" i="1"/>
  <c r="L3209" i="1"/>
  <c r="K3209" i="1"/>
  <c r="J3209" i="1"/>
  <c r="H3209" i="1"/>
  <c r="F3209" i="1"/>
  <c r="D3209" i="1"/>
  <c r="B3209" i="1"/>
  <c r="S3208" i="1"/>
  <c r="Q3208" i="1"/>
  <c r="L3208" i="1"/>
  <c r="K3208" i="1"/>
  <c r="J3208" i="1"/>
  <c r="H3208" i="1"/>
  <c r="F3208" i="1"/>
  <c r="D3208" i="1"/>
  <c r="B3208" i="1"/>
  <c r="S3207" i="1"/>
  <c r="Q3207" i="1"/>
  <c r="L3207" i="1"/>
  <c r="K3207" i="1"/>
  <c r="J3207" i="1"/>
  <c r="H3207" i="1"/>
  <c r="F3207" i="1"/>
  <c r="D3207" i="1"/>
  <c r="B3207" i="1"/>
  <c r="S3206" i="1"/>
  <c r="Q3206" i="1"/>
  <c r="L3206" i="1"/>
  <c r="K3206" i="1"/>
  <c r="J3206" i="1"/>
  <c r="H3206" i="1"/>
  <c r="F3206" i="1"/>
  <c r="D3206" i="1"/>
  <c r="B3206" i="1"/>
  <c r="S3205" i="1"/>
  <c r="Q3205" i="1"/>
  <c r="L3205" i="1"/>
  <c r="K3205" i="1"/>
  <c r="J3205" i="1"/>
  <c r="H3205" i="1"/>
  <c r="F3205" i="1"/>
  <c r="D3205" i="1"/>
  <c r="B3205" i="1"/>
  <c r="S3204" i="1"/>
  <c r="Q3204" i="1"/>
  <c r="L3204" i="1"/>
  <c r="K3204" i="1"/>
  <c r="J3204" i="1"/>
  <c r="H3204" i="1"/>
  <c r="F3204" i="1"/>
  <c r="D3204" i="1"/>
  <c r="B3204" i="1"/>
  <c r="S3203" i="1"/>
  <c r="L3203" i="1"/>
  <c r="K3203" i="1"/>
  <c r="J3203" i="1"/>
  <c r="H3203" i="1"/>
  <c r="F3203" i="1"/>
  <c r="D3203" i="1"/>
  <c r="B3203" i="1"/>
  <c r="S3202" i="1"/>
  <c r="L3202" i="1"/>
  <c r="K3202" i="1"/>
  <c r="J3202" i="1"/>
  <c r="H3202" i="1"/>
  <c r="F3202" i="1"/>
  <c r="D3202" i="1"/>
  <c r="B3202" i="1"/>
  <c r="S3201" i="1"/>
  <c r="Q3201" i="1"/>
  <c r="L3201" i="1"/>
  <c r="K3201" i="1"/>
  <c r="J3201" i="1"/>
  <c r="H3201" i="1"/>
  <c r="F3201" i="1"/>
  <c r="D3201" i="1"/>
  <c r="B3201" i="1"/>
  <c r="S3200" i="1"/>
  <c r="Q3200" i="1"/>
  <c r="L3200" i="1"/>
  <c r="K3200" i="1"/>
  <c r="J3200" i="1"/>
  <c r="H3200" i="1"/>
  <c r="F3200" i="1"/>
  <c r="D3200" i="1"/>
  <c r="B3200" i="1"/>
  <c r="S3199" i="1"/>
  <c r="Q3199" i="1"/>
  <c r="L3199" i="1"/>
  <c r="K3199" i="1"/>
  <c r="J3199" i="1"/>
  <c r="H3199" i="1"/>
  <c r="F3199" i="1"/>
  <c r="D3199" i="1"/>
  <c r="B3199" i="1"/>
  <c r="S3198" i="1"/>
  <c r="Q3198" i="1"/>
  <c r="L3198" i="1"/>
  <c r="K3198" i="1"/>
  <c r="J3198" i="1"/>
  <c r="H3198" i="1"/>
  <c r="F3198" i="1"/>
  <c r="D3198" i="1"/>
  <c r="B3198" i="1"/>
  <c r="S3197" i="1"/>
  <c r="Q3197" i="1"/>
  <c r="L3197" i="1"/>
  <c r="K3197" i="1"/>
  <c r="J3197" i="1"/>
  <c r="H3197" i="1"/>
  <c r="F3197" i="1"/>
  <c r="D3197" i="1"/>
  <c r="B3197" i="1"/>
  <c r="S3196" i="1"/>
  <c r="Q3196" i="1"/>
  <c r="L3196" i="1"/>
  <c r="K3196" i="1"/>
  <c r="J3196" i="1"/>
  <c r="H3196" i="1"/>
  <c r="F3196" i="1"/>
  <c r="D3196" i="1"/>
  <c r="B3196" i="1"/>
  <c r="S3195" i="1"/>
  <c r="Q3195" i="1"/>
  <c r="L3195" i="1"/>
  <c r="K3195" i="1"/>
  <c r="J3195" i="1"/>
  <c r="H3195" i="1"/>
  <c r="F3195" i="1"/>
  <c r="D3195" i="1"/>
  <c r="B3195" i="1"/>
  <c r="S3194" i="1"/>
  <c r="Q3194" i="1"/>
  <c r="L3194" i="1"/>
  <c r="K3194" i="1"/>
  <c r="J3194" i="1"/>
  <c r="H3194" i="1"/>
  <c r="F3194" i="1"/>
  <c r="D3194" i="1"/>
  <c r="B3194" i="1"/>
  <c r="S3193" i="1"/>
  <c r="Q3193" i="1"/>
  <c r="L3193" i="1"/>
  <c r="K3193" i="1"/>
  <c r="J3193" i="1"/>
  <c r="H3193" i="1"/>
  <c r="F3193" i="1"/>
  <c r="D3193" i="1"/>
  <c r="B3193" i="1"/>
  <c r="S3192" i="1"/>
  <c r="Q3192" i="1"/>
  <c r="L3192" i="1"/>
  <c r="K3192" i="1"/>
  <c r="J3192" i="1"/>
  <c r="H3192" i="1"/>
  <c r="F3192" i="1"/>
  <c r="D3192" i="1"/>
  <c r="B3192" i="1"/>
  <c r="S3191" i="1"/>
  <c r="Q3191" i="1"/>
  <c r="L3191" i="1"/>
  <c r="K3191" i="1"/>
  <c r="J3191" i="1"/>
  <c r="H3191" i="1"/>
  <c r="F3191" i="1"/>
  <c r="D3191" i="1"/>
  <c r="B3191" i="1"/>
  <c r="S3190" i="1"/>
  <c r="Q3190" i="1"/>
  <c r="L3190" i="1"/>
  <c r="K3190" i="1"/>
  <c r="J3190" i="1"/>
  <c r="H3190" i="1"/>
  <c r="F3190" i="1"/>
  <c r="D3190" i="1"/>
  <c r="B3190" i="1"/>
  <c r="S3189" i="1"/>
  <c r="Q3189" i="1"/>
  <c r="L3189" i="1"/>
  <c r="K3189" i="1"/>
  <c r="J3189" i="1"/>
  <c r="H3189" i="1"/>
  <c r="F3189" i="1"/>
  <c r="D3189" i="1"/>
  <c r="B3189" i="1"/>
  <c r="S3188" i="1"/>
  <c r="Q3188" i="1"/>
  <c r="L3188" i="1"/>
  <c r="K3188" i="1"/>
  <c r="J3188" i="1"/>
  <c r="H3188" i="1"/>
  <c r="F3188" i="1"/>
  <c r="D3188" i="1"/>
  <c r="B3188" i="1"/>
  <c r="S3187" i="1"/>
  <c r="L3187" i="1"/>
  <c r="K3187" i="1"/>
  <c r="J3187" i="1"/>
  <c r="H3187" i="1"/>
  <c r="F3187" i="1"/>
  <c r="D3187" i="1"/>
  <c r="B3187" i="1"/>
  <c r="S3186" i="1"/>
  <c r="L3186" i="1"/>
  <c r="K3186" i="1"/>
  <c r="J3186" i="1"/>
  <c r="H3186" i="1"/>
  <c r="F3186" i="1"/>
  <c r="D3186" i="1"/>
  <c r="B3186" i="1"/>
  <c r="S3185" i="1"/>
  <c r="L3185" i="1"/>
  <c r="K3185" i="1"/>
  <c r="J3185" i="1"/>
  <c r="H3185" i="1"/>
  <c r="F3185" i="1"/>
  <c r="D3185" i="1"/>
  <c r="B3185" i="1"/>
  <c r="S3184" i="1"/>
  <c r="L3184" i="1"/>
  <c r="K3184" i="1"/>
  <c r="J3184" i="1"/>
  <c r="H3184" i="1"/>
  <c r="F3184" i="1"/>
  <c r="D3184" i="1"/>
  <c r="B3184" i="1"/>
  <c r="S3183" i="1"/>
  <c r="L3183" i="1"/>
  <c r="K3183" i="1"/>
  <c r="J3183" i="1"/>
  <c r="H3183" i="1"/>
  <c r="F3183" i="1"/>
  <c r="D3183" i="1"/>
  <c r="B3183" i="1"/>
  <c r="S3182" i="1"/>
  <c r="L3182" i="1"/>
  <c r="K3182" i="1"/>
  <c r="J3182" i="1"/>
  <c r="H3182" i="1"/>
  <c r="F3182" i="1"/>
  <c r="D3182" i="1"/>
  <c r="B3182" i="1"/>
  <c r="S3181" i="1"/>
  <c r="L3181" i="1"/>
  <c r="K3181" i="1"/>
  <c r="J3181" i="1"/>
  <c r="H3181" i="1"/>
  <c r="F3181" i="1"/>
  <c r="D3181" i="1"/>
  <c r="B3181" i="1"/>
  <c r="S3180" i="1"/>
  <c r="L3180" i="1"/>
  <c r="K3180" i="1"/>
  <c r="J3180" i="1"/>
  <c r="H3180" i="1"/>
  <c r="F3180" i="1"/>
  <c r="D3180" i="1"/>
  <c r="B3180" i="1"/>
  <c r="S3179" i="1"/>
  <c r="L3179" i="1"/>
  <c r="K3179" i="1"/>
  <c r="J3179" i="1"/>
  <c r="H3179" i="1"/>
  <c r="F3179" i="1"/>
  <c r="D3179" i="1"/>
  <c r="B3179" i="1"/>
  <c r="S3178" i="1"/>
  <c r="Q3178" i="1"/>
  <c r="L3178" i="1"/>
  <c r="K3178" i="1"/>
  <c r="J3178" i="1"/>
  <c r="H3178" i="1"/>
  <c r="F3178" i="1"/>
  <c r="D3178" i="1"/>
  <c r="B3178" i="1"/>
  <c r="S3177" i="1"/>
  <c r="L3177" i="1"/>
  <c r="K3177" i="1"/>
  <c r="J3177" i="1"/>
  <c r="H3177" i="1"/>
  <c r="F3177" i="1"/>
  <c r="D3177" i="1"/>
  <c r="B3177" i="1"/>
  <c r="S3176" i="1"/>
  <c r="L3176" i="1"/>
  <c r="K3176" i="1"/>
  <c r="J3176" i="1"/>
  <c r="H3176" i="1"/>
  <c r="F3176" i="1"/>
  <c r="D3176" i="1"/>
  <c r="B3176" i="1"/>
  <c r="S3175" i="1"/>
  <c r="L3175" i="1"/>
  <c r="K3175" i="1"/>
  <c r="J3175" i="1"/>
  <c r="H3175" i="1"/>
  <c r="F3175" i="1"/>
  <c r="D3175" i="1"/>
  <c r="B3175" i="1"/>
  <c r="S3174" i="1"/>
  <c r="L3174" i="1"/>
  <c r="K3174" i="1"/>
  <c r="J3174" i="1"/>
  <c r="H3174" i="1"/>
  <c r="F3174" i="1"/>
  <c r="D3174" i="1"/>
  <c r="B3174" i="1"/>
  <c r="S3173" i="1"/>
  <c r="L3173" i="1"/>
  <c r="K3173" i="1"/>
  <c r="J3173" i="1"/>
  <c r="H3173" i="1"/>
  <c r="F3173" i="1"/>
  <c r="D3173" i="1"/>
  <c r="B3173" i="1"/>
  <c r="S3172" i="1"/>
  <c r="L3172" i="1"/>
  <c r="K3172" i="1"/>
  <c r="J3172" i="1"/>
  <c r="H3172" i="1"/>
  <c r="F3172" i="1"/>
  <c r="D3172" i="1"/>
  <c r="B3172" i="1"/>
  <c r="S3171" i="1"/>
  <c r="L3171" i="1"/>
  <c r="K3171" i="1"/>
  <c r="J3171" i="1"/>
  <c r="H3171" i="1"/>
  <c r="F3171" i="1"/>
  <c r="D3171" i="1"/>
  <c r="B3171" i="1"/>
  <c r="S3170" i="1"/>
  <c r="L3170" i="1"/>
  <c r="K3170" i="1"/>
  <c r="J3170" i="1"/>
  <c r="H3170" i="1"/>
  <c r="F3170" i="1"/>
  <c r="D3170" i="1"/>
  <c r="B3170" i="1"/>
  <c r="S3169" i="1"/>
  <c r="L3169" i="1"/>
  <c r="K3169" i="1"/>
  <c r="J3169" i="1"/>
  <c r="H3169" i="1"/>
  <c r="F3169" i="1"/>
  <c r="D3169" i="1"/>
  <c r="B3169" i="1"/>
  <c r="S3168" i="1"/>
  <c r="L3168" i="1"/>
  <c r="K3168" i="1"/>
  <c r="J3168" i="1"/>
  <c r="H3168" i="1"/>
  <c r="F3168" i="1"/>
  <c r="D3168" i="1"/>
  <c r="B3168" i="1"/>
  <c r="S3167" i="1"/>
  <c r="L3167" i="1"/>
  <c r="K3167" i="1"/>
  <c r="J3167" i="1"/>
  <c r="H3167" i="1"/>
  <c r="F3167" i="1"/>
  <c r="D3167" i="1"/>
  <c r="B3167" i="1"/>
  <c r="S3166" i="1"/>
  <c r="L3166" i="1"/>
  <c r="K3166" i="1"/>
  <c r="J3166" i="1"/>
  <c r="H3166" i="1"/>
  <c r="F3166" i="1"/>
  <c r="D3166" i="1"/>
  <c r="B3166" i="1"/>
  <c r="S3165" i="1"/>
  <c r="Q3165" i="1"/>
  <c r="L3165" i="1"/>
  <c r="K3165" i="1"/>
  <c r="J3165" i="1"/>
  <c r="H3165" i="1"/>
  <c r="F3165" i="1"/>
  <c r="D3165" i="1"/>
  <c r="B3165" i="1"/>
  <c r="S3164" i="1"/>
  <c r="Q3164" i="1"/>
  <c r="L3164" i="1"/>
  <c r="K3164" i="1"/>
  <c r="J3164" i="1"/>
  <c r="H3164" i="1"/>
  <c r="F3164" i="1"/>
  <c r="D3164" i="1"/>
  <c r="B3164" i="1"/>
  <c r="S3163" i="1"/>
  <c r="L3163" i="1"/>
  <c r="K3163" i="1"/>
  <c r="J3163" i="1"/>
  <c r="H3163" i="1"/>
  <c r="F3163" i="1"/>
  <c r="D3163" i="1"/>
  <c r="B3163" i="1"/>
  <c r="S3162" i="1"/>
  <c r="Q3162" i="1"/>
  <c r="L3162" i="1"/>
  <c r="K3162" i="1"/>
  <c r="J3162" i="1"/>
  <c r="H3162" i="1"/>
  <c r="F3162" i="1"/>
  <c r="D3162" i="1"/>
  <c r="B3162" i="1"/>
  <c r="S3161" i="1"/>
  <c r="Q3161" i="1"/>
  <c r="L3161" i="1"/>
  <c r="K3161" i="1"/>
  <c r="J3161" i="1"/>
  <c r="H3161" i="1"/>
  <c r="F3161" i="1"/>
  <c r="D3161" i="1"/>
  <c r="B3161" i="1"/>
  <c r="S3160" i="1"/>
  <c r="Q3160" i="1"/>
  <c r="L3160" i="1"/>
  <c r="K3160" i="1"/>
  <c r="J3160" i="1"/>
  <c r="H3160" i="1"/>
  <c r="F3160" i="1"/>
  <c r="D3160" i="1"/>
  <c r="B3160" i="1"/>
  <c r="S3159" i="1"/>
  <c r="Q3159" i="1"/>
  <c r="L3159" i="1"/>
  <c r="K3159" i="1"/>
  <c r="J3159" i="1"/>
  <c r="H3159" i="1"/>
  <c r="F3159" i="1"/>
  <c r="D3159" i="1"/>
  <c r="B3159" i="1"/>
  <c r="S3158" i="1"/>
  <c r="Q3158" i="1"/>
  <c r="L3158" i="1"/>
  <c r="K3158" i="1"/>
  <c r="J3158" i="1"/>
  <c r="H3158" i="1"/>
  <c r="F3158" i="1"/>
  <c r="D3158" i="1"/>
  <c r="B3158" i="1"/>
  <c r="S3157" i="1"/>
  <c r="Q3157" i="1"/>
  <c r="L3157" i="1"/>
  <c r="K3157" i="1"/>
  <c r="J3157" i="1"/>
  <c r="H3157" i="1"/>
  <c r="F3157" i="1"/>
  <c r="D3157" i="1"/>
  <c r="B3157" i="1"/>
  <c r="S3156" i="1"/>
  <c r="Q3156" i="1"/>
  <c r="L3156" i="1"/>
  <c r="K3156" i="1"/>
  <c r="J3156" i="1"/>
  <c r="H3156" i="1"/>
  <c r="F3156" i="1"/>
  <c r="D3156" i="1"/>
  <c r="B3156" i="1"/>
  <c r="S3155" i="1"/>
  <c r="Q3155" i="1"/>
  <c r="L3155" i="1"/>
  <c r="K3155" i="1"/>
  <c r="J3155" i="1"/>
  <c r="H3155" i="1"/>
  <c r="F3155" i="1"/>
  <c r="D3155" i="1"/>
  <c r="B3155" i="1"/>
  <c r="S3154" i="1"/>
  <c r="L3154" i="1"/>
  <c r="K3154" i="1"/>
  <c r="J3154" i="1"/>
  <c r="H3154" i="1"/>
  <c r="F3154" i="1"/>
  <c r="D3154" i="1"/>
  <c r="B3154" i="1"/>
  <c r="S3153" i="1"/>
  <c r="L3153" i="1"/>
  <c r="K3153" i="1"/>
  <c r="J3153" i="1"/>
  <c r="H3153" i="1"/>
  <c r="F3153" i="1"/>
  <c r="D3153" i="1"/>
  <c r="B3153" i="1"/>
  <c r="S3152" i="1"/>
  <c r="Q3152" i="1"/>
  <c r="L3152" i="1"/>
  <c r="K3152" i="1"/>
  <c r="J3152" i="1"/>
  <c r="H3152" i="1"/>
  <c r="F3152" i="1"/>
  <c r="D3152" i="1"/>
  <c r="B3152" i="1"/>
  <c r="S3151" i="1"/>
  <c r="L3151" i="1"/>
  <c r="K3151" i="1"/>
  <c r="J3151" i="1"/>
  <c r="H3151" i="1"/>
  <c r="F3151" i="1"/>
  <c r="D3151" i="1"/>
  <c r="B3151" i="1"/>
  <c r="S3150" i="1"/>
  <c r="Q3150" i="1"/>
  <c r="L3150" i="1"/>
  <c r="K3150" i="1"/>
  <c r="J3150" i="1"/>
  <c r="H3150" i="1"/>
  <c r="F3150" i="1"/>
  <c r="D3150" i="1"/>
  <c r="B3150" i="1"/>
  <c r="S3149" i="1"/>
  <c r="L3149" i="1"/>
  <c r="K3149" i="1"/>
  <c r="J3149" i="1"/>
  <c r="H3149" i="1"/>
  <c r="F3149" i="1"/>
  <c r="D3149" i="1"/>
  <c r="B3149" i="1"/>
  <c r="S3148" i="1"/>
  <c r="L3148" i="1"/>
  <c r="K3148" i="1"/>
  <c r="J3148" i="1"/>
  <c r="H3148" i="1"/>
  <c r="F3148" i="1"/>
  <c r="D3148" i="1"/>
  <c r="B3148" i="1"/>
  <c r="S3147" i="1"/>
  <c r="L3147" i="1"/>
  <c r="K3147" i="1"/>
  <c r="J3147" i="1"/>
  <c r="H3147" i="1"/>
  <c r="F3147" i="1"/>
  <c r="D3147" i="1"/>
  <c r="B3147" i="1"/>
  <c r="S3146" i="1"/>
  <c r="L3146" i="1"/>
  <c r="K3146" i="1"/>
  <c r="J3146" i="1"/>
  <c r="H3146" i="1"/>
  <c r="F3146" i="1"/>
  <c r="D3146" i="1"/>
  <c r="B3146" i="1"/>
  <c r="S3145" i="1"/>
  <c r="L3145" i="1"/>
  <c r="K3145" i="1"/>
  <c r="J3145" i="1"/>
  <c r="H3145" i="1"/>
  <c r="F3145" i="1"/>
  <c r="D3145" i="1"/>
  <c r="B3145" i="1"/>
  <c r="S3144" i="1"/>
  <c r="Q3144" i="1"/>
  <c r="L3144" i="1"/>
  <c r="K3144" i="1"/>
  <c r="J3144" i="1"/>
  <c r="H3144" i="1"/>
  <c r="F3144" i="1"/>
  <c r="D3144" i="1"/>
  <c r="B3144" i="1"/>
  <c r="S3143" i="1"/>
  <c r="L3143" i="1"/>
  <c r="K3143" i="1"/>
  <c r="J3143" i="1"/>
  <c r="H3143" i="1"/>
  <c r="F3143" i="1"/>
  <c r="D3143" i="1"/>
  <c r="B3143" i="1"/>
  <c r="S3142" i="1"/>
  <c r="L3142" i="1"/>
  <c r="K3142" i="1"/>
  <c r="J3142" i="1"/>
  <c r="H3142" i="1"/>
  <c r="F3142" i="1"/>
  <c r="D3142" i="1"/>
  <c r="B3142" i="1"/>
  <c r="S3141" i="1"/>
  <c r="L3141" i="1"/>
  <c r="K3141" i="1"/>
  <c r="J3141" i="1"/>
  <c r="H3141" i="1"/>
  <c r="F3141" i="1"/>
  <c r="D3141" i="1"/>
  <c r="B3141" i="1"/>
  <c r="S3140" i="1"/>
  <c r="L3140" i="1"/>
  <c r="K3140" i="1"/>
  <c r="J3140" i="1"/>
  <c r="H3140" i="1"/>
  <c r="F3140" i="1"/>
  <c r="D3140" i="1"/>
  <c r="B3140" i="1"/>
  <c r="S3139" i="1"/>
  <c r="L3139" i="1"/>
  <c r="K3139" i="1"/>
  <c r="J3139" i="1"/>
  <c r="H3139" i="1"/>
  <c r="F3139" i="1"/>
  <c r="D3139" i="1"/>
  <c r="B3139" i="1"/>
  <c r="S3138" i="1"/>
  <c r="L3138" i="1"/>
  <c r="K3138" i="1"/>
  <c r="J3138" i="1"/>
  <c r="H3138" i="1"/>
  <c r="F3138" i="1"/>
  <c r="D3138" i="1"/>
  <c r="B3138" i="1"/>
  <c r="S3137" i="1"/>
  <c r="L3137" i="1"/>
  <c r="K3137" i="1"/>
  <c r="J3137" i="1"/>
  <c r="H3137" i="1"/>
  <c r="F3137" i="1"/>
  <c r="D3137" i="1"/>
  <c r="B3137" i="1"/>
  <c r="S3136" i="1"/>
  <c r="L3136" i="1"/>
  <c r="K3136" i="1"/>
  <c r="J3136" i="1"/>
  <c r="H3136" i="1"/>
  <c r="F3136" i="1"/>
  <c r="D3136" i="1"/>
  <c r="B3136" i="1"/>
  <c r="S3135" i="1"/>
  <c r="L3135" i="1"/>
  <c r="K3135" i="1"/>
  <c r="J3135" i="1"/>
  <c r="H3135" i="1"/>
  <c r="F3135" i="1"/>
  <c r="D3135" i="1"/>
  <c r="B3135" i="1"/>
  <c r="S3134" i="1"/>
  <c r="L3134" i="1"/>
  <c r="K3134" i="1"/>
  <c r="J3134" i="1"/>
  <c r="H3134" i="1"/>
  <c r="F3134" i="1"/>
  <c r="D3134" i="1"/>
  <c r="B3134" i="1"/>
  <c r="S3133" i="1"/>
  <c r="L3133" i="1"/>
  <c r="K3133" i="1"/>
  <c r="J3133" i="1"/>
  <c r="H3133" i="1"/>
  <c r="F3133" i="1"/>
  <c r="D3133" i="1"/>
  <c r="B3133" i="1"/>
  <c r="S3132" i="1"/>
  <c r="L3132" i="1"/>
  <c r="K3132" i="1"/>
  <c r="J3132" i="1"/>
  <c r="H3132" i="1"/>
  <c r="F3132" i="1"/>
  <c r="D3132" i="1"/>
  <c r="B3132" i="1"/>
  <c r="S3131" i="1"/>
  <c r="L3131" i="1"/>
  <c r="K3131" i="1"/>
  <c r="J3131" i="1"/>
  <c r="H3131" i="1"/>
  <c r="F3131" i="1"/>
  <c r="D3131" i="1"/>
  <c r="B3131" i="1"/>
  <c r="S3130" i="1"/>
  <c r="L3130" i="1"/>
  <c r="K3130" i="1"/>
  <c r="J3130" i="1"/>
  <c r="H3130" i="1"/>
  <c r="F3130" i="1"/>
  <c r="D3130" i="1"/>
  <c r="B3130" i="1"/>
  <c r="S3129" i="1"/>
  <c r="L3129" i="1"/>
  <c r="K3129" i="1"/>
  <c r="J3129" i="1"/>
  <c r="H3129" i="1"/>
  <c r="F3129" i="1"/>
  <c r="D3129" i="1"/>
  <c r="B3129" i="1"/>
  <c r="S3128" i="1"/>
  <c r="L3128" i="1"/>
  <c r="K3128" i="1"/>
  <c r="J3128" i="1"/>
  <c r="H3128" i="1"/>
  <c r="F3128" i="1"/>
  <c r="D3128" i="1"/>
  <c r="B3128" i="1"/>
  <c r="S3127" i="1"/>
  <c r="Q3127" i="1"/>
  <c r="L3127" i="1"/>
  <c r="K3127" i="1"/>
  <c r="J3127" i="1"/>
  <c r="I3127" i="1"/>
  <c r="H3127" i="1"/>
  <c r="F3127" i="1"/>
  <c r="D3127" i="1"/>
  <c r="B3127" i="1"/>
  <c r="S3126" i="1"/>
  <c r="L3126" i="1"/>
  <c r="K3126" i="1"/>
  <c r="J3126" i="1"/>
  <c r="H3126" i="1"/>
  <c r="F3126" i="1"/>
  <c r="D3126" i="1"/>
  <c r="B3126" i="1"/>
  <c r="S3125" i="1"/>
  <c r="L3125" i="1"/>
  <c r="K3125" i="1"/>
  <c r="J3125" i="1"/>
  <c r="H3125" i="1"/>
  <c r="F3125" i="1"/>
  <c r="D3125" i="1"/>
  <c r="B3125" i="1"/>
  <c r="S3124" i="1"/>
  <c r="L3124" i="1"/>
  <c r="K3124" i="1"/>
  <c r="J3124" i="1"/>
  <c r="H3124" i="1"/>
  <c r="F3124" i="1"/>
  <c r="D3124" i="1"/>
  <c r="B3124" i="1"/>
  <c r="S3123" i="1"/>
  <c r="L3123" i="1"/>
  <c r="K3123" i="1"/>
  <c r="J3123" i="1"/>
  <c r="H3123" i="1"/>
  <c r="F3123" i="1"/>
  <c r="D3123" i="1"/>
  <c r="B3123" i="1"/>
  <c r="S3122" i="1"/>
  <c r="L3122" i="1"/>
  <c r="K3122" i="1"/>
  <c r="J3122" i="1"/>
  <c r="H3122" i="1"/>
  <c r="F3122" i="1"/>
  <c r="D3122" i="1"/>
  <c r="B3122" i="1"/>
  <c r="S3121" i="1"/>
  <c r="L3121" i="1"/>
  <c r="K3121" i="1"/>
  <c r="J3121" i="1"/>
  <c r="H3121" i="1"/>
  <c r="F3121" i="1"/>
  <c r="D3121" i="1"/>
  <c r="B3121" i="1"/>
  <c r="S3120" i="1"/>
  <c r="L3120" i="1"/>
  <c r="K3120" i="1"/>
  <c r="J3120" i="1"/>
  <c r="H3120" i="1"/>
  <c r="F3120" i="1"/>
  <c r="D3120" i="1"/>
  <c r="B3120" i="1"/>
  <c r="S3119" i="1"/>
  <c r="L3119" i="1"/>
  <c r="K3119" i="1"/>
  <c r="J3119" i="1"/>
  <c r="H3119" i="1"/>
  <c r="F3119" i="1"/>
  <c r="D3119" i="1"/>
  <c r="B3119" i="1"/>
  <c r="S3118" i="1"/>
  <c r="L3118" i="1"/>
  <c r="K3118" i="1"/>
  <c r="J3118" i="1"/>
  <c r="H3118" i="1"/>
  <c r="F3118" i="1"/>
  <c r="D3118" i="1"/>
  <c r="B3118" i="1"/>
  <c r="S3117" i="1"/>
  <c r="L3117" i="1"/>
  <c r="K3117" i="1"/>
  <c r="J3117" i="1"/>
  <c r="H3117" i="1"/>
  <c r="F3117" i="1"/>
  <c r="D3117" i="1"/>
  <c r="B3117" i="1"/>
  <c r="S3116" i="1"/>
  <c r="L3116" i="1"/>
  <c r="K3116" i="1"/>
  <c r="J3116" i="1"/>
  <c r="H3116" i="1"/>
  <c r="F3116" i="1"/>
  <c r="D3116" i="1"/>
  <c r="B3116" i="1"/>
  <c r="S3115" i="1"/>
  <c r="L3115" i="1"/>
  <c r="K3115" i="1"/>
  <c r="J3115" i="1"/>
  <c r="H3115" i="1"/>
  <c r="F3115" i="1"/>
  <c r="D3115" i="1"/>
  <c r="B3115" i="1"/>
  <c r="S3114" i="1"/>
  <c r="L3114" i="1"/>
  <c r="K3114" i="1"/>
  <c r="J3114" i="1"/>
  <c r="H3114" i="1"/>
  <c r="F3114" i="1"/>
  <c r="D3114" i="1"/>
  <c r="B3114" i="1"/>
  <c r="S3113" i="1"/>
  <c r="L3113" i="1"/>
  <c r="K3113" i="1"/>
  <c r="J3113" i="1"/>
  <c r="H3113" i="1"/>
  <c r="F3113" i="1"/>
  <c r="D3113" i="1"/>
  <c r="B3113" i="1"/>
  <c r="S3112" i="1"/>
  <c r="L3112" i="1"/>
  <c r="K3112" i="1"/>
  <c r="J3112" i="1"/>
  <c r="H3112" i="1"/>
  <c r="F3112" i="1"/>
  <c r="D3112" i="1"/>
  <c r="B3112" i="1"/>
  <c r="S3111" i="1"/>
  <c r="L3111" i="1"/>
  <c r="K3111" i="1"/>
  <c r="J3111" i="1"/>
  <c r="H3111" i="1"/>
  <c r="F3111" i="1"/>
  <c r="D3111" i="1"/>
  <c r="B3111" i="1"/>
  <c r="S3110" i="1"/>
  <c r="L3110" i="1"/>
  <c r="K3110" i="1"/>
  <c r="J3110" i="1"/>
  <c r="H3110" i="1"/>
  <c r="F3110" i="1"/>
  <c r="D3110" i="1"/>
  <c r="B3110" i="1"/>
  <c r="S3109" i="1"/>
  <c r="L3109" i="1"/>
  <c r="K3109" i="1"/>
  <c r="J3109" i="1"/>
  <c r="H3109" i="1"/>
  <c r="F3109" i="1"/>
  <c r="D3109" i="1"/>
  <c r="B3109" i="1"/>
  <c r="S3108" i="1"/>
  <c r="Q3108" i="1"/>
  <c r="L3108" i="1"/>
  <c r="K3108" i="1"/>
  <c r="J3108" i="1"/>
  <c r="H3108" i="1"/>
  <c r="F3108" i="1"/>
  <c r="D3108" i="1"/>
  <c r="B3108" i="1"/>
  <c r="S3107" i="1"/>
  <c r="Q3107" i="1"/>
  <c r="L3107" i="1"/>
  <c r="K3107" i="1"/>
  <c r="J3107" i="1"/>
  <c r="H3107" i="1"/>
  <c r="F3107" i="1"/>
  <c r="D3107" i="1"/>
  <c r="B3107" i="1"/>
  <c r="S3106" i="1"/>
  <c r="Q3106" i="1"/>
  <c r="L3106" i="1"/>
  <c r="K3106" i="1"/>
  <c r="J3106" i="1"/>
  <c r="H3106" i="1"/>
  <c r="F3106" i="1"/>
  <c r="D3106" i="1"/>
  <c r="B3106" i="1"/>
  <c r="S3105" i="1"/>
  <c r="L3105" i="1"/>
  <c r="K3105" i="1"/>
  <c r="J3105" i="1"/>
  <c r="H3105" i="1"/>
  <c r="F3105" i="1"/>
  <c r="D3105" i="1"/>
  <c r="B3105" i="1"/>
  <c r="S3104" i="1"/>
  <c r="Q3104" i="1"/>
  <c r="L3104" i="1"/>
  <c r="K3104" i="1"/>
  <c r="J3104" i="1"/>
  <c r="H3104" i="1"/>
  <c r="F3104" i="1"/>
  <c r="D3104" i="1"/>
  <c r="B3104" i="1"/>
  <c r="S3103" i="1"/>
  <c r="L3103" i="1"/>
  <c r="K3103" i="1"/>
  <c r="J3103" i="1"/>
  <c r="H3103" i="1"/>
  <c r="F3103" i="1"/>
  <c r="D3103" i="1"/>
  <c r="B3103" i="1"/>
  <c r="S3102" i="1"/>
  <c r="L3102" i="1"/>
  <c r="K3102" i="1"/>
  <c r="J3102" i="1"/>
  <c r="H3102" i="1"/>
  <c r="F3102" i="1"/>
  <c r="D3102" i="1"/>
  <c r="B3102" i="1"/>
  <c r="S3101" i="1"/>
  <c r="L3101" i="1"/>
  <c r="K3101" i="1"/>
  <c r="J3101" i="1"/>
  <c r="H3101" i="1"/>
  <c r="F3101" i="1"/>
  <c r="D3101" i="1"/>
  <c r="B3101" i="1"/>
  <c r="S3100" i="1"/>
  <c r="L3100" i="1"/>
  <c r="K3100" i="1"/>
  <c r="J3100" i="1"/>
  <c r="H3100" i="1"/>
  <c r="F3100" i="1"/>
  <c r="D3100" i="1"/>
  <c r="B3100" i="1"/>
  <c r="S3099" i="1"/>
  <c r="L3099" i="1"/>
  <c r="K3099" i="1"/>
  <c r="J3099" i="1"/>
  <c r="H3099" i="1"/>
  <c r="F3099" i="1"/>
  <c r="D3099" i="1"/>
  <c r="B3099" i="1"/>
  <c r="S3098" i="1"/>
  <c r="L3098" i="1"/>
  <c r="K3098" i="1"/>
  <c r="J3098" i="1"/>
  <c r="H3098" i="1"/>
  <c r="F3098" i="1"/>
  <c r="D3098" i="1"/>
  <c r="B3098" i="1"/>
  <c r="S3097" i="1"/>
  <c r="L3097" i="1"/>
  <c r="K3097" i="1"/>
  <c r="J3097" i="1"/>
  <c r="H3097" i="1"/>
  <c r="F3097" i="1"/>
  <c r="D3097" i="1"/>
  <c r="B3097" i="1"/>
  <c r="S3096" i="1"/>
  <c r="L3096" i="1"/>
  <c r="K3096" i="1"/>
  <c r="J3096" i="1"/>
  <c r="H3096" i="1"/>
  <c r="F3096" i="1"/>
  <c r="D3096" i="1"/>
  <c r="B3096" i="1"/>
  <c r="S3095" i="1"/>
  <c r="L3095" i="1"/>
  <c r="K3095" i="1"/>
  <c r="J3095" i="1"/>
  <c r="H3095" i="1"/>
  <c r="F3095" i="1"/>
  <c r="D3095" i="1"/>
  <c r="B3095" i="1"/>
  <c r="S3094" i="1"/>
  <c r="L3094" i="1"/>
  <c r="K3094" i="1"/>
  <c r="J3094" i="1"/>
  <c r="H3094" i="1"/>
  <c r="F3094" i="1"/>
  <c r="D3094" i="1"/>
  <c r="B3094" i="1"/>
  <c r="S3093" i="1"/>
  <c r="L3093" i="1"/>
  <c r="K3093" i="1"/>
  <c r="J3093" i="1"/>
  <c r="H3093" i="1"/>
  <c r="F3093" i="1"/>
  <c r="D3093" i="1"/>
  <c r="B3093" i="1"/>
  <c r="S3092" i="1"/>
  <c r="L3092" i="1"/>
  <c r="K3092" i="1"/>
  <c r="J3092" i="1"/>
  <c r="H3092" i="1"/>
  <c r="F3092" i="1"/>
  <c r="D3092" i="1"/>
  <c r="B3092" i="1"/>
  <c r="S3091" i="1"/>
  <c r="L3091" i="1"/>
  <c r="K3091" i="1"/>
  <c r="J3091" i="1"/>
  <c r="H3091" i="1"/>
  <c r="F3091" i="1"/>
  <c r="D3091" i="1"/>
  <c r="B3091" i="1"/>
  <c r="S3090" i="1"/>
  <c r="Q3090" i="1"/>
  <c r="L3090" i="1"/>
  <c r="K3090" i="1"/>
  <c r="J3090" i="1"/>
  <c r="H3090" i="1"/>
  <c r="F3090" i="1"/>
  <c r="D3090" i="1"/>
  <c r="B3090" i="1"/>
  <c r="S3089" i="1"/>
  <c r="Q3089" i="1"/>
  <c r="L3089" i="1"/>
  <c r="K3089" i="1"/>
  <c r="J3089" i="1"/>
  <c r="H3089" i="1"/>
  <c r="F3089" i="1"/>
  <c r="D3089" i="1"/>
  <c r="B3089" i="1"/>
  <c r="S3088" i="1"/>
  <c r="Q3088" i="1"/>
  <c r="L3088" i="1"/>
  <c r="K3088" i="1"/>
  <c r="J3088" i="1"/>
  <c r="H3088" i="1"/>
  <c r="F3088" i="1"/>
  <c r="D3088" i="1"/>
  <c r="B3088" i="1"/>
  <c r="S3087" i="1"/>
  <c r="Q3087" i="1"/>
  <c r="L3087" i="1"/>
  <c r="K3087" i="1"/>
  <c r="J3087" i="1"/>
  <c r="H3087" i="1"/>
  <c r="F3087" i="1"/>
  <c r="D3087" i="1"/>
  <c r="B3087" i="1"/>
  <c r="S3086" i="1"/>
  <c r="L3086" i="1"/>
  <c r="K3086" i="1"/>
  <c r="J3086" i="1"/>
  <c r="H3086" i="1"/>
  <c r="F3086" i="1"/>
  <c r="D3086" i="1"/>
  <c r="B3086" i="1"/>
  <c r="S3085" i="1"/>
  <c r="Q3085" i="1"/>
  <c r="L3085" i="1"/>
  <c r="K3085" i="1"/>
  <c r="J3085" i="1"/>
  <c r="H3085" i="1"/>
  <c r="F3085" i="1"/>
  <c r="D3085" i="1"/>
  <c r="B3085" i="1"/>
  <c r="S3084" i="1"/>
  <c r="Q3084" i="1"/>
  <c r="L3084" i="1"/>
  <c r="K3084" i="1"/>
  <c r="J3084" i="1"/>
  <c r="H3084" i="1"/>
  <c r="F3084" i="1"/>
  <c r="D3084" i="1"/>
  <c r="B3084" i="1"/>
  <c r="S3083" i="1"/>
  <c r="L3083" i="1"/>
  <c r="K3083" i="1"/>
  <c r="J3083" i="1"/>
  <c r="H3083" i="1"/>
  <c r="F3083" i="1"/>
  <c r="D3083" i="1"/>
  <c r="B3083" i="1"/>
  <c r="S3082" i="1"/>
  <c r="L3082" i="1"/>
  <c r="K3082" i="1"/>
  <c r="J3082" i="1"/>
  <c r="H3082" i="1"/>
  <c r="F3082" i="1"/>
  <c r="D3082" i="1"/>
  <c r="B3082" i="1"/>
  <c r="S3081" i="1"/>
  <c r="L3081" i="1"/>
  <c r="K3081" i="1"/>
  <c r="J3081" i="1"/>
  <c r="H3081" i="1"/>
  <c r="F3081" i="1"/>
  <c r="D3081" i="1"/>
  <c r="B3081" i="1"/>
  <c r="S3080" i="1"/>
  <c r="L3080" i="1"/>
  <c r="K3080" i="1"/>
  <c r="J3080" i="1"/>
  <c r="H3080" i="1"/>
  <c r="F3080" i="1"/>
  <c r="D3080" i="1"/>
  <c r="B3080" i="1"/>
  <c r="S3079" i="1"/>
  <c r="Q3079" i="1"/>
  <c r="L3079" i="1"/>
  <c r="K3079" i="1"/>
  <c r="J3079" i="1"/>
  <c r="H3079" i="1"/>
  <c r="F3079" i="1"/>
  <c r="D3079" i="1"/>
  <c r="B3079" i="1"/>
  <c r="S3078" i="1"/>
  <c r="L3078" i="1"/>
  <c r="K3078" i="1"/>
  <c r="J3078" i="1"/>
  <c r="H3078" i="1"/>
  <c r="F3078" i="1"/>
  <c r="D3078" i="1"/>
  <c r="B3078" i="1"/>
  <c r="S3077" i="1"/>
  <c r="Q3077" i="1"/>
  <c r="L3077" i="1"/>
  <c r="K3077" i="1"/>
  <c r="J3077" i="1"/>
  <c r="H3077" i="1"/>
  <c r="F3077" i="1"/>
  <c r="D3077" i="1"/>
  <c r="B3077" i="1"/>
  <c r="S3076" i="1"/>
  <c r="Q3076" i="1"/>
  <c r="L3076" i="1"/>
  <c r="K3076" i="1"/>
  <c r="J3076" i="1"/>
  <c r="H3076" i="1"/>
  <c r="F3076" i="1"/>
  <c r="D3076" i="1"/>
  <c r="B3076" i="1"/>
  <c r="S3075" i="1"/>
  <c r="Q3075" i="1"/>
  <c r="L3075" i="1"/>
  <c r="K3075" i="1"/>
  <c r="J3075" i="1"/>
  <c r="H3075" i="1"/>
  <c r="F3075" i="1"/>
  <c r="D3075" i="1"/>
  <c r="B3075" i="1"/>
  <c r="S3074" i="1"/>
  <c r="Q3074" i="1"/>
  <c r="L3074" i="1"/>
  <c r="K3074" i="1"/>
  <c r="J3074" i="1"/>
  <c r="H3074" i="1"/>
  <c r="F3074" i="1"/>
  <c r="D3074" i="1"/>
  <c r="B3074" i="1"/>
  <c r="S3073" i="1"/>
  <c r="Q3073" i="1"/>
  <c r="L3073" i="1"/>
  <c r="K3073" i="1"/>
  <c r="J3073" i="1"/>
  <c r="H3073" i="1"/>
  <c r="F3073" i="1"/>
  <c r="D3073" i="1"/>
  <c r="B3073" i="1"/>
  <c r="S3072" i="1"/>
  <c r="Q3072" i="1"/>
  <c r="L3072" i="1"/>
  <c r="K3072" i="1"/>
  <c r="J3072" i="1"/>
  <c r="H3072" i="1"/>
  <c r="F3072" i="1"/>
  <c r="D3072" i="1"/>
  <c r="B3072" i="1"/>
  <c r="S3071" i="1"/>
  <c r="Q3071" i="1"/>
  <c r="L3071" i="1"/>
  <c r="K3071" i="1"/>
  <c r="J3071" i="1"/>
  <c r="H3071" i="1"/>
  <c r="F3071" i="1"/>
  <c r="D3071" i="1"/>
  <c r="B3071" i="1"/>
  <c r="S3070" i="1"/>
  <c r="Q3070" i="1"/>
  <c r="L3070" i="1"/>
  <c r="K3070" i="1"/>
  <c r="J3070" i="1"/>
  <c r="H3070" i="1"/>
  <c r="F3070" i="1"/>
  <c r="D3070" i="1"/>
  <c r="B3070" i="1"/>
  <c r="S3069" i="1"/>
  <c r="Q3069" i="1"/>
  <c r="L3069" i="1"/>
  <c r="K3069" i="1"/>
  <c r="J3069" i="1"/>
  <c r="H3069" i="1"/>
  <c r="F3069" i="1"/>
  <c r="D3069" i="1"/>
  <c r="B3069" i="1"/>
  <c r="S3068" i="1"/>
  <c r="L3068" i="1"/>
  <c r="K3068" i="1"/>
  <c r="J3068" i="1"/>
  <c r="H3068" i="1"/>
  <c r="F3068" i="1"/>
  <c r="D3068" i="1"/>
  <c r="B3068" i="1"/>
  <c r="S3067" i="1"/>
  <c r="Q3067" i="1"/>
  <c r="L3067" i="1"/>
  <c r="K3067" i="1"/>
  <c r="J3067" i="1"/>
  <c r="H3067" i="1"/>
  <c r="F3067" i="1"/>
  <c r="D3067" i="1"/>
  <c r="B3067" i="1"/>
  <c r="S3066" i="1"/>
  <c r="Q3066" i="1"/>
  <c r="L3066" i="1"/>
  <c r="K3066" i="1"/>
  <c r="J3066" i="1"/>
  <c r="H3066" i="1"/>
  <c r="F3066" i="1"/>
  <c r="D3066" i="1"/>
  <c r="B3066" i="1"/>
  <c r="S3065" i="1"/>
  <c r="Q3065" i="1"/>
  <c r="L3065" i="1"/>
  <c r="K3065" i="1"/>
  <c r="J3065" i="1"/>
  <c r="I3065" i="1"/>
  <c r="H3065" i="1"/>
  <c r="G3065" i="1"/>
  <c r="F3065" i="1"/>
  <c r="E3065" i="1"/>
  <c r="D3065" i="1"/>
  <c r="B3065" i="1"/>
  <c r="S3064" i="1"/>
  <c r="Q3064" i="1"/>
  <c r="L3064" i="1"/>
  <c r="K3064" i="1"/>
  <c r="J3064" i="1"/>
  <c r="H3064" i="1"/>
  <c r="F3064" i="1"/>
  <c r="D3064" i="1"/>
  <c r="B3064" i="1"/>
  <c r="S3063" i="1"/>
  <c r="L3063" i="1"/>
  <c r="K3063" i="1"/>
  <c r="J3063" i="1"/>
  <c r="H3063" i="1"/>
  <c r="F3063" i="1"/>
  <c r="D3063" i="1"/>
  <c r="B3063" i="1"/>
  <c r="S3062" i="1"/>
  <c r="Q3062" i="1"/>
  <c r="L3062" i="1"/>
  <c r="K3062" i="1"/>
  <c r="J3062" i="1"/>
  <c r="I3062" i="1"/>
  <c r="H3062" i="1"/>
  <c r="F3062" i="1"/>
  <c r="D3062" i="1"/>
  <c r="B3062" i="1"/>
  <c r="S3061" i="1"/>
  <c r="L3061" i="1"/>
  <c r="K3061" i="1"/>
  <c r="J3061" i="1"/>
  <c r="H3061" i="1"/>
  <c r="F3061" i="1"/>
  <c r="D3061" i="1"/>
  <c r="B3061" i="1"/>
  <c r="S3060" i="1"/>
  <c r="Q3060" i="1"/>
  <c r="L3060" i="1"/>
  <c r="K3060" i="1"/>
  <c r="J3060" i="1"/>
  <c r="H3060" i="1"/>
  <c r="F3060" i="1"/>
  <c r="D3060" i="1"/>
  <c r="B3060" i="1"/>
  <c r="S3059" i="1"/>
  <c r="L3059" i="1"/>
  <c r="K3059" i="1"/>
  <c r="J3059" i="1"/>
  <c r="H3059" i="1"/>
  <c r="F3059" i="1"/>
  <c r="D3059" i="1"/>
  <c r="B3059" i="1"/>
  <c r="S3058" i="1"/>
  <c r="Q3058" i="1"/>
  <c r="L3058" i="1"/>
  <c r="K3058" i="1"/>
  <c r="J3058" i="1"/>
  <c r="H3058" i="1"/>
  <c r="F3058" i="1"/>
  <c r="D3058" i="1"/>
  <c r="B3058" i="1"/>
  <c r="S3057" i="1"/>
  <c r="L3057" i="1"/>
  <c r="K3057" i="1"/>
  <c r="J3057" i="1"/>
  <c r="H3057" i="1"/>
  <c r="F3057" i="1"/>
  <c r="D3057" i="1"/>
  <c r="B3057" i="1"/>
  <c r="S3056" i="1"/>
  <c r="L3056" i="1"/>
  <c r="K3056" i="1"/>
  <c r="J3056" i="1"/>
  <c r="H3056" i="1"/>
  <c r="F3056" i="1"/>
  <c r="D3056" i="1"/>
  <c r="B3056" i="1"/>
  <c r="S3055" i="1"/>
  <c r="L3055" i="1"/>
  <c r="K3055" i="1"/>
  <c r="J3055" i="1"/>
  <c r="H3055" i="1"/>
  <c r="F3055" i="1"/>
  <c r="D3055" i="1"/>
  <c r="B3055" i="1"/>
  <c r="S3054" i="1"/>
  <c r="L3054" i="1"/>
  <c r="K3054" i="1"/>
  <c r="J3054" i="1"/>
  <c r="H3054" i="1"/>
  <c r="F3054" i="1"/>
  <c r="D3054" i="1"/>
  <c r="B3054" i="1"/>
  <c r="S3053" i="1"/>
  <c r="L3053" i="1"/>
  <c r="K3053" i="1"/>
  <c r="J3053" i="1"/>
  <c r="H3053" i="1"/>
  <c r="F3053" i="1"/>
  <c r="D3053" i="1"/>
  <c r="B3053" i="1"/>
  <c r="S3052" i="1"/>
  <c r="L3052" i="1"/>
  <c r="K3052" i="1"/>
  <c r="J3052" i="1"/>
  <c r="H3052" i="1"/>
  <c r="F3052" i="1"/>
  <c r="D3052" i="1"/>
  <c r="B3052" i="1"/>
  <c r="S3051" i="1"/>
  <c r="L3051" i="1"/>
  <c r="K3051" i="1"/>
  <c r="J3051" i="1"/>
  <c r="H3051" i="1"/>
  <c r="F3051" i="1"/>
  <c r="D3051" i="1"/>
  <c r="B3051" i="1"/>
  <c r="S3050" i="1"/>
  <c r="L3050" i="1"/>
  <c r="K3050" i="1"/>
  <c r="J3050" i="1"/>
  <c r="H3050" i="1"/>
  <c r="F3050" i="1"/>
  <c r="D3050" i="1"/>
  <c r="B3050" i="1"/>
  <c r="S3049" i="1"/>
  <c r="L3049" i="1"/>
  <c r="K3049" i="1"/>
  <c r="J3049" i="1"/>
  <c r="H3049" i="1"/>
  <c r="F3049" i="1"/>
  <c r="D3049" i="1"/>
  <c r="B3049" i="1"/>
  <c r="S3048" i="1"/>
  <c r="L3048" i="1"/>
  <c r="K3048" i="1"/>
  <c r="J3048" i="1"/>
  <c r="H3048" i="1"/>
  <c r="F3048" i="1"/>
  <c r="D3048" i="1"/>
  <c r="B3048" i="1"/>
  <c r="S3047" i="1"/>
  <c r="L3047" i="1"/>
  <c r="K3047" i="1"/>
  <c r="J3047" i="1"/>
  <c r="H3047" i="1"/>
  <c r="F3047" i="1"/>
  <c r="D3047" i="1"/>
  <c r="B3047" i="1"/>
  <c r="S3046" i="1"/>
  <c r="L3046" i="1"/>
  <c r="K3046" i="1"/>
  <c r="J3046" i="1"/>
  <c r="H3046" i="1"/>
  <c r="F3046" i="1"/>
  <c r="D3046" i="1"/>
  <c r="B3046" i="1"/>
  <c r="S3045" i="1"/>
  <c r="L3045" i="1"/>
  <c r="K3045" i="1"/>
  <c r="J3045" i="1"/>
  <c r="H3045" i="1"/>
  <c r="F3045" i="1"/>
  <c r="D3045" i="1"/>
  <c r="B3045" i="1"/>
  <c r="S3044" i="1"/>
  <c r="L3044" i="1"/>
  <c r="K3044" i="1"/>
  <c r="J3044" i="1"/>
  <c r="H3044" i="1"/>
  <c r="F3044" i="1"/>
  <c r="D3044" i="1"/>
  <c r="B3044" i="1"/>
  <c r="S3043" i="1"/>
  <c r="L3043" i="1"/>
  <c r="K3043" i="1"/>
  <c r="J3043" i="1"/>
  <c r="I3043" i="1"/>
  <c r="H3043" i="1"/>
  <c r="G3043" i="1"/>
  <c r="F3043" i="1"/>
  <c r="D3043" i="1"/>
  <c r="B3043" i="1"/>
  <c r="S3042" i="1"/>
  <c r="Q3042" i="1"/>
  <c r="L3042" i="1"/>
  <c r="K3042" i="1"/>
  <c r="J3042" i="1"/>
  <c r="I3042" i="1"/>
  <c r="H3042" i="1"/>
  <c r="G3042" i="1"/>
  <c r="F3042" i="1"/>
  <c r="D3042" i="1"/>
  <c r="B3042" i="1"/>
  <c r="S3041" i="1"/>
  <c r="L3041" i="1"/>
  <c r="K3041" i="1"/>
  <c r="J3041" i="1"/>
  <c r="H3041" i="1"/>
  <c r="F3041" i="1"/>
  <c r="D3041" i="1"/>
  <c r="B3041" i="1"/>
  <c r="S3040" i="1"/>
  <c r="Q3040" i="1"/>
  <c r="L3040" i="1"/>
  <c r="K3040" i="1"/>
  <c r="J3040" i="1"/>
  <c r="H3040" i="1"/>
  <c r="F3040" i="1"/>
  <c r="D3040" i="1"/>
  <c r="B3040" i="1"/>
  <c r="S3039" i="1"/>
  <c r="Q3039" i="1"/>
  <c r="L3039" i="1"/>
  <c r="K3039" i="1"/>
  <c r="J3039" i="1"/>
  <c r="H3039" i="1"/>
  <c r="F3039" i="1"/>
  <c r="D3039" i="1"/>
  <c r="B3039" i="1"/>
  <c r="S3038" i="1"/>
  <c r="L3038" i="1"/>
  <c r="K3038" i="1"/>
  <c r="J3038" i="1"/>
  <c r="H3038" i="1"/>
  <c r="F3038" i="1"/>
  <c r="D3038" i="1"/>
  <c r="B3038" i="1"/>
  <c r="S3037" i="1"/>
  <c r="L3037" i="1"/>
  <c r="K3037" i="1"/>
  <c r="J3037" i="1"/>
  <c r="H3037" i="1"/>
  <c r="F3037" i="1"/>
  <c r="D3037" i="1"/>
  <c r="B3037" i="1"/>
  <c r="S3036" i="1"/>
  <c r="L3036" i="1"/>
  <c r="K3036" i="1"/>
  <c r="J3036" i="1"/>
  <c r="H3036" i="1"/>
  <c r="F3036" i="1"/>
  <c r="D3036" i="1"/>
  <c r="B3036" i="1"/>
  <c r="S3035" i="1"/>
  <c r="L3035" i="1"/>
  <c r="K3035" i="1"/>
  <c r="J3035" i="1"/>
  <c r="H3035" i="1"/>
  <c r="F3035" i="1"/>
  <c r="D3035" i="1"/>
  <c r="B3035" i="1"/>
  <c r="S3034" i="1"/>
  <c r="L3034" i="1"/>
  <c r="K3034" i="1"/>
  <c r="J3034" i="1"/>
  <c r="H3034" i="1"/>
  <c r="F3034" i="1"/>
  <c r="D3034" i="1"/>
  <c r="B3034" i="1"/>
  <c r="S3033" i="1"/>
  <c r="L3033" i="1"/>
  <c r="K3033" i="1"/>
  <c r="J3033" i="1"/>
  <c r="H3033" i="1"/>
  <c r="F3033" i="1"/>
  <c r="D3033" i="1"/>
  <c r="B3033" i="1"/>
  <c r="S3032" i="1"/>
  <c r="L3032" i="1"/>
  <c r="K3032" i="1"/>
  <c r="J3032" i="1"/>
  <c r="H3032" i="1"/>
  <c r="F3032" i="1"/>
  <c r="D3032" i="1"/>
  <c r="B3032" i="1"/>
  <c r="S3031" i="1"/>
  <c r="L3031" i="1"/>
  <c r="K3031" i="1"/>
  <c r="J3031" i="1"/>
  <c r="H3031" i="1"/>
  <c r="F3031" i="1"/>
  <c r="D3031" i="1"/>
  <c r="B3031" i="1"/>
  <c r="S3030" i="1"/>
  <c r="L3030" i="1"/>
  <c r="K3030" i="1"/>
  <c r="J3030" i="1"/>
  <c r="H3030" i="1"/>
  <c r="F3030" i="1"/>
  <c r="D3030" i="1"/>
  <c r="B3030" i="1"/>
  <c r="S3029" i="1"/>
  <c r="L3029" i="1"/>
  <c r="K3029" i="1"/>
  <c r="J3029" i="1"/>
  <c r="H3029" i="1"/>
  <c r="F3029" i="1"/>
  <c r="D3029" i="1"/>
  <c r="B3029" i="1"/>
  <c r="S3028" i="1"/>
  <c r="L3028" i="1"/>
  <c r="K3028" i="1"/>
  <c r="J3028" i="1"/>
  <c r="H3028" i="1"/>
  <c r="F3028" i="1"/>
  <c r="D3028" i="1"/>
  <c r="B3028" i="1"/>
  <c r="S3027" i="1"/>
  <c r="L3027" i="1"/>
  <c r="K3027" i="1"/>
  <c r="J3027" i="1"/>
  <c r="H3027" i="1"/>
  <c r="F3027" i="1"/>
  <c r="D3027" i="1"/>
  <c r="B3027" i="1"/>
  <c r="S3026" i="1"/>
  <c r="Q3026" i="1"/>
  <c r="L3026" i="1"/>
  <c r="K3026" i="1"/>
  <c r="J3026" i="1"/>
  <c r="H3026" i="1"/>
  <c r="F3026" i="1"/>
  <c r="D3026" i="1"/>
  <c r="B3026" i="1"/>
  <c r="S3025" i="1"/>
  <c r="Q3025" i="1"/>
  <c r="L3025" i="1"/>
  <c r="K3025" i="1"/>
  <c r="J3025" i="1"/>
  <c r="H3025" i="1"/>
  <c r="F3025" i="1"/>
  <c r="D3025" i="1"/>
  <c r="B3025" i="1"/>
  <c r="S3024" i="1"/>
  <c r="Q3024" i="1"/>
  <c r="L3024" i="1"/>
  <c r="K3024" i="1"/>
  <c r="J3024" i="1"/>
  <c r="H3024" i="1"/>
  <c r="F3024" i="1"/>
  <c r="D3024" i="1"/>
  <c r="B3024" i="1"/>
  <c r="S3023" i="1"/>
  <c r="Q3023" i="1"/>
  <c r="L3023" i="1"/>
  <c r="K3023" i="1"/>
  <c r="J3023" i="1"/>
  <c r="H3023" i="1"/>
  <c r="F3023" i="1"/>
  <c r="D3023" i="1"/>
  <c r="B3023" i="1"/>
  <c r="S3022" i="1"/>
  <c r="Q3022" i="1"/>
  <c r="L3022" i="1"/>
  <c r="K3022" i="1"/>
  <c r="J3022" i="1"/>
  <c r="H3022" i="1"/>
  <c r="F3022" i="1"/>
  <c r="D3022" i="1"/>
  <c r="B3022" i="1"/>
  <c r="S3021" i="1"/>
  <c r="L3021" i="1"/>
  <c r="K3021" i="1"/>
  <c r="J3021" i="1"/>
  <c r="H3021" i="1"/>
  <c r="F3021" i="1"/>
  <c r="D3021" i="1"/>
  <c r="B3021" i="1"/>
  <c r="S3020" i="1"/>
  <c r="Q3020" i="1"/>
  <c r="L3020" i="1"/>
  <c r="K3020" i="1"/>
  <c r="J3020" i="1"/>
  <c r="H3020" i="1"/>
  <c r="F3020" i="1"/>
  <c r="D3020" i="1"/>
  <c r="B3020" i="1"/>
  <c r="S3019" i="1"/>
  <c r="Q3019" i="1"/>
  <c r="L3019" i="1"/>
  <c r="K3019" i="1"/>
  <c r="J3019" i="1"/>
  <c r="H3019" i="1"/>
  <c r="F3019" i="1"/>
  <c r="D3019" i="1"/>
  <c r="B3019" i="1"/>
  <c r="S3018" i="1"/>
  <c r="Q3018" i="1"/>
  <c r="L3018" i="1"/>
  <c r="K3018" i="1"/>
  <c r="J3018" i="1"/>
  <c r="H3018" i="1"/>
  <c r="F3018" i="1"/>
  <c r="D3018" i="1"/>
  <c r="B3018" i="1"/>
  <c r="S3017" i="1"/>
  <c r="L3017" i="1"/>
  <c r="K3017" i="1"/>
  <c r="J3017" i="1"/>
  <c r="H3017" i="1"/>
  <c r="F3017" i="1"/>
  <c r="D3017" i="1"/>
  <c r="B3017" i="1"/>
  <c r="S3016" i="1"/>
  <c r="L3016" i="1"/>
  <c r="K3016" i="1"/>
  <c r="J3016" i="1"/>
  <c r="H3016" i="1"/>
  <c r="F3016" i="1"/>
  <c r="D3016" i="1"/>
  <c r="B3016" i="1"/>
  <c r="S3015" i="1"/>
  <c r="L3015" i="1"/>
  <c r="K3015" i="1"/>
  <c r="J3015" i="1"/>
  <c r="H3015" i="1"/>
  <c r="F3015" i="1"/>
  <c r="D3015" i="1"/>
  <c r="B3015" i="1"/>
  <c r="S3014" i="1"/>
  <c r="L3014" i="1"/>
  <c r="K3014" i="1"/>
  <c r="J3014" i="1"/>
  <c r="H3014" i="1"/>
  <c r="F3014" i="1"/>
  <c r="D3014" i="1"/>
  <c r="B3014" i="1"/>
  <c r="S3013" i="1"/>
  <c r="L3013" i="1"/>
  <c r="K3013" i="1"/>
  <c r="J3013" i="1"/>
  <c r="H3013" i="1"/>
  <c r="F3013" i="1"/>
  <c r="D3013" i="1"/>
  <c r="B3013" i="1"/>
  <c r="S3012" i="1"/>
  <c r="L3012" i="1"/>
  <c r="K3012" i="1"/>
  <c r="J3012" i="1"/>
  <c r="H3012" i="1"/>
  <c r="F3012" i="1"/>
  <c r="D3012" i="1"/>
  <c r="B3012" i="1"/>
  <c r="S3011" i="1"/>
  <c r="L3011" i="1"/>
  <c r="K3011" i="1"/>
  <c r="J3011" i="1"/>
  <c r="H3011" i="1"/>
  <c r="F3011" i="1"/>
  <c r="D3011" i="1"/>
  <c r="B3011" i="1"/>
  <c r="S3010" i="1"/>
  <c r="L3010" i="1"/>
  <c r="K3010" i="1"/>
  <c r="J3010" i="1"/>
  <c r="H3010" i="1"/>
  <c r="F3010" i="1"/>
  <c r="D3010" i="1"/>
  <c r="B3010" i="1"/>
  <c r="S3009" i="1"/>
  <c r="Q3009" i="1"/>
  <c r="L3009" i="1"/>
  <c r="K3009" i="1"/>
  <c r="J3009" i="1"/>
  <c r="H3009" i="1"/>
  <c r="F3009" i="1"/>
  <c r="D3009" i="1"/>
  <c r="B3009" i="1"/>
  <c r="S3008" i="1"/>
  <c r="L3008" i="1"/>
  <c r="K3008" i="1"/>
  <c r="J3008" i="1"/>
  <c r="H3008" i="1"/>
  <c r="F3008" i="1"/>
  <c r="D3008" i="1"/>
  <c r="B3008" i="1"/>
  <c r="S3007" i="1"/>
  <c r="L3007" i="1"/>
  <c r="K3007" i="1"/>
  <c r="J3007" i="1"/>
  <c r="H3007" i="1"/>
  <c r="F3007" i="1"/>
  <c r="D3007" i="1"/>
  <c r="B3007" i="1"/>
  <c r="S3006" i="1"/>
  <c r="L3006" i="1"/>
  <c r="K3006" i="1"/>
  <c r="J3006" i="1"/>
  <c r="H3006" i="1"/>
  <c r="F3006" i="1"/>
  <c r="D3006" i="1"/>
  <c r="B3006" i="1"/>
  <c r="S3005" i="1"/>
  <c r="L3005" i="1"/>
  <c r="K3005" i="1"/>
  <c r="J3005" i="1"/>
  <c r="H3005" i="1"/>
  <c r="F3005" i="1"/>
  <c r="D3005" i="1"/>
  <c r="B3005" i="1"/>
  <c r="S3004" i="1"/>
  <c r="L3004" i="1"/>
  <c r="K3004" i="1"/>
  <c r="J3004" i="1"/>
  <c r="H3004" i="1"/>
  <c r="F3004" i="1"/>
  <c r="D3004" i="1"/>
  <c r="B3004" i="1"/>
  <c r="S3003" i="1"/>
  <c r="L3003" i="1"/>
  <c r="K3003" i="1"/>
  <c r="J3003" i="1"/>
  <c r="H3003" i="1"/>
  <c r="F3003" i="1"/>
  <c r="D3003" i="1"/>
  <c r="B3003" i="1"/>
  <c r="S3002" i="1"/>
  <c r="L3002" i="1"/>
  <c r="K3002" i="1"/>
  <c r="J3002" i="1"/>
  <c r="H3002" i="1"/>
  <c r="F3002" i="1"/>
  <c r="D3002" i="1"/>
  <c r="B3002" i="1"/>
  <c r="S3001" i="1"/>
  <c r="L3001" i="1"/>
  <c r="K3001" i="1"/>
  <c r="J3001" i="1"/>
  <c r="H3001" i="1"/>
  <c r="G3001" i="1"/>
  <c r="F3001" i="1"/>
  <c r="D3001" i="1"/>
  <c r="B3001" i="1"/>
  <c r="S3000" i="1"/>
  <c r="L3000" i="1"/>
  <c r="K3000" i="1"/>
  <c r="J3000" i="1"/>
  <c r="H3000" i="1"/>
  <c r="G3000" i="1"/>
  <c r="F3000" i="1"/>
  <c r="D3000" i="1"/>
  <c r="B3000" i="1"/>
  <c r="S2999" i="1"/>
  <c r="L2999" i="1"/>
  <c r="K2999" i="1"/>
  <c r="J2999" i="1"/>
  <c r="H2999" i="1"/>
  <c r="G2999" i="1"/>
  <c r="F2999" i="1"/>
  <c r="D2999" i="1"/>
  <c r="B2999" i="1"/>
  <c r="S2998" i="1"/>
  <c r="L2998" i="1"/>
  <c r="K2998" i="1"/>
  <c r="J2998" i="1"/>
  <c r="H2998" i="1"/>
  <c r="G2998" i="1"/>
  <c r="F2998" i="1"/>
  <c r="D2998" i="1"/>
  <c r="B2998" i="1"/>
  <c r="S2997" i="1"/>
  <c r="L2997" i="1"/>
  <c r="K2997" i="1"/>
  <c r="J2997" i="1"/>
  <c r="H2997" i="1"/>
  <c r="G2997" i="1"/>
  <c r="F2997" i="1"/>
  <c r="D2997" i="1"/>
  <c r="B2997" i="1"/>
  <c r="S2996" i="1"/>
  <c r="Q2996" i="1"/>
  <c r="L2996" i="1"/>
  <c r="K2996" i="1"/>
  <c r="J2996" i="1"/>
  <c r="I2996" i="1"/>
  <c r="H2996" i="1"/>
  <c r="G2996" i="1"/>
  <c r="F2996" i="1"/>
  <c r="D2996" i="1"/>
  <c r="B2996" i="1"/>
  <c r="S2995" i="1"/>
  <c r="L2995" i="1"/>
  <c r="K2995" i="1"/>
  <c r="J2995" i="1"/>
  <c r="H2995" i="1"/>
  <c r="G2995" i="1"/>
  <c r="F2995" i="1"/>
  <c r="D2995" i="1"/>
  <c r="B2995" i="1"/>
  <c r="S2994" i="1"/>
  <c r="L2994" i="1"/>
  <c r="K2994" i="1"/>
  <c r="J2994" i="1"/>
  <c r="H2994" i="1"/>
  <c r="G2994" i="1"/>
  <c r="F2994" i="1"/>
  <c r="D2994" i="1"/>
  <c r="B2994" i="1"/>
  <c r="S2993" i="1"/>
  <c r="Q2993" i="1"/>
  <c r="L2993" i="1"/>
  <c r="K2993" i="1"/>
  <c r="J2993" i="1"/>
  <c r="I2993" i="1"/>
  <c r="H2993" i="1"/>
  <c r="F2993" i="1"/>
  <c r="D2993" i="1"/>
  <c r="B2993" i="1"/>
  <c r="S2992" i="1"/>
  <c r="L2992" i="1"/>
  <c r="K2992" i="1"/>
  <c r="J2992" i="1"/>
  <c r="H2992" i="1"/>
  <c r="G2992" i="1"/>
  <c r="F2992" i="1"/>
  <c r="D2992" i="1"/>
  <c r="B2992" i="1"/>
  <c r="S2991" i="1"/>
  <c r="L2991" i="1"/>
  <c r="K2991" i="1"/>
  <c r="J2991" i="1"/>
  <c r="H2991" i="1"/>
  <c r="G2991" i="1"/>
  <c r="F2991" i="1"/>
  <c r="D2991" i="1"/>
  <c r="B2991" i="1"/>
  <c r="S2990" i="1"/>
  <c r="Q2990" i="1"/>
  <c r="L2990" i="1"/>
  <c r="K2990" i="1"/>
  <c r="J2990" i="1"/>
  <c r="I2990" i="1"/>
  <c r="H2990" i="1"/>
  <c r="G2990" i="1"/>
  <c r="F2990" i="1"/>
  <c r="D2990" i="1"/>
  <c r="B2990" i="1"/>
  <c r="S2989" i="1"/>
  <c r="L2989" i="1"/>
  <c r="K2989" i="1"/>
  <c r="J2989" i="1"/>
  <c r="H2989" i="1"/>
  <c r="G2989" i="1"/>
  <c r="F2989" i="1"/>
  <c r="D2989" i="1"/>
  <c r="B2989" i="1"/>
  <c r="S2988" i="1"/>
  <c r="L2988" i="1"/>
  <c r="K2988" i="1"/>
  <c r="J2988" i="1"/>
  <c r="H2988" i="1"/>
  <c r="G2988" i="1"/>
  <c r="F2988" i="1"/>
  <c r="D2988" i="1"/>
  <c r="B2988" i="1"/>
  <c r="S2987" i="1"/>
  <c r="Q2987" i="1"/>
  <c r="L2987" i="1"/>
  <c r="K2987" i="1"/>
  <c r="J2987" i="1"/>
  <c r="H2987" i="1"/>
  <c r="G2987" i="1"/>
  <c r="F2987" i="1"/>
  <c r="D2987" i="1"/>
  <c r="B2987" i="1"/>
  <c r="S2986" i="1"/>
  <c r="L2986" i="1"/>
  <c r="K2986" i="1"/>
  <c r="J2986" i="1"/>
  <c r="H2986" i="1"/>
  <c r="G2986" i="1"/>
  <c r="F2986" i="1"/>
  <c r="D2986" i="1"/>
  <c r="B2986" i="1"/>
  <c r="S2985" i="1"/>
  <c r="L2985" i="1"/>
  <c r="K2985" i="1"/>
  <c r="J2985" i="1"/>
  <c r="H2985" i="1"/>
  <c r="G2985" i="1"/>
  <c r="F2985" i="1"/>
  <c r="D2985" i="1"/>
  <c r="B2985" i="1"/>
  <c r="S2984" i="1"/>
  <c r="Q2984" i="1"/>
  <c r="L2984" i="1"/>
  <c r="K2984" i="1"/>
  <c r="J2984" i="1"/>
  <c r="H2984" i="1"/>
  <c r="G2984" i="1"/>
  <c r="F2984" i="1"/>
  <c r="D2984" i="1"/>
  <c r="B2984" i="1"/>
  <c r="S2983" i="1"/>
  <c r="L2983" i="1"/>
  <c r="K2983" i="1"/>
  <c r="J2983" i="1"/>
  <c r="H2983" i="1"/>
  <c r="G2983" i="1"/>
  <c r="F2983" i="1"/>
  <c r="D2983" i="1"/>
  <c r="B2983" i="1"/>
  <c r="S2982" i="1"/>
  <c r="L2982" i="1"/>
  <c r="K2982" i="1"/>
  <c r="J2982" i="1"/>
  <c r="H2982" i="1"/>
  <c r="G2982" i="1"/>
  <c r="F2982" i="1"/>
  <c r="D2982" i="1"/>
  <c r="B2982" i="1"/>
  <c r="S2981" i="1"/>
  <c r="L2981" i="1"/>
  <c r="K2981" i="1"/>
  <c r="J2981" i="1"/>
  <c r="H2981" i="1"/>
  <c r="G2981" i="1"/>
  <c r="F2981" i="1"/>
  <c r="D2981" i="1"/>
  <c r="B2981" i="1"/>
  <c r="S2980" i="1"/>
  <c r="L2980" i="1"/>
  <c r="K2980" i="1"/>
  <c r="J2980" i="1"/>
  <c r="H2980" i="1"/>
  <c r="G2980" i="1"/>
  <c r="F2980" i="1"/>
  <c r="D2980" i="1"/>
  <c r="B2980" i="1"/>
  <c r="S2979" i="1"/>
  <c r="L2979" i="1"/>
  <c r="K2979" i="1"/>
  <c r="J2979" i="1"/>
  <c r="H2979" i="1"/>
  <c r="G2979" i="1"/>
  <c r="F2979" i="1"/>
  <c r="D2979" i="1"/>
  <c r="B2979" i="1"/>
  <c r="S2978" i="1"/>
  <c r="L2978" i="1"/>
  <c r="K2978" i="1"/>
  <c r="J2978" i="1"/>
  <c r="H2978" i="1"/>
  <c r="G2978" i="1"/>
  <c r="F2978" i="1"/>
  <c r="D2978" i="1"/>
  <c r="B2978" i="1"/>
  <c r="S2977" i="1"/>
  <c r="L2977" i="1"/>
  <c r="K2977" i="1"/>
  <c r="J2977" i="1"/>
  <c r="H2977" i="1"/>
  <c r="G2977" i="1"/>
  <c r="F2977" i="1"/>
  <c r="D2977" i="1"/>
  <c r="B2977" i="1"/>
  <c r="S2976" i="1"/>
  <c r="L2976" i="1"/>
  <c r="K2976" i="1"/>
  <c r="J2976" i="1"/>
  <c r="H2976" i="1"/>
  <c r="G2976" i="1"/>
  <c r="F2976" i="1"/>
  <c r="D2976" i="1"/>
  <c r="B2976" i="1"/>
  <c r="S2975" i="1"/>
  <c r="L2975" i="1"/>
  <c r="K2975" i="1"/>
  <c r="J2975" i="1"/>
  <c r="H2975" i="1"/>
  <c r="G2975" i="1"/>
  <c r="F2975" i="1"/>
  <c r="D2975" i="1"/>
  <c r="B2975" i="1"/>
  <c r="S2974" i="1"/>
  <c r="L2974" i="1"/>
  <c r="K2974" i="1"/>
  <c r="J2974" i="1"/>
  <c r="H2974" i="1"/>
  <c r="G2974" i="1"/>
  <c r="F2974" i="1"/>
  <c r="D2974" i="1"/>
  <c r="B2974" i="1"/>
  <c r="S2973" i="1"/>
  <c r="L2973" i="1"/>
  <c r="K2973" i="1"/>
  <c r="J2973" i="1"/>
  <c r="H2973" i="1"/>
  <c r="G2973" i="1"/>
  <c r="F2973" i="1"/>
  <c r="D2973" i="1"/>
  <c r="B2973" i="1"/>
  <c r="S2972" i="1"/>
  <c r="L2972" i="1"/>
  <c r="K2972" i="1"/>
  <c r="J2972" i="1"/>
  <c r="H2972" i="1"/>
  <c r="G2972" i="1"/>
  <c r="F2972" i="1"/>
  <c r="D2972" i="1"/>
  <c r="B2972" i="1"/>
  <c r="S2971" i="1"/>
  <c r="L2971" i="1"/>
  <c r="K2971" i="1"/>
  <c r="J2971" i="1"/>
  <c r="H2971" i="1"/>
  <c r="G2971" i="1"/>
  <c r="F2971" i="1"/>
  <c r="D2971" i="1"/>
  <c r="B2971" i="1"/>
  <c r="S2970" i="1"/>
  <c r="L2970" i="1"/>
  <c r="K2970" i="1"/>
  <c r="J2970" i="1"/>
  <c r="H2970" i="1"/>
  <c r="G2970" i="1"/>
  <c r="F2970" i="1"/>
  <c r="D2970" i="1"/>
  <c r="B2970" i="1"/>
  <c r="S2969" i="1"/>
  <c r="L2969" i="1"/>
  <c r="K2969" i="1"/>
  <c r="J2969" i="1"/>
  <c r="H2969" i="1"/>
  <c r="G2969" i="1"/>
  <c r="F2969" i="1"/>
  <c r="D2969" i="1"/>
  <c r="B2969" i="1"/>
  <c r="S2968" i="1"/>
  <c r="L2968" i="1"/>
  <c r="K2968" i="1"/>
  <c r="J2968" i="1"/>
  <c r="H2968" i="1"/>
  <c r="G2968" i="1"/>
  <c r="F2968" i="1"/>
  <c r="D2968" i="1"/>
  <c r="B2968" i="1"/>
  <c r="S2967" i="1"/>
  <c r="L2967" i="1"/>
  <c r="K2967" i="1"/>
  <c r="J2967" i="1"/>
  <c r="H2967" i="1"/>
  <c r="G2967" i="1"/>
  <c r="F2967" i="1"/>
  <c r="D2967" i="1"/>
  <c r="B2967" i="1"/>
  <c r="S2966" i="1"/>
  <c r="L2966" i="1"/>
  <c r="K2966" i="1"/>
  <c r="J2966" i="1"/>
  <c r="H2966" i="1"/>
  <c r="G2966" i="1"/>
  <c r="F2966" i="1"/>
  <c r="D2966" i="1"/>
  <c r="B2966" i="1"/>
  <c r="S2965" i="1"/>
  <c r="L2965" i="1"/>
  <c r="K2965" i="1"/>
  <c r="J2965" i="1"/>
  <c r="H2965" i="1"/>
  <c r="G2965" i="1"/>
  <c r="F2965" i="1"/>
  <c r="D2965" i="1"/>
  <c r="B2965" i="1"/>
  <c r="S2964" i="1"/>
  <c r="L2964" i="1"/>
  <c r="K2964" i="1"/>
  <c r="J2964" i="1"/>
  <c r="H2964" i="1"/>
  <c r="G2964" i="1"/>
  <c r="F2964" i="1"/>
  <c r="D2964" i="1"/>
  <c r="B2964" i="1"/>
  <c r="S2963" i="1"/>
  <c r="L2963" i="1"/>
  <c r="K2963" i="1"/>
  <c r="J2963" i="1"/>
  <c r="H2963" i="1"/>
  <c r="G2963" i="1"/>
  <c r="F2963" i="1"/>
  <c r="D2963" i="1"/>
  <c r="B2963" i="1"/>
  <c r="S2962" i="1"/>
  <c r="L2962" i="1"/>
  <c r="K2962" i="1"/>
  <c r="J2962" i="1"/>
  <c r="H2962" i="1"/>
  <c r="G2962" i="1"/>
  <c r="F2962" i="1"/>
  <c r="D2962" i="1"/>
  <c r="B2962" i="1"/>
  <c r="S2961" i="1"/>
  <c r="L2961" i="1"/>
  <c r="K2961" i="1"/>
  <c r="J2961" i="1"/>
  <c r="H2961" i="1"/>
  <c r="G2961" i="1"/>
  <c r="F2961" i="1"/>
  <c r="D2961" i="1"/>
  <c r="B2961" i="1"/>
  <c r="S2960" i="1"/>
  <c r="L2960" i="1"/>
  <c r="K2960" i="1"/>
  <c r="J2960" i="1"/>
  <c r="H2960" i="1"/>
  <c r="G2960" i="1"/>
  <c r="F2960" i="1"/>
  <c r="D2960" i="1"/>
  <c r="B2960" i="1"/>
  <c r="S2959" i="1"/>
  <c r="L2959" i="1"/>
  <c r="K2959" i="1"/>
  <c r="J2959" i="1"/>
  <c r="H2959" i="1"/>
  <c r="G2959" i="1"/>
  <c r="F2959" i="1"/>
  <c r="D2959" i="1"/>
  <c r="B2959" i="1"/>
  <c r="S2958" i="1"/>
  <c r="L2958" i="1"/>
  <c r="K2958" i="1"/>
  <c r="J2958" i="1"/>
  <c r="H2958" i="1"/>
  <c r="G2958" i="1"/>
  <c r="F2958" i="1"/>
  <c r="D2958" i="1"/>
  <c r="B2958" i="1"/>
  <c r="S2957" i="1"/>
  <c r="L2957" i="1"/>
  <c r="K2957" i="1"/>
  <c r="J2957" i="1"/>
  <c r="H2957" i="1"/>
  <c r="G2957" i="1"/>
  <c r="F2957" i="1"/>
  <c r="D2957" i="1"/>
  <c r="B2957" i="1"/>
  <c r="S2956" i="1"/>
  <c r="L2956" i="1"/>
  <c r="K2956" i="1"/>
  <c r="J2956" i="1"/>
  <c r="H2956" i="1"/>
  <c r="G2956" i="1"/>
  <c r="F2956" i="1"/>
  <c r="D2956" i="1"/>
  <c r="B2956" i="1"/>
  <c r="S2955" i="1"/>
  <c r="L2955" i="1"/>
  <c r="K2955" i="1"/>
  <c r="J2955" i="1"/>
  <c r="H2955" i="1"/>
  <c r="G2955" i="1"/>
  <c r="F2955" i="1"/>
  <c r="D2955" i="1"/>
  <c r="B2955" i="1"/>
  <c r="S2954" i="1"/>
  <c r="Q2954" i="1"/>
  <c r="L2954" i="1"/>
  <c r="K2954" i="1"/>
  <c r="J2954" i="1"/>
  <c r="I2954" i="1"/>
  <c r="H2954" i="1"/>
  <c r="G2954" i="1"/>
  <c r="F2954" i="1"/>
  <c r="D2954" i="1"/>
  <c r="B2954" i="1"/>
  <c r="S2953" i="1"/>
  <c r="L2953" i="1"/>
  <c r="K2953" i="1"/>
  <c r="J2953" i="1"/>
  <c r="H2953" i="1"/>
  <c r="G2953" i="1"/>
  <c r="F2953" i="1"/>
  <c r="D2953" i="1"/>
  <c r="B2953" i="1"/>
  <c r="S2952" i="1"/>
  <c r="L2952" i="1"/>
  <c r="K2952" i="1"/>
  <c r="J2952" i="1"/>
  <c r="H2952" i="1"/>
  <c r="G2952" i="1"/>
  <c r="F2952" i="1"/>
  <c r="D2952" i="1"/>
  <c r="B2952" i="1"/>
  <c r="S2951" i="1"/>
  <c r="L2951" i="1"/>
  <c r="K2951" i="1"/>
  <c r="J2951" i="1"/>
  <c r="H2951" i="1"/>
  <c r="G2951" i="1"/>
  <c r="F2951" i="1"/>
  <c r="D2951" i="1"/>
  <c r="B2951" i="1"/>
  <c r="S2950" i="1"/>
  <c r="Q2950" i="1"/>
  <c r="L2950" i="1"/>
  <c r="K2950" i="1"/>
  <c r="J2950" i="1"/>
  <c r="H2950" i="1"/>
  <c r="G2950" i="1"/>
  <c r="F2950" i="1"/>
  <c r="D2950" i="1"/>
  <c r="B2950" i="1"/>
  <c r="S2949" i="1"/>
  <c r="L2949" i="1"/>
  <c r="K2949" i="1"/>
  <c r="J2949" i="1"/>
  <c r="H2949" i="1"/>
  <c r="G2949" i="1"/>
  <c r="F2949" i="1"/>
  <c r="D2949" i="1"/>
  <c r="B2949" i="1"/>
  <c r="S2948" i="1"/>
  <c r="L2948" i="1"/>
  <c r="K2948" i="1"/>
  <c r="J2948" i="1"/>
  <c r="H2948" i="1"/>
  <c r="G2948" i="1"/>
  <c r="F2948" i="1"/>
  <c r="D2948" i="1"/>
  <c r="B2948" i="1"/>
  <c r="S2947" i="1"/>
  <c r="L2947" i="1"/>
  <c r="K2947" i="1"/>
  <c r="J2947" i="1"/>
  <c r="H2947" i="1"/>
  <c r="G2947" i="1"/>
  <c r="F2947" i="1"/>
  <c r="D2947" i="1"/>
  <c r="B2947" i="1"/>
  <c r="S2946" i="1"/>
  <c r="L2946" i="1"/>
  <c r="K2946" i="1"/>
  <c r="J2946" i="1"/>
  <c r="H2946" i="1"/>
  <c r="G2946" i="1"/>
  <c r="F2946" i="1"/>
  <c r="D2946" i="1"/>
  <c r="B2946" i="1"/>
  <c r="S2945" i="1"/>
  <c r="L2945" i="1"/>
  <c r="K2945" i="1"/>
  <c r="J2945" i="1"/>
  <c r="I2945" i="1"/>
  <c r="H2945" i="1"/>
  <c r="F2945" i="1"/>
  <c r="D2945" i="1"/>
  <c r="B2945" i="1"/>
  <c r="S2944" i="1"/>
  <c r="L2944" i="1"/>
  <c r="K2944" i="1"/>
  <c r="J2944" i="1"/>
  <c r="H2944" i="1"/>
  <c r="G2944" i="1"/>
  <c r="F2944" i="1"/>
  <c r="D2944" i="1"/>
  <c r="B2944" i="1"/>
  <c r="S2943" i="1"/>
  <c r="L2943" i="1"/>
  <c r="K2943" i="1"/>
  <c r="J2943" i="1"/>
  <c r="H2943" i="1"/>
  <c r="G2943" i="1"/>
  <c r="F2943" i="1"/>
  <c r="D2943" i="1"/>
  <c r="B2943" i="1"/>
  <c r="S2942" i="1"/>
  <c r="Q2942" i="1"/>
  <c r="L2942" i="1"/>
  <c r="K2942" i="1"/>
  <c r="J2942" i="1"/>
  <c r="H2942" i="1"/>
  <c r="G2942" i="1"/>
  <c r="F2942" i="1"/>
  <c r="D2942" i="1"/>
  <c r="B2942" i="1"/>
  <c r="S2941" i="1"/>
  <c r="L2941" i="1"/>
  <c r="K2941" i="1"/>
  <c r="J2941" i="1"/>
  <c r="H2941" i="1"/>
  <c r="G2941" i="1"/>
  <c r="F2941" i="1"/>
  <c r="D2941" i="1"/>
  <c r="B2941" i="1"/>
  <c r="S2940" i="1"/>
  <c r="Q2940" i="1"/>
  <c r="L2940" i="1"/>
  <c r="K2940" i="1"/>
  <c r="J2940" i="1"/>
  <c r="I2940" i="1"/>
  <c r="H2940" i="1"/>
  <c r="G2940" i="1"/>
  <c r="F2940" i="1"/>
  <c r="D2940" i="1"/>
  <c r="B2940" i="1"/>
  <c r="S2939" i="1"/>
  <c r="Q2939" i="1"/>
  <c r="L2939" i="1"/>
  <c r="K2939" i="1"/>
  <c r="J2939" i="1"/>
  <c r="I2939" i="1"/>
  <c r="H2939" i="1"/>
  <c r="G2939" i="1"/>
  <c r="F2939" i="1"/>
  <c r="D2939" i="1"/>
  <c r="B2939" i="1"/>
  <c r="S2938" i="1"/>
  <c r="L2938" i="1"/>
  <c r="K2938" i="1"/>
  <c r="J2938" i="1"/>
  <c r="H2938" i="1"/>
  <c r="G2938" i="1"/>
  <c r="F2938" i="1"/>
  <c r="D2938" i="1"/>
  <c r="B2938" i="1"/>
  <c r="S2937" i="1"/>
  <c r="L2937" i="1"/>
  <c r="K2937" i="1"/>
  <c r="J2937" i="1"/>
  <c r="I2937" i="1"/>
  <c r="H2937" i="1"/>
  <c r="F2937" i="1"/>
  <c r="D2937" i="1"/>
  <c r="B2937" i="1"/>
  <c r="S2936" i="1"/>
  <c r="Q2936" i="1"/>
  <c r="L2936" i="1"/>
  <c r="K2936" i="1"/>
  <c r="J2936" i="1"/>
  <c r="I2936" i="1"/>
  <c r="H2936" i="1"/>
  <c r="G2936" i="1"/>
  <c r="F2936" i="1"/>
  <c r="D2936" i="1"/>
  <c r="B2936" i="1"/>
  <c r="S2935" i="1"/>
  <c r="L2935" i="1"/>
  <c r="K2935" i="1"/>
  <c r="J2935" i="1"/>
  <c r="I2935" i="1"/>
  <c r="H2935" i="1"/>
  <c r="F2935" i="1"/>
  <c r="D2935" i="1"/>
  <c r="B2935" i="1"/>
  <c r="S2934" i="1"/>
  <c r="L2934" i="1"/>
  <c r="K2934" i="1"/>
  <c r="J2934" i="1"/>
  <c r="H2934" i="1"/>
  <c r="G2934" i="1"/>
  <c r="F2934" i="1"/>
  <c r="D2934" i="1"/>
  <c r="B2934" i="1"/>
  <c r="S2933" i="1"/>
  <c r="L2933" i="1"/>
  <c r="K2933" i="1"/>
  <c r="J2933" i="1"/>
  <c r="H2933" i="1"/>
  <c r="G2933" i="1"/>
  <c r="F2933" i="1"/>
  <c r="D2933" i="1"/>
  <c r="B2933" i="1"/>
  <c r="S2932" i="1"/>
  <c r="L2932" i="1"/>
  <c r="K2932" i="1"/>
  <c r="J2932" i="1"/>
  <c r="H2932" i="1"/>
  <c r="G2932" i="1"/>
  <c r="F2932" i="1"/>
  <c r="D2932" i="1"/>
  <c r="B2932" i="1"/>
  <c r="S2931" i="1"/>
  <c r="L2931" i="1"/>
  <c r="K2931" i="1"/>
  <c r="J2931" i="1"/>
  <c r="H2931" i="1"/>
  <c r="G2931" i="1"/>
  <c r="F2931" i="1"/>
  <c r="D2931" i="1"/>
  <c r="B2931" i="1"/>
  <c r="S2930" i="1"/>
  <c r="L2930" i="1"/>
  <c r="K2930" i="1"/>
  <c r="J2930" i="1"/>
  <c r="H2930" i="1"/>
  <c r="G2930" i="1"/>
  <c r="F2930" i="1"/>
  <c r="D2930" i="1"/>
  <c r="B2930" i="1"/>
  <c r="S2929" i="1"/>
  <c r="L2929" i="1"/>
  <c r="K2929" i="1"/>
  <c r="J2929" i="1"/>
  <c r="H2929" i="1"/>
  <c r="G2929" i="1"/>
  <c r="F2929" i="1"/>
  <c r="D2929" i="1"/>
  <c r="B2929" i="1"/>
  <c r="S2928" i="1"/>
  <c r="L2928" i="1"/>
  <c r="K2928" i="1"/>
  <c r="J2928" i="1"/>
  <c r="H2928" i="1"/>
  <c r="G2928" i="1"/>
  <c r="F2928" i="1"/>
  <c r="D2928" i="1"/>
  <c r="B2928" i="1"/>
  <c r="S2927" i="1"/>
  <c r="L2927" i="1"/>
  <c r="K2927" i="1"/>
  <c r="J2927" i="1"/>
  <c r="H2927" i="1"/>
  <c r="G2927" i="1"/>
  <c r="F2927" i="1"/>
  <c r="D2927" i="1"/>
  <c r="B2927" i="1"/>
  <c r="S2926" i="1"/>
  <c r="L2926" i="1"/>
  <c r="K2926" i="1"/>
  <c r="J2926" i="1"/>
  <c r="H2926" i="1"/>
  <c r="G2926" i="1"/>
  <c r="F2926" i="1"/>
  <c r="D2926" i="1"/>
  <c r="B2926" i="1"/>
  <c r="S2925" i="1"/>
  <c r="L2925" i="1"/>
  <c r="K2925" i="1"/>
  <c r="J2925" i="1"/>
  <c r="H2925" i="1"/>
  <c r="G2925" i="1"/>
  <c r="F2925" i="1"/>
  <c r="D2925" i="1"/>
  <c r="B2925" i="1"/>
  <c r="S2924" i="1"/>
  <c r="L2924" i="1"/>
  <c r="K2924" i="1"/>
  <c r="J2924" i="1"/>
  <c r="H2924" i="1"/>
  <c r="G2924" i="1"/>
  <c r="F2924" i="1"/>
  <c r="D2924" i="1"/>
  <c r="B2924" i="1"/>
  <c r="S2923" i="1"/>
  <c r="L2923" i="1"/>
  <c r="K2923" i="1"/>
  <c r="J2923" i="1"/>
  <c r="H2923" i="1"/>
  <c r="G2923" i="1"/>
  <c r="F2923" i="1"/>
  <c r="D2923" i="1"/>
  <c r="B2923" i="1"/>
  <c r="S2922" i="1"/>
  <c r="L2922" i="1"/>
  <c r="K2922" i="1"/>
  <c r="J2922" i="1"/>
  <c r="H2922" i="1"/>
  <c r="G2922" i="1"/>
  <c r="F2922" i="1"/>
  <c r="D2922" i="1"/>
  <c r="B2922" i="1"/>
  <c r="S2921" i="1"/>
  <c r="L2921" i="1"/>
  <c r="K2921" i="1"/>
  <c r="J2921" i="1"/>
  <c r="H2921" i="1"/>
  <c r="G2921" i="1"/>
  <c r="F2921" i="1"/>
  <c r="D2921" i="1"/>
  <c r="B2921" i="1"/>
  <c r="S2920" i="1"/>
  <c r="L2920" i="1"/>
  <c r="K2920" i="1"/>
  <c r="J2920" i="1"/>
  <c r="H2920" i="1"/>
  <c r="G2920" i="1"/>
  <c r="F2920" i="1"/>
  <c r="D2920" i="1"/>
  <c r="B2920" i="1"/>
  <c r="S2919" i="1"/>
  <c r="L2919" i="1"/>
  <c r="K2919" i="1"/>
  <c r="J2919" i="1"/>
  <c r="H2919" i="1"/>
  <c r="G2919" i="1"/>
  <c r="F2919" i="1"/>
  <c r="D2919" i="1"/>
  <c r="B2919" i="1"/>
  <c r="S2918" i="1"/>
  <c r="L2918" i="1"/>
  <c r="K2918" i="1"/>
  <c r="J2918" i="1"/>
  <c r="H2918" i="1"/>
  <c r="G2918" i="1"/>
  <c r="F2918" i="1"/>
  <c r="D2918" i="1"/>
  <c r="B2918" i="1"/>
  <c r="S2917" i="1"/>
  <c r="L2917" i="1"/>
  <c r="K2917" i="1"/>
  <c r="J2917" i="1"/>
  <c r="H2917" i="1"/>
  <c r="G2917" i="1"/>
  <c r="F2917" i="1"/>
  <c r="D2917" i="1"/>
  <c r="B2917" i="1"/>
  <c r="S2916" i="1"/>
  <c r="Q2916" i="1"/>
  <c r="L2916" i="1"/>
  <c r="K2916" i="1"/>
  <c r="J2916" i="1"/>
  <c r="I2916" i="1"/>
  <c r="H2916" i="1"/>
  <c r="G2916" i="1"/>
  <c r="F2916" i="1"/>
  <c r="D2916" i="1"/>
  <c r="B2916" i="1"/>
  <c r="S2915" i="1"/>
  <c r="L2915" i="1"/>
  <c r="K2915" i="1"/>
  <c r="J2915" i="1"/>
  <c r="H2915" i="1"/>
  <c r="G2915" i="1"/>
  <c r="F2915" i="1"/>
  <c r="D2915" i="1"/>
  <c r="B2915" i="1"/>
  <c r="S2914" i="1"/>
  <c r="L2914" i="1"/>
  <c r="K2914" i="1"/>
  <c r="J2914" i="1"/>
  <c r="H2914" i="1"/>
  <c r="G2914" i="1"/>
  <c r="F2914" i="1"/>
  <c r="D2914" i="1"/>
  <c r="B2914" i="1"/>
  <c r="S2913" i="1"/>
  <c r="Q2913" i="1"/>
  <c r="L2913" i="1"/>
  <c r="K2913" i="1"/>
  <c r="J2913" i="1"/>
  <c r="H2913" i="1"/>
  <c r="G2913" i="1"/>
  <c r="F2913" i="1"/>
  <c r="D2913" i="1"/>
  <c r="B2913" i="1"/>
  <c r="S2912" i="1"/>
  <c r="L2912" i="1"/>
  <c r="K2912" i="1"/>
  <c r="J2912" i="1"/>
  <c r="H2912" i="1"/>
  <c r="G2912" i="1"/>
  <c r="F2912" i="1"/>
  <c r="D2912" i="1"/>
  <c r="B2912" i="1"/>
  <c r="S2911" i="1"/>
  <c r="L2911" i="1"/>
  <c r="K2911" i="1"/>
  <c r="J2911" i="1"/>
  <c r="H2911" i="1"/>
  <c r="G2911" i="1"/>
  <c r="F2911" i="1"/>
  <c r="D2911" i="1"/>
  <c r="B2911" i="1"/>
  <c r="S2910" i="1"/>
  <c r="L2910" i="1"/>
  <c r="K2910" i="1"/>
  <c r="J2910" i="1"/>
  <c r="H2910" i="1"/>
  <c r="G2910" i="1"/>
  <c r="F2910" i="1"/>
  <c r="D2910" i="1"/>
  <c r="B2910" i="1"/>
  <c r="S2909" i="1"/>
  <c r="L2909" i="1"/>
  <c r="K2909" i="1"/>
  <c r="J2909" i="1"/>
  <c r="H2909" i="1"/>
  <c r="G2909" i="1"/>
  <c r="F2909" i="1"/>
  <c r="D2909" i="1"/>
  <c r="B2909" i="1"/>
  <c r="S2908" i="1"/>
  <c r="L2908" i="1"/>
  <c r="K2908" i="1"/>
  <c r="J2908" i="1"/>
  <c r="H2908" i="1"/>
  <c r="G2908" i="1"/>
  <c r="F2908" i="1"/>
  <c r="D2908" i="1"/>
  <c r="B2908" i="1"/>
  <c r="S2907" i="1"/>
  <c r="Q2907" i="1"/>
  <c r="L2907" i="1"/>
  <c r="K2907" i="1"/>
  <c r="J2907" i="1"/>
  <c r="H2907" i="1"/>
  <c r="G2907" i="1"/>
  <c r="F2907" i="1"/>
  <c r="D2907" i="1"/>
  <c r="B2907" i="1"/>
  <c r="S2906" i="1"/>
  <c r="L2906" i="1"/>
  <c r="K2906" i="1"/>
  <c r="J2906" i="1"/>
  <c r="H2906" i="1"/>
  <c r="G2906" i="1"/>
  <c r="F2906" i="1"/>
  <c r="D2906" i="1"/>
  <c r="B2906" i="1"/>
  <c r="S2905" i="1"/>
  <c r="L2905" i="1"/>
  <c r="K2905" i="1"/>
  <c r="J2905" i="1"/>
  <c r="H2905" i="1"/>
  <c r="G2905" i="1"/>
  <c r="F2905" i="1"/>
  <c r="D2905" i="1"/>
  <c r="B2905" i="1"/>
  <c r="S2904" i="1"/>
  <c r="L2904" i="1"/>
  <c r="K2904" i="1"/>
  <c r="J2904" i="1"/>
  <c r="H2904" i="1"/>
  <c r="G2904" i="1"/>
  <c r="F2904" i="1"/>
  <c r="D2904" i="1"/>
  <c r="B2904" i="1"/>
  <c r="S2903" i="1"/>
  <c r="L2903" i="1"/>
  <c r="K2903" i="1"/>
  <c r="J2903" i="1"/>
  <c r="H2903" i="1"/>
  <c r="G2903" i="1"/>
  <c r="F2903" i="1"/>
  <c r="D2903" i="1"/>
  <c r="B2903" i="1"/>
  <c r="S2902" i="1"/>
  <c r="L2902" i="1"/>
  <c r="K2902" i="1"/>
  <c r="J2902" i="1"/>
  <c r="H2902" i="1"/>
  <c r="G2902" i="1"/>
  <c r="F2902" i="1"/>
  <c r="D2902" i="1"/>
  <c r="B2902" i="1"/>
  <c r="S2901" i="1"/>
  <c r="L2901" i="1"/>
  <c r="K2901" i="1"/>
  <c r="J2901" i="1"/>
  <c r="H2901" i="1"/>
  <c r="G2901" i="1"/>
  <c r="F2901" i="1"/>
  <c r="D2901" i="1"/>
  <c r="B2901" i="1"/>
  <c r="S2900" i="1"/>
  <c r="L2900" i="1"/>
  <c r="K2900" i="1"/>
  <c r="J2900" i="1"/>
  <c r="H2900" i="1"/>
  <c r="G2900" i="1"/>
  <c r="F2900" i="1"/>
  <c r="D2900" i="1"/>
  <c r="B2900" i="1"/>
  <c r="S2899" i="1"/>
  <c r="L2899" i="1"/>
  <c r="K2899" i="1"/>
  <c r="J2899" i="1"/>
  <c r="H2899" i="1"/>
  <c r="G2899" i="1"/>
  <c r="F2899" i="1"/>
  <c r="D2899" i="1"/>
  <c r="B2899" i="1"/>
  <c r="S2898" i="1"/>
  <c r="L2898" i="1"/>
  <c r="K2898" i="1"/>
  <c r="J2898" i="1"/>
  <c r="H2898" i="1"/>
  <c r="G2898" i="1"/>
  <c r="F2898" i="1"/>
  <c r="D2898" i="1"/>
  <c r="B2898" i="1"/>
  <c r="S2897" i="1"/>
  <c r="L2897" i="1"/>
  <c r="K2897" i="1"/>
  <c r="J2897" i="1"/>
  <c r="H2897" i="1"/>
  <c r="G2897" i="1"/>
  <c r="F2897" i="1"/>
  <c r="D2897" i="1"/>
  <c r="B2897" i="1"/>
  <c r="S2896" i="1"/>
  <c r="Q2896" i="1"/>
  <c r="L2896" i="1"/>
  <c r="K2896" i="1"/>
  <c r="J2896" i="1"/>
  <c r="H2896" i="1"/>
  <c r="G2896" i="1"/>
  <c r="F2896" i="1"/>
  <c r="D2896" i="1"/>
  <c r="B2896" i="1"/>
  <c r="S2895" i="1"/>
  <c r="L2895" i="1"/>
  <c r="K2895" i="1"/>
  <c r="J2895" i="1"/>
  <c r="H2895" i="1"/>
  <c r="G2895" i="1"/>
  <c r="F2895" i="1"/>
  <c r="D2895" i="1"/>
  <c r="B2895" i="1"/>
  <c r="S2894" i="1"/>
  <c r="L2894" i="1"/>
  <c r="K2894" i="1"/>
  <c r="J2894" i="1"/>
  <c r="H2894" i="1"/>
  <c r="G2894" i="1"/>
  <c r="F2894" i="1"/>
  <c r="D2894" i="1"/>
  <c r="B2894" i="1"/>
  <c r="S2893" i="1"/>
  <c r="L2893" i="1"/>
  <c r="K2893" i="1"/>
  <c r="J2893" i="1"/>
  <c r="H2893" i="1"/>
  <c r="G2893" i="1"/>
  <c r="F2893" i="1"/>
  <c r="D2893" i="1"/>
  <c r="B2893" i="1"/>
  <c r="S2892" i="1"/>
  <c r="L2892" i="1"/>
  <c r="K2892" i="1"/>
  <c r="J2892" i="1"/>
  <c r="H2892" i="1"/>
  <c r="G2892" i="1"/>
  <c r="F2892" i="1"/>
  <c r="D2892" i="1"/>
  <c r="B2892" i="1"/>
  <c r="S2891" i="1"/>
  <c r="L2891" i="1"/>
  <c r="K2891" i="1"/>
  <c r="J2891" i="1"/>
  <c r="H2891" i="1"/>
  <c r="G2891" i="1"/>
  <c r="F2891" i="1"/>
  <c r="D2891" i="1"/>
  <c r="B2891" i="1"/>
  <c r="S2890" i="1"/>
  <c r="L2890" i="1"/>
  <c r="K2890" i="1"/>
  <c r="J2890" i="1"/>
  <c r="H2890" i="1"/>
  <c r="G2890" i="1"/>
  <c r="F2890" i="1"/>
  <c r="D2890" i="1"/>
  <c r="B2890" i="1"/>
  <c r="S2889" i="1"/>
  <c r="L2889" i="1"/>
  <c r="K2889" i="1"/>
  <c r="J2889" i="1"/>
  <c r="H2889" i="1"/>
  <c r="G2889" i="1"/>
  <c r="F2889" i="1"/>
  <c r="D2889" i="1"/>
  <c r="B2889" i="1"/>
  <c r="S2888" i="1"/>
  <c r="L2888" i="1"/>
  <c r="K2888" i="1"/>
  <c r="J2888" i="1"/>
  <c r="H2888" i="1"/>
  <c r="G2888" i="1"/>
  <c r="F2888" i="1"/>
  <c r="D2888" i="1"/>
  <c r="B2888" i="1"/>
  <c r="S2887" i="1"/>
  <c r="L2887" i="1"/>
  <c r="K2887" i="1"/>
  <c r="J2887" i="1"/>
  <c r="H2887" i="1"/>
  <c r="G2887" i="1"/>
  <c r="F2887" i="1"/>
  <c r="D2887" i="1"/>
  <c r="B2887" i="1"/>
  <c r="S2886" i="1"/>
  <c r="L2886" i="1"/>
  <c r="K2886" i="1"/>
  <c r="J2886" i="1"/>
  <c r="H2886" i="1"/>
  <c r="G2886" i="1"/>
  <c r="F2886" i="1"/>
  <c r="D2886" i="1"/>
  <c r="B2886" i="1"/>
  <c r="S2885" i="1"/>
  <c r="L2885" i="1"/>
  <c r="K2885" i="1"/>
  <c r="J2885" i="1"/>
  <c r="H2885" i="1"/>
  <c r="G2885" i="1"/>
  <c r="F2885" i="1"/>
  <c r="D2885" i="1"/>
  <c r="B2885" i="1"/>
  <c r="S2884" i="1"/>
  <c r="L2884" i="1"/>
  <c r="K2884" i="1"/>
  <c r="J2884" i="1"/>
  <c r="H2884" i="1"/>
  <c r="G2884" i="1"/>
  <c r="F2884" i="1"/>
  <c r="D2884" i="1"/>
  <c r="B2884" i="1"/>
  <c r="S2883" i="1"/>
  <c r="L2883" i="1"/>
  <c r="K2883" i="1"/>
  <c r="J2883" i="1"/>
  <c r="H2883" i="1"/>
  <c r="G2883" i="1"/>
  <c r="F2883" i="1"/>
  <c r="D2883" i="1"/>
  <c r="B2883" i="1"/>
  <c r="S2882" i="1"/>
  <c r="L2882" i="1"/>
  <c r="K2882" i="1"/>
  <c r="J2882" i="1"/>
  <c r="H2882" i="1"/>
  <c r="G2882" i="1"/>
  <c r="F2882" i="1"/>
  <c r="D2882" i="1"/>
  <c r="B2882" i="1"/>
  <c r="S2881" i="1"/>
  <c r="L2881" i="1"/>
  <c r="K2881" i="1"/>
  <c r="J2881" i="1"/>
  <c r="H2881" i="1"/>
  <c r="G2881" i="1"/>
  <c r="F2881" i="1"/>
  <c r="D2881" i="1"/>
  <c r="B2881" i="1"/>
  <c r="S2880" i="1"/>
  <c r="L2880" i="1"/>
  <c r="K2880" i="1"/>
  <c r="J2880" i="1"/>
  <c r="H2880" i="1"/>
  <c r="G2880" i="1"/>
  <c r="F2880" i="1"/>
  <c r="D2880" i="1"/>
  <c r="B2880" i="1"/>
  <c r="S2879" i="1"/>
  <c r="L2879" i="1"/>
  <c r="K2879" i="1"/>
  <c r="J2879" i="1"/>
  <c r="H2879" i="1"/>
  <c r="G2879" i="1"/>
  <c r="F2879" i="1"/>
  <c r="D2879" i="1"/>
  <c r="B2879" i="1"/>
  <c r="S2878" i="1"/>
  <c r="L2878" i="1"/>
  <c r="K2878" i="1"/>
  <c r="J2878" i="1"/>
  <c r="H2878" i="1"/>
  <c r="G2878" i="1"/>
  <c r="F2878" i="1"/>
  <c r="D2878" i="1"/>
  <c r="B2878" i="1"/>
  <c r="S2877" i="1"/>
  <c r="L2877" i="1"/>
  <c r="K2877" i="1"/>
  <c r="J2877" i="1"/>
  <c r="H2877" i="1"/>
  <c r="G2877" i="1"/>
  <c r="F2877" i="1"/>
  <c r="D2877" i="1"/>
  <c r="B2877" i="1"/>
  <c r="S2876" i="1"/>
  <c r="L2876" i="1"/>
  <c r="K2876" i="1"/>
  <c r="J2876" i="1"/>
  <c r="H2876" i="1"/>
  <c r="G2876" i="1"/>
  <c r="F2876" i="1"/>
  <c r="D2876" i="1"/>
  <c r="B2876" i="1"/>
  <c r="S2875" i="1"/>
  <c r="L2875" i="1"/>
  <c r="K2875" i="1"/>
  <c r="J2875" i="1"/>
  <c r="H2875" i="1"/>
  <c r="G2875" i="1"/>
  <c r="F2875" i="1"/>
  <c r="D2875" i="1"/>
  <c r="B2875" i="1"/>
  <c r="S2874" i="1"/>
  <c r="L2874" i="1"/>
  <c r="K2874" i="1"/>
  <c r="J2874" i="1"/>
  <c r="H2874" i="1"/>
  <c r="G2874" i="1"/>
  <c r="F2874" i="1"/>
  <c r="D2874" i="1"/>
  <c r="B2874" i="1"/>
  <c r="S2873" i="1"/>
  <c r="L2873" i="1"/>
  <c r="K2873" i="1"/>
  <c r="J2873" i="1"/>
  <c r="H2873" i="1"/>
  <c r="G2873" i="1"/>
  <c r="F2873" i="1"/>
  <c r="D2873" i="1"/>
  <c r="B2873" i="1"/>
  <c r="S2872" i="1"/>
  <c r="L2872" i="1"/>
  <c r="K2872" i="1"/>
  <c r="J2872" i="1"/>
  <c r="H2872" i="1"/>
  <c r="G2872" i="1"/>
  <c r="F2872" i="1"/>
  <c r="D2872" i="1"/>
  <c r="B2872" i="1"/>
  <c r="S2871" i="1"/>
  <c r="L2871" i="1"/>
  <c r="K2871" i="1"/>
  <c r="J2871" i="1"/>
  <c r="H2871" i="1"/>
  <c r="G2871" i="1"/>
  <c r="F2871" i="1"/>
  <c r="D2871" i="1"/>
  <c r="B2871" i="1"/>
  <c r="S2870" i="1"/>
  <c r="L2870" i="1"/>
  <c r="K2870" i="1"/>
  <c r="J2870" i="1"/>
  <c r="H2870" i="1"/>
  <c r="G2870" i="1"/>
  <c r="F2870" i="1"/>
  <c r="D2870" i="1"/>
  <c r="B2870" i="1"/>
  <c r="S2869" i="1"/>
  <c r="L2869" i="1"/>
  <c r="K2869" i="1"/>
  <c r="J2869" i="1"/>
  <c r="H2869" i="1"/>
  <c r="G2869" i="1"/>
  <c r="F2869" i="1"/>
  <c r="D2869" i="1"/>
  <c r="B2869" i="1"/>
  <c r="S2868" i="1"/>
  <c r="L2868" i="1"/>
  <c r="K2868" i="1"/>
  <c r="J2868" i="1"/>
  <c r="H2868" i="1"/>
  <c r="G2868" i="1"/>
  <c r="F2868" i="1"/>
  <c r="D2868" i="1"/>
  <c r="B2868" i="1"/>
  <c r="S2867" i="1"/>
  <c r="L2867" i="1"/>
  <c r="K2867" i="1"/>
  <c r="J2867" i="1"/>
  <c r="H2867" i="1"/>
  <c r="G2867" i="1"/>
  <c r="F2867" i="1"/>
  <c r="D2867" i="1"/>
  <c r="B2867" i="1"/>
  <c r="S2866" i="1"/>
  <c r="L2866" i="1"/>
  <c r="K2866" i="1"/>
  <c r="J2866" i="1"/>
  <c r="H2866" i="1"/>
  <c r="G2866" i="1"/>
  <c r="F2866" i="1"/>
  <c r="D2866" i="1"/>
  <c r="B2866" i="1"/>
  <c r="S2865" i="1"/>
  <c r="L2865" i="1"/>
  <c r="K2865" i="1"/>
  <c r="J2865" i="1"/>
  <c r="H2865" i="1"/>
  <c r="G2865" i="1"/>
  <c r="F2865" i="1"/>
  <c r="D2865" i="1"/>
  <c r="B2865" i="1"/>
  <c r="S2864" i="1"/>
  <c r="Q2864" i="1"/>
  <c r="L2864" i="1"/>
  <c r="K2864" i="1"/>
  <c r="J2864" i="1"/>
  <c r="H2864" i="1"/>
  <c r="G2864" i="1"/>
  <c r="F2864" i="1"/>
  <c r="D2864" i="1"/>
  <c r="B2864" i="1"/>
  <c r="S2863" i="1"/>
  <c r="L2863" i="1"/>
  <c r="K2863" i="1"/>
  <c r="J2863" i="1"/>
  <c r="H2863" i="1"/>
  <c r="G2863" i="1"/>
  <c r="F2863" i="1"/>
  <c r="D2863" i="1"/>
  <c r="B2863" i="1"/>
  <c r="S2862" i="1"/>
  <c r="L2862" i="1"/>
  <c r="K2862" i="1"/>
  <c r="J2862" i="1"/>
  <c r="H2862" i="1"/>
  <c r="G2862" i="1"/>
  <c r="F2862" i="1"/>
  <c r="D2862" i="1"/>
  <c r="B2862" i="1"/>
  <c r="S2861" i="1"/>
  <c r="L2861" i="1"/>
  <c r="K2861" i="1"/>
  <c r="J2861" i="1"/>
  <c r="H2861" i="1"/>
  <c r="G2861" i="1"/>
  <c r="F2861" i="1"/>
  <c r="D2861" i="1"/>
  <c r="B2861" i="1"/>
  <c r="S2860" i="1"/>
  <c r="L2860" i="1"/>
  <c r="K2860" i="1"/>
  <c r="J2860" i="1"/>
  <c r="H2860" i="1"/>
  <c r="G2860" i="1"/>
  <c r="F2860" i="1"/>
  <c r="D2860" i="1"/>
  <c r="B2860" i="1"/>
  <c r="S2859" i="1"/>
  <c r="Q2859" i="1"/>
  <c r="L2859" i="1"/>
  <c r="K2859" i="1"/>
  <c r="J2859" i="1"/>
  <c r="H2859" i="1"/>
  <c r="G2859" i="1"/>
  <c r="F2859" i="1"/>
  <c r="D2859" i="1"/>
  <c r="B2859" i="1"/>
  <c r="S2858" i="1"/>
  <c r="L2858" i="1"/>
  <c r="K2858" i="1"/>
  <c r="J2858" i="1"/>
  <c r="H2858" i="1"/>
  <c r="G2858" i="1"/>
  <c r="F2858" i="1"/>
  <c r="D2858" i="1"/>
  <c r="B2858" i="1"/>
  <c r="S2857" i="1"/>
  <c r="Q2857" i="1"/>
  <c r="L2857" i="1"/>
  <c r="K2857" i="1"/>
  <c r="J2857" i="1"/>
  <c r="H2857" i="1"/>
  <c r="G2857" i="1"/>
  <c r="F2857" i="1"/>
  <c r="D2857" i="1"/>
  <c r="B2857" i="1"/>
  <c r="S2856" i="1"/>
  <c r="L2856" i="1"/>
  <c r="K2856" i="1"/>
  <c r="J2856" i="1"/>
  <c r="H2856" i="1"/>
  <c r="G2856" i="1"/>
  <c r="F2856" i="1"/>
  <c r="D2856" i="1"/>
  <c r="B2856" i="1"/>
  <c r="S2855" i="1"/>
  <c r="L2855" i="1"/>
  <c r="K2855" i="1"/>
  <c r="J2855" i="1"/>
  <c r="H2855" i="1"/>
  <c r="G2855" i="1"/>
  <c r="F2855" i="1"/>
  <c r="D2855" i="1"/>
  <c r="B2855" i="1"/>
  <c r="S2854" i="1"/>
  <c r="L2854" i="1"/>
  <c r="K2854" i="1"/>
  <c r="J2854" i="1"/>
  <c r="H2854" i="1"/>
  <c r="G2854" i="1"/>
  <c r="F2854" i="1"/>
  <c r="D2854" i="1"/>
  <c r="B2854" i="1"/>
  <c r="S2853" i="1"/>
  <c r="L2853" i="1"/>
  <c r="K2853" i="1"/>
  <c r="J2853" i="1"/>
  <c r="H2853" i="1"/>
  <c r="G2853" i="1"/>
  <c r="F2853" i="1"/>
  <c r="D2853" i="1"/>
  <c r="B2853" i="1"/>
  <c r="S2852" i="1"/>
  <c r="L2852" i="1"/>
  <c r="K2852" i="1"/>
  <c r="J2852" i="1"/>
  <c r="H2852" i="1"/>
  <c r="G2852" i="1"/>
  <c r="F2852" i="1"/>
  <c r="D2852" i="1"/>
  <c r="B2852" i="1"/>
  <c r="S2851" i="1"/>
  <c r="L2851" i="1"/>
  <c r="K2851" i="1"/>
  <c r="J2851" i="1"/>
  <c r="H2851" i="1"/>
  <c r="G2851" i="1"/>
  <c r="F2851" i="1"/>
  <c r="D2851" i="1"/>
  <c r="B2851" i="1"/>
  <c r="S2850" i="1"/>
  <c r="L2850" i="1"/>
  <c r="K2850" i="1"/>
  <c r="J2850" i="1"/>
  <c r="I2850" i="1"/>
  <c r="H2850" i="1"/>
  <c r="F2850" i="1"/>
  <c r="D2850" i="1"/>
  <c r="B2850" i="1"/>
  <c r="S2849" i="1"/>
  <c r="L2849" i="1"/>
  <c r="K2849" i="1"/>
  <c r="J2849" i="1"/>
  <c r="H2849" i="1"/>
  <c r="G2849" i="1"/>
  <c r="F2849" i="1"/>
  <c r="D2849" i="1"/>
  <c r="B2849" i="1"/>
  <c r="S2848" i="1"/>
  <c r="L2848" i="1"/>
  <c r="K2848" i="1"/>
  <c r="J2848" i="1"/>
  <c r="H2848" i="1"/>
  <c r="G2848" i="1"/>
  <c r="F2848" i="1"/>
  <c r="D2848" i="1"/>
  <c r="B2848" i="1"/>
  <c r="S2847" i="1"/>
  <c r="L2847" i="1"/>
  <c r="K2847" i="1"/>
  <c r="J2847" i="1"/>
  <c r="H2847" i="1"/>
  <c r="G2847" i="1"/>
  <c r="F2847" i="1"/>
  <c r="D2847" i="1"/>
  <c r="B2847" i="1"/>
  <c r="S2846" i="1"/>
  <c r="Q2846" i="1"/>
  <c r="L2846" i="1"/>
  <c r="K2846" i="1"/>
  <c r="J2846" i="1"/>
  <c r="H2846" i="1"/>
  <c r="G2846" i="1"/>
  <c r="F2846" i="1"/>
  <c r="D2846" i="1"/>
  <c r="B2846" i="1"/>
  <c r="S2845" i="1"/>
  <c r="L2845" i="1"/>
  <c r="K2845" i="1"/>
  <c r="J2845" i="1"/>
  <c r="H2845" i="1"/>
  <c r="G2845" i="1"/>
  <c r="F2845" i="1"/>
  <c r="D2845" i="1"/>
  <c r="B2845" i="1"/>
  <c r="S2844" i="1"/>
  <c r="L2844" i="1"/>
  <c r="K2844" i="1"/>
  <c r="J2844" i="1"/>
  <c r="H2844" i="1"/>
  <c r="G2844" i="1"/>
  <c r="F2844" i="1"/>
  <c r="D2844" i="1"/>
  <c r="B2844" i="1"/>
  <c r="S2843" i="1"/>
  <c r="L2843" i="1"/>
  <c r="K2843" i="1"/>
  <c r="J2843" i="1"/>
  <c r="H2843" i="1"/>
  <c r="G2843" i="1"/>
  <c r="F2843" i="1"/>
  <c r="D2843" i="1"/>
  <c r="B2843" i="1"/>
  <c r="S2842" i="1"/>
  <c r="L2842" i="1"/>
  <c r="K2842" i="1"/>
  <c r="J2842" i="1"/>
  <c r="H2842" i="1"/>
  <c r="G2842" i="1"/>
  <c r="F2842" i="1"/>
  <c r="D2842" i="1"/>
  <c r="B2842" i="1"/>
  <c r="S2841" i="1"/>
  <c r="Q2841" i="1"/>
  <c r="L2841" i="1"/>
  <c r="K2841" i="1"/>
  <c r="J2841" i="1"/>
  <c r="I2841" i="1"/>
  <c r="H2841" i="1"/>
  <c r="G2841" i="1"/>
  <c r="F2841" i="1"/>
  <c r="D2841" i="1"/>
  <c r="B2841" i="1"/>
  <c r="S2840" i="1"/>
  <c r="L2840" i="1"/>
  <c r="K2840" i="1"/>
  <c r="J2840" i="1"/>
  <c r="H2840" i="1"/>
  <c r="G2840" i="1"/>
  <c r="F2840" i="1"/>
  <c r="D2840" i="1"/>
  <c r="B2840" i="1"/>
  <c r="S2839" i="1"/>
  <c r="L2839" i="1"/>
  <c r="K2839" i="1"/>
  <c r="J2839" i="1"/>
  <c r="H2839" i="1"/>
  <c r="G2839" i="1"/>
  <c r="F2839" i="1"/>
  <c r="D2839" i="1"/>
  <c r="B2839" i="1"/>
  <c r="S2838" i="1"/>
  <c r="Q2838" i="1"/>
  <c r="L2838" i="1"/>
  <c r="K2838" i="1"/>
  <c r="J2838" i="1"/>
  <c r="I2838" i="1"/>
  <c r="H2838" i="1"/>
  <c r="G2838" i="1"/>
  <c r="F2838" i="1"/>
  <c r="D2838" i="1"/>
  <c r="B2838" i="1"/>
  <c r="S2837" i="1"/>
  <c r="L2837" i="1"/>
  <c r="K2837" i="1"/>
  <c r="J2837" i="1"/>
  <c r="H2837" i="1"/>
  <c r="G2837" i="1"/>
  <c r="F2837" i="1"/>
  <c r="D2837" i="1"/>
  <c r="B2837" i="1"/>
  <c r="S2836" i="1"/>
  <c r="L2836" i="1"/>
  <c r="K2836" i="1"/>
  <c r="J2836" i="1"/>
  <c r="H2836" i="1"/>
  <c r="G2836" i="1"/>
  <c r="F2836" i="1"/>
  <c r="D2836" i="1"/>
  <c r="B2836" i="1"/>
  <c r="S2835" i="1"/>
  <c r="L2835" i="1"/>
  <c r="K2835" i="1"/>
  <c r="J2835" i="1"/>
  <c r="H2835" i="1"/>
  <c r="G2835" i="1"/>
  <c r="F2835" i="1"/>
  <c r="D2835" i="1"/>
  <c r="B2835" i="1"/>
  <c r="S2834" i="1"/>
  <c r="L2834" i="1"/>
  <c r="K2834" i="1"/>
  <c r="J2834" i="1"/>
  <c r="H2834" i="1"/>
  <c r="G2834" i="1"/>
  <c r="F2834" i="1"/>
  <c r="D2834" i="1"/>
  <c r="B2834" i="1"/>
  <c r="S2833" i="1"/>
  <c r="L2833" i="1"/>
  <c r="K2833" i="1"/>
  <c r="J2833" i="1"/>
  <c r="H2833" i="1"/>
  <c r="G2833" i="1"/>
  <c r="F2833" i="1"/>
  <c r="D2833" i="1"/>
  <c r="B2833" i="1"/>
  <c r="S2832" i="1"/>
  <c r="L2832" i="1"/>
  <c r="K2832" i="1"/>
  <c r="J2832" i="1"/>
  <c r="H2832" i="1"/>
  <c r="G2832" i="1"/>
  <c r="F2832" i="1"/>
  <c r="D2832" i="1"/>
  <c r="B2832" i="1"/>
  <c r="S2831" i="1"/>
  <c r="L2831" i="1"/>
  <c r="K2831" i="1"/>
  <c r="J2831" i="1"/>
  <c r="H2831" i="1"/>
  <c r="G2831" i="1"/>
  <c r="F2831" i="1"/>
  <c r="D2831" i="1"/>
  <c r="B2831" i="1"/>
  <c r="S2830" i="1"/>
  <c r="L2830" i="1"/>
  <c r="K2830" i="1"/>
  <c r="J2830" i="1"/>
  <c r="H2830" i="1"/>
  <c r="G2830" i="1"/>
  <c r="F2830" i="1"/>
  <c r="D2830" i="1"/>
  <c r="B2830" i="1"/>
  <c r="S2829" i="1"/>
  <c r="L2829" i="1"/>
  <c r="K2829" i="1"/>
  <c r="J2829" i="1"/>
  <c r="H2829" i="1"/>
  <c r="G2829" i="1"/>
  <c r="F2829" i="1"/>
  <c r="D2829" i="1"/>
  <c r="B2829" i="1"/>
  <c r="S2828" i="1"/>
  <c r="Q2828" i="1"/>
  <c r="L2828" i="1"/>
  <c r="K2828" i="1"/>
  <c r="J2828" i="1"/>
  <c r="H2828" i="1"/>
  <c r="G2828" i="1"/>
  <c r="F2828" i="1"/>
  <c r="D2828" i="1"/>
  <c r="B2828" i="1"/>
  <c r="S2827" i="1"/>
  <c r="L2827" i="1"/>
  <c r="K2827" i="1"/>
  <c r="J2827" i="1"/>
  <c r="H2827" i="1"/>
  <c r="G2827" i="1"/>
  <c r="F2827" i="1"/>
  <c r="D2827" i="1"/>
  <c r="B2827" i="1"/>
  <c r="S2826" i="1"/>
  <c r="Q2826" i="1"/>
  <c r="L2826" i="1"/>
  <c r="K2826" i="1"/>
  <c r="J2826" i="1"/>
  <c r="I2826" i="1"/>
  <c r="H2826" i="1"/>
  <c r="G2826" i="1"/>
  <c r="F2826" i="1"/>
  <c r="D2826" i="1"/>
  <c r="B2826" i="1"/>
  <c r="S2825" i="1"/>
  <c r="L2825" i="1"/>
  <c r="K2825" i="1"/>
  <c r="J2825" i="1"/>
  <c r="H2825" i="1"/>
  <c r="G2825" i="1"/>
  <c r="F2825" i="1"/>
  <c r="D2825" i="1"/>
  <c r="B2825" i="1"/>
  <c r="S2824" i="1"/>
  <c r="L2824" i="1"/>
  <c r="K2824" i="1"/>
  <c r="J2824" i="1"/>
  <c r="H2824" i="1"/>
  <c r="G2824" i="1"/>
  <c r="F2824" i="1"/>
  <c r="D2824" i="1"/>
  <c r="B2824" i="1"/>
  <c r="S2823" i="1"/>
  <c r="Q2823" i="1"/>
  <c r="L2823" i="1"/>
  <c r="K2823" i="1"/>
  <c r="J2823" i="1"/>
  <c r="H2823" i="1"/>
  <c r="G2823" i="1"/>
  <c r="F2823" i="1"/>
  <c r="D2823" i="1"/>
  <c r="B2823" i="1"/>
  <c r="S2822" i="1"/>
  <c r="L2822" i="1"/>
  <c r="K2822" i="1"/>
  <c r="J2822" i="1"/>
  <c r="H2822" i="1"/>
  <c r="G2822" i="1"/>
  <c r="F2822" i="1"/>
  <c r="D2822" i="1"/>
  <c r="B2822" i="1"/>
  <c r="S2821" i="1"/>
  <c r="L2821" i="1"/>
  <c r="K2821" i="1"/>
  <c r="J2821" i="1"/>
  <c r="H2821" i="1"/>
  <c r="G2821" i="1"/>
  <c r="F2821" i="1"/>
  <c r="D2821" i="1"/>
  <c r="B2821" i="1"/>
  <c r="S2820" i="1"/>
  <c r="L2820" i="1"/>
  <c r="K2820" i="1"/>
  <c r="J2820" i="1"/>
  <c r="H2820" i="1"/>
  <c r="G2820" i="1"/>
  <c r="F2820" i="1"/>
  <c r="D2820" i="1"/>
  <c r="B2820" i="1"/>
  <c r="S2819" i="1"/>
  <c r="L2819" i="1"/>
  <c r="K2819" i="1"/>
  <c r="J2819" i="1"/>
  <c r="H2819" i="1"/>
  <c r="G2819" i="1"/>
  <c r="F2819" i="1"/>
  <c r="D2819" i="1"/>
  <c r="B2819" i="1"/>
  <c r="S2818" i="1"/>
  <c r="L2818" i="1"/>
  <c r="K2818" i="1"/>
  <c r="J2818" i="1"/>
  <c r="H2818" i="1"/>
  <c r="G2818" i="1"/>
  <c r="F2818" i="1"/>
  <c r="D2818" i="1"/>
  <c r="B2818" i="1"/>
  <c r="S2817" i="1"/>
  <c r="L2817" i="1"/>
  <c r="K2817" i="1"/>
  <c r="J2817" i="1"/>
  <c r="H2817" i="1"/>
  <c r="G2817" i="1"/>
  <c r="F2817" i="1"/>
  <c r="D2817" i="1"/>
  <c r="B2817" i="1"/>
  <c r="S2816" i="1"/>
  <c r="L2816" i="1"/>
  <c r="K2816" i="1"/>
  <c r="J2816" i="1"/>
  <c r="H2816" i="1"/>
  <c r="G2816" i="1"/>
  <c r="F2816" i="1"/>
  <c r="D2816" i="1"/>
  <c r="B2816" i="1"/>
  <c r="S2815" i="1"/>
  <c r="L2815" i="1"/>
  <c r="K2815" i="1"/>
  <c r="J2815" i="1"/>
  <c r="H2815" i="1"/>
  <c r="G2815" i="1"/>
  <c r="F2815" i="1"/>
  <c r="D2815" i="1"/>
  <c r="B2815" i="1"/>
  <c r="S2814" i="1"/>
  <c r="L2814" i="1"/>
  <c r="K2814" i="1"/>
  <c r="J2814" i="1"/>
  <c r="H2814" i="1"/>
  <c r="G2814" i="1"/>
  <c r="F2814" i="1"/>
  <c r="D2814" i="1"/>
  <c r="B2814" i="1"/>
  <c r="S2813" i="1"/>
  <c r="L2813" i="1"/>
  <c r="K2813" i="1"/>
  <c r="J2813" i="1"/>
  <c r="H2813" i="1"/>
  <c r="G2813" i="1"/>
  <c r="F2813" i="1"/>
  <c r="D2813" i="1"/>
  <c r="B2813" i="1"/>
  <c r="S2812" i="1"/>
  <c r="L2812" i="1"/>
  <c r="K2812" i="1"/>
  <c r="J2812" i="1"/>
  <c r="H2812" i="1"/>
  <c r="G2812" i="1"/>
  <c r="F2812" i="1"/>
  <c r="D2812" i="1"/>
  <c r="B2812" i="1"/>
  <c r="S2811" i="1"/>
  <c r="Q2811" i="1"/>
  <c r="L2811" i="1"/>
  <c r="K2811" i="1"/>
  <c r="J2811" i="1"/>
  <c r="H2811" i="1"/>
  <c r="G2811" i="1"/>
  <c r="F2811" i="1"/>
  <c r="D2811" i="1"/>
  <c r="B2811" i="1"/>
  <c r="S2810" i="1"/>
  <c r="Q2810" i="1"/>
  <c r="L2810" i="1"/>
  <c r="K2810" i="1"/>
  <c r="J2810" i="1"/>
  <c r="H2810" i="1"/>
  <c r="G2810" i="1"/>
  <c r="F2810" i="1"/>
  <c r="D2810" i="1"/>
  <c r="B2810" i="1"/>
  <c r="S2809" i="1"/>
  <c r="Q2809" i="1"/>
  <c r="L2809" i="1"/>
  <c r="K2809" i="1"/>
  <c r="J2809" i="1"/>
  <c r="H2809" i="1"/>
  <c r="G2809" i="1"/>
  <c r="F2809" i="1"/>
  <c r="D2809" i="1"/>
  <c r="B2809" i="1"/>
  <c r="S2808" i="1"/>
  <c r="L2808" i="1"/>
  <c r="K2808" i="1"/>
  <c r="J2808" i="1"/>
  <c r="H2808" i="1"/>
  <c r="G2808" i="1"/>
  <c r="F2808" i="1"/>
  <c r="D2808" i="1"/>
  <c r="B2808" i="1"/>
  <c r="S2807" i="1"/>
  <c r="Q2807" i="1"/>
  <c r="L2807" i="1"/>
  <c r="K2807" i="1"/>
  <c r="J2807" i="1"/>
  <c r="H2807" i="1"/>
  <c r="G2807" i="1"/>
  <c r="F2807" i="1"/>
  <c r="D2807" i="1"/>
  <c r="B2807" i="1"/>
  <c r="S2806" i="1"/>
  <c r="Q2806" i="1"/>
  <c r="L2806" i="1"/>
  <c r="K2806" i="1"/>
  <c r="J2806" i="1"/>
  <c r="H2806" i="1"/>
  <c r="G2806" i="1"/>
  <c r="F2806" i="1"/>
  <c r="D2806" i="1"/>
  <c r="B2806" i="1"/>
  <c r="S2805" i="1"/>
  <c r="L2805" i="1"/>
  <c r="K2805" i="1"/>
  <c r="J2805" i="1"/>
  <c r="H2805" i="1"/>
  <c r="G2805" i="1"/>
  <c r="F2805" i="1"/>
  <c r="D2805" i="1"/>
  <c r="B2805" i="1"/>
  <c r="S2804" i="1"/>
  <c r="Q2804" i="1"/>
  <c r="L2804" i="1"/>
  <c r="K2804" i="1"/>
  <c r="J2804" i="1"/>
  <c r="H2804" i="1"/>
  <c r="G2804" i="1"/>
  <c r="F2804" i="1"/>
  <c r="D2804" i="1"/>
  <c r="B2804" i="1"/>
  <c r="S2803" i="1"/>
  <c r="L2803" i="1"/>
  <c r="K2803" i="1"/>
  <c r="J2803" i="1"/>
  <c r="H2803" i="1"/>
  <c r="G2803" i="1"/>
  <c r="F2803" i="1"/>
  <c r="D2803" i="1"/>
  <c r="B2803" i="1"/>
  <c r="S2802" i="1"/>
  <c r="L2802" i="1"/>
  <c r="K2802" i="1"/>
  <c r="J2802" i="1"/>
  <c r="H2802" i="1"/>
  <c r="G2802" i="1"/>
  <c r="F2802" i="1"/>
  <c r="D2802" i="1"/>
  <c r="B2802" i="1"/>
  <c r="S2801" i="1"/>
  <c r="Q2801" i="1"/>
  <c r="L2801" i="1"/>
  <c r="K2801" i="1"/>
  <c r="J2801" i="1"/>
  <c r="H2801" i="1"/>
  <c r="G2801" i="1"/>
  <c r="F2801" i="1"/>
  <c r="D2801" i="1"/>
  <c r="B2801" i="1"/>
  <c r="S2800" i="1"/>
  <c r="L2800" i="1"/>
  <c r="K2800" i="1"/>
  <c r="J2800" i="1"/>
  <c r="H2800" i="1"/>
  <c r="G2800" i="1"/>
  <c r="F2800" i="1"/>
  <c r="D2800" i="1"/>
  <c r="B2800" i="1"/>
  <c r="S2799" i="1"/>
  <c r="L2799" i="1"/>
  <c r="K2799" i="1"/>
  <c r="J2799" i="1"/>
  <c r="H2799" i="1"/>
  <c r="G2799" i="1"/>
  <c r="F2799" i="1"/>
  <c r="D2799" i="1"/>
  <c r="B2799" i="1"/>
  <c r="S2798" i="1"/>
  <c r="L2798" i="1"/>
  <c r="K2798" i="1"/>
  <c r="J2798" i="1"/>
  <c r="H2798" i="1"/>
  <c r="G2798" i="1"/>
  <c r="F2798" i="1"/>
  <c r="D2798" i="1"/>
  <c r="B2798" i="1"/>
  <c r="S2797" i="1"/>
  <c r="L2797" i="1"/>
  <c r="K2797" i="1"/>
  <c r="J2797" i="1"/>
  <c r="H2797" i="1"/>
  <c r="G2797" i="1"/>
  <c r="F2797" i="1"/>
  <c r="D2797" i="1"/>
  <c r="B2797" i="1"/>
  <c r="S2796" i="1"/>
  <c r="Q2796" i="1"/>
  <c r="L2796" i="1"/>
  <c r="K2796" i="1"/>
  <c r="J2796" i="1"/>
  <c r="H2796" i="1"/>
  <c r="G2796" i="1"/>
  <c r="F2796" i="1"/>
  <c r="D2796" i="1"/>
  <c r="B2796" i="1"/>
  <c r="S2795" i="1"/>
  <c r="Q2795" i="1"/>
  <c r="L2795" i="1"/>
  <c r="K2795" i="1"/>
  <c r="J2795" i="1"/>
  <c r="H2795" i="1"/>
  <c r="G2795" i="1"/>
  <c r="F2795" i="1"/>
  <c r="D2795" i="1"/>
  <c r="B2795" i="1"/>
  <c r="S2794" i="1"/>
  <c r="Q2794" i="1"/>
  <c r="L2794" i="1"/>
  <c r="K2794" i="1"/>
  <c r="J2794" i="1"/>
  <c r="H2794" i="1"/>
  <c r="G2794" i="1"/>
  <c r="F2794" i="1"/>
  <c r="D2794" i="1"/>
  <c r="B2794" i="1"/>
  <c r="S2793" i="1"/>
  <c r="Q2793" i="1"/>
  <c r="L2793" i="1"/>
  <c r="K2793" i="1"/>
  <c r="J2793" i="1"/>
  <c r="H2793" i="1"/>
  <c r="G2793" i="1"/>
  <c r="F2793" i="1"/>
  <c r="D2793" i="1"/>
  <c r="B2793" i="1"/>
  <c r="S2792" i="1"/>
  <c r="L2792" i="1"/>
  <c r="K2792" i="1"/>
  <c r="J2792" i="1"/>
  <c r="H2792" i="1"/>
  <c r="G2792" i="1"/>
  <c r="F2792" i="1"/>
  <c r="D2792" i="1"/>
  <c r="B2792" i="1"/>
  <c r="S2791" i="1"/>
  <c r="L2791" i="1"/>
  <c r="K2791" i="1"/>
  <c r="J2791" i="1"/>
  <c r="H2791" i="1"/>
  <c r="G2791" i="1"/>
  <c r="F2791" i="1"/>
  <c r="D2791" i="1"/>
  <c r="B2791" i="1"/>
  <c r="S2790" i="1"/>
  <c r="L2790" i="1"/>
  <c r="K2790" i="1"/>
  <c r="J2790" i="1"/>
  <c r="H2790" i="1"/>
  <c r="G2790" i="1"/>
  <c r="F2790" i="1"/>
  <c r="D2790" i="1"/>
  <c r="B2790" i="1"/>
  <c r="S2789" i="1"/>
  <c r="Q2789" i="1"/>
  <c r="L2789" i="1"/>
  <c r="K2789" i="1"/>
  <c r="J2789" i="1"/>
  <c r="H2789" i="1"/>
  <c r="G2789" i="1"/>
  <c r="F2789" i="1"/>
  <c r="D2789" i="1"/>
  <c r="B2789" i="1"/>
  <c r="S2788" i="1"/>
  <c r="L2788" i="1"/>
  <c r="K2788" i="1"/>
  <c r="J2788" i="1"/>
  <c r="H2788" i="1"/>
  <c r="G2788" i="1"/>
  <c r="F2788" i="1"/>
  <c r="D2788" i="1"/>
  <c r="B2788" i="1"/>
  <c r="S2787" i="1"/>
  <c r="Q2787" i="1"/>
  <c r="L2787" i="1"/>
  <c r="K2787" i="1"/>
  <c r="J2787" i="1"/>
  <c r="H2787" i="1"/>
  <c r="G2787" i="1"/>
  <c r="F2787" i="1"/>
  <c r="D2787" i="1"/>
  <c r="B2787" i="1"/>
  <c r="S2786" i="1"/>
  <c r="L2786" i="1"/>
  <c r="K2786" i="1"/>
  <c r="J2786" i="1"/>
  <c r="H2786" i="1"/>
  <c r="G2786" i="1"/>
  <c r="F2786" i="1"/>
  <c r="D2786" i="1"/>
  <c r="B2786" i="1"/>
  <c r="S2785" i="1"/>
  <c r="Q2785" i="1"/>
  <c r="L2785" i="1"/>
  <c r="K2785" i="1"/>
  <c r="J2785" i="1"/>
  <c r="H2785" i="1"/>
  <c r="G2785" i="1"/>
  <c r="F2785" i="1"/>
  <c r="D2785" i="1"/>
  <c r="B2785" i="1"/>
  <c r="S2784" i="1"/>
  <c r="Q2784" i="1"/>
  <c r="L2784" i="1"/>
  <c r="K2784" i="1"/>
  <c r="J2784" i="1"/>
  <c r="H2784" i="1"/>
  <c r="G2784" i="1"/>
  <c r="F2784" i="1"/>
  <c r="D2784" i="1"/>
  <c r="B2784" i="1"/>
  <c r="S2783" i="1"/>
  <c r="Q2783" i="1"/>
  <c r="L2783" i="1"/>
  <c r="K2783" i="1"/>
  <c r="J2783" i="1"/>
  <c r="H2783" i="1"/>
  <c r="G2783" i="1"/>
  <c r="F2783" i="1"/>
  <c r="D2783" i="1"/>
  <c r="B2783" i="1"/>
  <c r="S2782" i="1"/>
  <c r="L2782" i="1"/>
  <c r="K2782" i="1"/>
  <c r="J2782" i="1"/>
  <c r="H2782" i="1"/>
  <c r="G2782" i="1"/>
  <c r="F2782" i="1"/>
  <c r="D2782" i="1"/>
  <c r="B2782" i="1"/>
  <c r="S2781" i="1"/>
  <c r="Q2781" i="1"/>
  <c r="L2781" i="1"/>
  <c r="K2781" i="1"/>
  <c r="J2781" i="1"/>
  <c r="H2781" i="1"/>
  <c r="G2781" i="1"/>
  <c r="F2781" i="1"/>
  <c r="D2781" i="1"/>
  <c r="B2781" i="1"/>
  <c r="S2780" i="1"/>
  <c r="L2780" i="1"/>
  <c r="K2780" i="1"/>
  <c r="J2780" i="1"/>
  <c r="H2780" i="1"/>
  <c r="G2780" i="1"/>
  <c r="F2780" i="1"/>
  <c r="D2780" i="1"/>
  <c r="B2780" i="1"/>
  <c r="S2779" i="1"/>
  <c r="L2779" i="1"/>
  <c r="K2779" i="1"/>
  <c r="J2779" i="1"/>
  <c r="H2779" i="1"/>
  <c r="G2779" i="1"/>
  <c r="F2779" i="1"/>
  <c r="D2779" i="1"/>
  <c r="B2779" i="1"/>
  <c r="S2778" i="1"/>
  <c r="L2778" i="1"/>
  <c r="K2778" i="1"/>
  <c r="J2778" i="1"/>
  <c r="H2778" i="1"/>
  <c r="G2778" i="1"/>
  <c r="F2778" i="1"/>
  <c r="D2778" i="1"/>
  <c r="B2778" i="1"/>
  <c r="S2777" i="1"/>
  <c r="L2777" i="1"/>
  <c r="K2777" i="1"/>
  <c r="J2777" i="1"/>
  <c r="H2777" i="1"/>
  <c r="G2777" i="1"/>
  <c r="F2777" i="1"/>
  <c r="D2777" i="1"/>
  <c r="B2777" i="1"/>
  <c r="S2776" i="1"/>
  <c r="L2776" i="1"/>
  <c r="K2776" i="1"/>
  <c r="J2776" i="1"/>
  <c r="H2776" i="1"/>
  <c r="G2776" i="1"/>
  <c r="F2776" i="1"/>
  <c r="D2776" i="1"/>
  <c r="B2776" i="1"/>
  <c r="S2775" i="1"/>
  <c r="Q2775" i="1"/>
  <c r="L2775" i="1"/>
  <c r="K2775" i="1"/>
  <c r="J2775" i="1"/>
  <c r="H2775" i="1"/>
  <c r="G2775" i="1"/>
  <c r="F2775" i="1"/>
  <c r="D2775" i="1"/>
  <c r="B2775" i="1"/>
  <c r="S2774" i="1"/>
  <c r="Q2774" i="1"/>
  <c r="L2774" i="1"/>
  <c r="K2774" i="1"/>
  <c r="J2774" i="1"/>
  <c r="H2774" i="1"/>
  <c r="G2774" i="1"/>
  <c r="F2774" i="1"/>
  <c r="D2774" i="1"/>
  <c r="B2774" i="1"/>
  <c r="S2773" i="1"/>
  <c r="Q2773" i="1"/>
  <c r="L2773" i="1"/>
  <c r="K2773" i="1"/>
  <c r="J2773" i="1"/>
  <c r="H2773" i="1"/>
  <c r="G2773" i="1"/>
  <c r="F2773" i="1"/>
  <c r="D2773" i="1"/>
  <c r="B2773" i="1"/>
  <c r="S2772" i="1"/>
  <c r="Q2772" i="1"/>
  <c r="L2772" i="1"/>
  <c r="K2772" i="1"/>
  <c r="J2772" i="1"/>
  <c r="H2772" i="1"/>
  <c r="G2772" i="1"/>
  <c r="F2772" i="1"/>
  <c r="D2772" i="1"/>
  <c r="B2772" i="1"/>
  <c r="S2771" i="1"/>
  <c r="L2771" i="1"/>
  <c r="K2771" i="1"/>
  <c r="J2771" i="1"/>
  <c r="H2771" i="1"/>
  <c r="G2771" i="1"/>
  <c r="F2771" i="1"/>
  <c r="D2771" i="1"/>
  <c r="B2771" i="1"/>
  <c r="S2770" i="1"/>
  <c r="Q2770" i="1"/>
  <c r="L2770" i="1"/>
  <c r="K2770" i="1"/>
  <c r="J2770" i="1"/>
  <c r="H2770" i="1"/>
  <c r="G2770" i="1"/>
  <c r="F2770" i="1"/>
  <c r="D2770" i="1"/>
  <c r="B2770" i="1"/>
  <c r="S2769" i="1"/>
  <c r="L2769" i="1"/>
  <c r="K2769" i="1"/>
  <c r="J2769" i="1"/>
  <c r="H2769" i="1"/>
  <c r="G2769" i="1"/>
  <c r="F2769" i="1"/>
  <c r="D2769" i="1"/>
  <c r="B2769" i="1"/>
  <c r="S2768" i="1"/>
  <c r="L2768" i="1"/>
  <c r="K2768" i="1"/>
  <c r="J2768" i="1"/>
  <c r="H2768" i="1"/>
  <c r="G2768" i="1"/>
  <c r="F2768" i="1"/>
  <c r="D2768" i="1"/>
  <c r="B2768" i="1"/>
  <c r="S2767" i="1"/>
  <c r="L2767" i="1"/>
  <c r="K2767" i="1"/>
  <c r="J2767" i="1"/>
  <c r="H2767" i="1"/>
  <c r="G2767" i="1"/>
  <c r="F2767" i="1"/>
  <c r="D2767" i="1"/>
  <c r="B2767" i="1"/>
  <c r="S2766" i="1"/>
  <c r="L2766" i="1"/>
  <c r="K2766" i="1"/>
  <c r="J2766" i="1"/>
  <c r="H2766" i="1"/>
  <c r="G2766" i="1"/>
  <c r="F2766" i="1"/>
  <c r="D2766" i="1"/>
  <c r="B2766" i="1"/>
  <c r="S2765" i="1"/>
  <c r="L2765" i="1"/>
  <c r="K2765" i="1"/>
  <c r="J2765" i="1"/>
  <c r="H2765" i="1"/>
  <c r="G2765" i="1"/>
  <c r="F2765" i="1"/>
  <c r="D2765" i="1"/>
  <c r="B2765" i="1"/>
  <c r="S2764" i="1"/>
  <c r="Q2764" i="1"/>
  <c r="L2764" i="1"/>
  <c r="K2764" i="1"/>
  <c r="J2764" i="1"/>
  <c r="H2764" i="1"/>
  <c r="G2764" i="1"/>
  <c r="F2764" i="1"/>
  <c r="D2764" i="1"/>
  <c r="B2764" i="1"/>
  <c r="S2763" i="1"/>
  <c r="Q2763" i="1"/>
  <c r="L2763" i="1"/>
  <c r="K2763" i="1"/>
  <c r="J2763" i="1"/>
  <c r="I2763" i="1"/>
  <c r="H2763" i="1"/>
  <c r="G2763" i="1"/>
  <c r="F2763" i="1"/>
  <c r="E2763" i="1"/>
  <c r="D2763" i="1"/>
  <c r="B2763" i="1"/>
  <c r="S2762" i="1"/>
  <c r="Q2762" i="1"/>
  <c r="L2762" i="1"/>
  <c r="K2762" i="1"/>
  <c r="J2762" i="1"/>
  <c r="I2762" i="1"/>
  <c r="H2762" i="1"/>
  <c r="G2762" i="1"/>
  <c r="F2762" i="1"/>
  <c r="E2762" i="1"/>
  <c r="D2762" i="1"/>
  <c r="B2762" i="1"/>
  <c r="S2761" i="1"/>
  <c r="Q2761" i="1"/>
  <c r="L2761" i="1"/>
  <c r="K2761" i="1"/>
  <c r="J2761" i="1"/>
  <c r="I2761" i="1"/>
  <c r="H2761" i="1"/>
  <c r="G2761" i="1"/>
  <c r="F2761" i="1"/>
  <c r="E2761" i="1"/>
  <c r="D2761" i="1"/>
  <c r="B2761" i="1"/>
  <c r="S2760" i="1"/>
  <c r="L2760" i="1"/>
  <c r="K2760" i="1"/>
  <c r="J2760" i="1"/>
  <c r="H2760" i="1"/>
  <c r="G2760" i="1"/>
  <c r="F2760" i="1"/>
  <c r="D2760" i="1"/>
  <c r="B2760" i="1"/>
  <c r="S2759" i="1"/>
  <c r="L2759" i="1"/>
  <c r="K2759" i="1"/>
  <c r="J2759" i="1"/>
  <c r="H2759" i="1"/>
  <c r="G2759" i="1"/>
  <c r="F2759" i="1"/>
  <c r="D2759" i="1"/>
  <c r="B2759" i="1"/>
  <c r="S2758" i="1"/>
  <c r="L2758" i="1"/>
  <c r="K2758" i="1"/>
  <c r="J2758" i="1"/>
  <c r="H2758" i="1"/>
  <c r="G2758" i="1"/>
  <c r="F2758" i="1"/>
  <c r="D2758" i="1"/>
  <c r="B2758" i="1"/>
  <c r="S2757" i="1"/>
  <c r="L2757" i="1"/>
  <c r="K2757" i="1"/>
  <c r="J2757" i="1"/>
  <c r="H2757" i="1"/>
  <c r="G2757" i="1"/>
  <c r="F2757" i="1"/>
  <c r="D2757" i="1"/>
  <c r="B2757" i="1"/>
  <c r="S2756" i="1"/>
  <c r="L2756" i="1"/>
  <c r="K2756" i="1"/>
  <c r="J2756" i="1"/>
  <c r="H2756" i="1"/>
  <c r="G2756" i="1"/>
  <c r="F2756" i="1"/>
  <c r="D2756" i="1"/>
  <c r="B2756" i="1"/>
  <c r="S2755" i="1"/>
  <c r="L2755" i="1"/>
  <c r="K2755" i="1"/>
  <c r="J2755" i="1"/>
  <c r="H2755" i="1"/>
  <c r="G2755" i="1"/>
  <c r="F2755" i="1"/>
  <c r="D2755" i="1"/>
  <c r="B2755" i="1"/>
  <c r="S2754" i="1"/>
  <c r="Q2754" i="1"/>
  <c r="L2754" i="1"/>
  <c r="K2754" i="1"/>
  <c r="J2754" i="1"/>
  <c r="H2754" i="1"/>
  <c r="G2754" i="1"/>
  <c r="F2754" i="1"/>
  <c r="D2754" i="1"/>
  <c r="B2754" i="1"/>
  <c r="S2753" i="1"/>
  <c r="L2753" i="1"/>
  <c r="K2753" i="1"/>
  <c r="J2753" i="1"/>
  <c r="H2753" i="1"/>
  <c r="G2753" i="1"/>
  <c r="F2753" i="1"/>
  <c r="D2753" i="1"/>
  <c r="B2753" i="1"/>
  <c r="S2752" i="1"/>
  <c r="L2752" i="1"/>
  <c r="K2752" i="1"/>
  <c r="J2752" i="1"/>
  <c r="H2752" i="1"/>
  <c r="G2752" i="1"/>
  <c r="F2752" i="1"/>
  <c r="D2752" i="1"/>
  <c r="B2752" i="1"/>
  <c r="S2751" i="1"/>
  <c r="L2751" i="1"/>
  <c r="K2751" i="1"/>
  <c r="J2751" i="1"/>
  <c r="H2751" i="1"/>
  <c r="G2751" i="1"/>
  <c r="F2751" i="1"/>
  <c r="D2751" i="1"/>
  <c r="B2751" i="1"/>
  <c r="S2750" i="1"/>
  <c r="L2750" i="1"/>
  <c r="K2750" i="1"/>
  <c r="J2750" i="1"/>
  <c r="H2750" i="1"/>
  <c r="G2750" i="1"/>
  <c r="F2750" i="1"/>
  <c r="D2750" i="1"/>
  <c r="B2750" i="1"/>
  <c r="S2749" i="1"/>
  <c r="L2749" i="1"/>
  <c r="K2749" i="1"/>
  <c r="J2749" i="1"/>
  <c r="H2749" i="1"/>
  <c r="G2749" i="1"/>
  <c r="F2749" i="1"/>
  <c r="D2749" i="1"/>
  <c r="B2749" i="1"/>
  <c r="S2748" i="1"/>
  <c r="L2748" i="1"/>
  <c r="K2748" i="1"/>
  <c r="J2748" i="1"/>
  <c r="H2748" i="1"/>
  <c r="G2748" i="1"/>
  <c r="F2748" i="1"/>
  <c r="D2748" i="1"/>
  <c r="B2748" i="1"/>
  <c r="S2747" i="1"/>
  <c r="L2747" i="1"/>
  <c r="K2747" i="1"/>
  <c r="J2747" i="1"/>
  <c r="H2747" i="1"/>
  <c r="G2747" i="1"/>
  <c r="F2747" i="1"/>
  <c r="D2747" i="1"/>
  <c r="B2747" i="1"/>
  <c r="S2746" i="1"/>
  <c r="Q2746" i="1"/>
  <c r="L2746" i="1"/>
  <c r="K2746" i="1"/>
  <c r="J2746" i="1"/>
  <c r="H2746" i="1"/>
  <c r="G2746" i="1"/>
  <c r="F2746" i="1"/>
  <c r="D2746" i="1"/>
  <c r="B2746" i="1"/>
  <c r="S2745" i="1"/>
  <c r="Q2745" i="1"/>
  <c r="L2745" i="1"/>
  <c r="K2745" i="1"/>
  <c r="J2745" i="1"/>
  <c r="H2745" i="1"/>
  <c r="G2745" i="1"/>
  <c r="F2745" i="1"/>
  <c r="D2745" i="1"/>
  <c r="B2745" i="1"/>
  <c r="S2744" i="1"/>
  <c r="Q2744" i="1"/>
  <c r="L2744" i="1"/>
  <c r="K2744" i="1"/>
  <c r="J2744" i="1"/>
  <c r="H2744" i="1"/>
  <c r="G2744" i="1"/>
  <c r="F2744" i="1"/>
  <c r="D2744" i="1"/>
  <c r="B2744" i="1"/>
  <c r="S2743" i="1"/>
  <c r="Q2743" i="1"/>
  <c r="L2743" i="1"/>
  <c r="K2743" i="1"/>
  <c r="J2743" i="1"/>
  <c r="H2743" i="1"/>
  <c r="G2743" i="1"/>
  <c r="F2743" i="1"/>
  <c r="D2743" i="1"/>
  <c r="B2743" i="1"/>
  <c r="S2742" i="1"/>
  <c r="Q2742" i="1"/>
  <c r="L2742" i="1"/>
  <c r="K2742" i="1"/>
  <c r="J2742" i="1"/>
  <c r="H2742" i="1"/>
  <c r="G2742" i="1"/>
  <c r="F2742" i="1"/>
  <c r="D2742" i="1"/>
  <c r="B2742" i="1"/>
  <c r="S2741" i="1"/>
  <c r="L2741" i="1"/>
  <c r="K2741" i="1"/>
  <c r="J2741" i="1"/>
  <c r="H2741" i="1"/>
  <c r="G2741" i="1"/>
  <c r="F2741" i="1"/>
  <c r="D2741" i="1"/>
  <c r="B2741" i="1"/>
  <c r="S2740" i="1"/>
  <c r="Q2740" i="1"/>
  <c r="L2740" i="1"/>
  <c r="K2740" i="1"/>
  <c r="J2740" i="1"/>
  <c r="H2740" i="1"/>
  <c r="G2740" i="1"/>
  <c r="F2740" i="1"/>
  <c r="D2740" i="1"/>
  <c r="B2740" i="1"/>
  <c r="S2739" i="1"/>
  <c r="Q2739" i="1"/>
  <c r="L2739" i="1"/>
  <c r="K2739" i="1"/>
  <c r="J2739" i="1"/>
  <c r="H2739" i="1"/>
  <c r="G2739" i="1"/>
  <c r="F2739" i="1"/>
  <c r="D2739" i="1"/>
  <c r="B2739" i="1"/>
  <c r="S2738" i="1"/>
  <c r="Q2738" i="1"/>
  <c r="L2738" i="1"/>
  <c r="K2738" i="1"/>
  <c r="J2738" i="1"/>
  <c r="H2738" i="1"/>
  <c r="G2738" i="1"/>
  <c r="F2738" i="1"/>
  <c r="D2738" i="1"/>
  <c r="B2738" i="1"/>
  <c r="S2737" i="1"/>
  <c r="L2737" i="1"/>
  <c r="K2737" i="1"/>
  <c r="J2737" i="1"/>
  <c r="H2737" i="1"/>
  <c r="G2737" i="1"/>
  <c r="F2737" i="1"/>
  <c r="D2737" i="1"/>
  <c r="B2737" i="1"/>
  <c r="S2736" i="1"/>
  <c r="L2736" i="1"/>
  <c r="K2736" i="1"/>
  <c r="J2736" i="1"/>
  <c r="H2736" i="1"/>
  <c r="G2736" i="1"/>
  <c r="F2736" i="1"/>
  <c r="D2736" i="1"/>
  <c r="B2736" i="1"/>
  <c r="S2735" i="1"/>
  <c r="Q2735" i="1"/>
  <c r="L2735" i="1"/>
  <c r="K2735" i="1"/>
  <c r="J2735" i="1"/>
  <c r="H2735" i="1"/>
  <c r="G2735" i="1"/>
  <c r="F2735" i="1"/>
  <c r="D2735" i="1"/>
  <c r="B2735" i="1"/>
  <c r="S2734" i="1"/>
  <c r="L2734" i="1"/>
  <c r="K2734" i="1"/>
  <c r="J2734" i="1"/>
  <c r="H2734" i="1"/>
  <c r="G2734" i="1"/>
  <c r="F2734" i="1"/>
  <c r="D2734" i="1"/>
  <c r="B2734" i="1"/>
  <c r="S2733" i="1"/>
  <c r="L2733" i="1"/>
  <c r="K2733" i="1"/>
  <c r="J2733" i="1"/>
  <c r="H2733" i="1"/>
  <c r="G2733" i="1"/>
  <c r="F2733" i="1"/>
  <c r="D2733" i="1"/>
  <c r="B2733" i="1"/>
  <c r="S2732" i="1"/>
  <c r="L2732" i="1"/>
  <c r="K2732" i="1"/>
  <c r="J2732" i="1"/>
  <c r="H2732" i="1"/>
  <c r="G2732" i="1"/>
  <c r="F2732" i="1"/>
  <c r="D2732" i="1"/>
  <c r="B2732" i="1"/>
  <c r="S2731" i="1"/>
  <c r="L2731" i="1"/>
  <c r="K2731" i="1"/>
  <c r="J2731" i="1"/>
  <c r="H2731" i="1"/>
  <c r="G2731" i="1"/>
  <c r="F2731" i="1"/>
  <c r="D2731" i="1"/>
  <c r="B2731" i="1"/>
  <c r="S2730" i="1"/>
  <c r="L2730" i="1"/>
  <c r="K2730" i="1"/>
  <c r="J2730" i="1"/>
  <c r="H2730" i="1"/>
  <c r="G2730" i="1"/>
  <c r="F2730" i="1"/>
  <c r="D2730" i="1"/>
  <c r="B2730" i="1"/>
  <c r="S2729" i="1"/>
  <c r="L2729" i="1"/>
  <c r="K2729" i="1"/>
  <c r="J2729" i="1"/>
  <c r="H2729" i="1"/>
  <c r="G2729" i="1"/>
  <c r="F2729" i="1"/>
  <c r="D2729" i="1"/>
  <c r="B2729" i="1"/>
  <c r="S2728" i="1"/>
  <c r="L2728" i="1"/>
  <c r="K2728" i="1"/>
  <c r="J2728" i="1"/>
  <c r="H2728" i="1"/>
  <c r="G2728" i="1"/>
  <c r="F2728" i="1"/>
  <c r="D2728" i="1"/>
  <c r="B2728" i="1"/>
  <c r="S2727" i="1"/>
  <c r="L2727" i="1"/>
  <c r="K2727" i="1"/>
  <c r="J2727" i="1"/>
  <c r="H2727" i="1"/>
  <c r="G2727" i="1"/>
  <c r="F2727" i="1"/>
  <c r="D2727" i="1"/>
  <c r="B2727" i="1"/>
  <c r="S2726" i="1"/>
  <c r="L2726" i="1"/>
  <c r="K2726" i="1"/>
  <c r="J2726" i="1"/>
  <c r="H2726" i="1"/>
  <c r="G2726" i="1"/>
  <c r="F2726" i="1"/>
  <c r="D2726" i="1"/>
  <c r="B2726" i="1"/>
  <c r="S2725" i="1"/>
  <c r="Q2725" i="1"/>
  <c r="L2725" i="1"/>
  <c r="K2725" i="1"/>
  <c r="J2725" i="1"/>
  <c r="H2725" i="1"/>
  <c r="G2725" i="1"/>
  <c r="F2725" i="1"/>
  <c r="D2725" i="1"/>
  <c r="B2725" i="1"/>
  <c r="S2724" i="1"/>
  <c r="L2724" i="1"/>
  <c r="K2724" i="1"/>
  <c r="J2724" i="1"/>
  <c r="H2724" i="1"/>
  <c r="G2724" i="1"/>
  <c r="F2724" i="1"/>
  <c r="D2724" i="1"/>
  <c r="B2724" i="1"/>
  <c r="S2723" i="1"/>
  <c r="L2723" i="1"/>
  <c r="K2723" i="1"/>
  <c r="J2723" i="1"/>
  <c r="H2723" i="1"/>
  <c r="G2723" i="1"/>
  <c r="F2723" i="1"/>
  <c r="D2723" i="1"/>
  <c r="B2723" i="1"/>
  <c r="S2722" i="1"/>
  <c r="L2722" i="1"/>
  <c r="K2722" i="1"/>
  <c r="J2722" i="1"/>
  <c r="H2722" i="1"/>
  <c r="G2722" i="1"/>
  <c r="F2722" i="1"/>
  <c r="D2722" i="1"/>
  <c r="B2722" i="1"/>
  <c r="S2721" i="1"/>
  <c r="L2721" i="1"/>
  <c r="K2721" i="1"/>
  <c r="J2721" i="1"/>
  <c r="H2721" i="1"/>
  <c r="G2721" i="1"/>
  <c r="F2721" i="1"/>
  <c r="D2721" i="1"/>
  <c r="B2721" i="1"/>
  <c r="S2720" i="1"/>
  <c r="Q2720" i="1"/>
  <c r="L2720" i="1"/>
  <c r="K2720" i="1"/>
  <c r="J2720" i="1"/>
  <c r="H2720" i="1"/>
  <c r="G2720" i="1"/>
  <c r="F2720" i="1"/>
  <c r="D2720" i="1"/>
  <c r="B2720" i="1"/>
  <c r="S2719" i="1"/>
  <c r="L2719" i="1"/>
  <c r="K2719" i="1"/>
  <c r="J2719" i="1"/>
  <c r="H2719" i="1"/>
  <c r="G2719" i="1"/>
  <c r="F2719" i="1"/>
  <c r="D2719" i="1"/>
  <c r="B2719" i="1"/>
  <c r="S2718" i="1"/>
  <c r="L2718" i="1"/>
  <c r="K2718" i="1"/>
  <c r="J2718" i="1"/>
  <c r="H2718" i="1"/>
  <c r="G2718" i="1"/>
  <c r="F2718" i="1"/>
  <c r="D2718" i="1"/>
  <c r="B2718" i="1"/>
  <c r="S2717" i="1"/>
  <c r="L2717" i="1"/>
  <c r="K2717" i="1"/>
  <c r="J2717" i="1"/>
  <c r="H2717" i="1"/>
  <c r="G2717" i="1"/>
  <c r="F2717" i="1"/>
  <c r="D2717" i="1"/>
  <c r="B2717" i="1"/>
  <c r="S2716" i="1"/>
  <c r="Q2716" i="1"/>
  <c r="L2716" i="1"/>
  <c r="K2716" i="1"/>
  <c r="J2716" i="1"/>
  <c r="H2716" i="1"/>
  <c r="G2716" i="1"/>
  <c r="F2716" i="1"/>
  <c r="D2716" i="1"/>
  <c r="B2716" i="1"/>
  <c r="S2715" i="1"/>
  <c r="L2715" i="1"/>
  <c r="K2715" i="1"/>
  <c r="J2715" i="1"/>
  <c r="H2715" i="1"/>
  <c r="G2715" i="1"/>
  <c r="F2715" i="1"/>
  <c r="D2715" i="1"/>
  <c r="B2715" i="1"/>
  <c r="S2714" i="1"/>
  <c r="L2714" i="1"/>
  <c r="K2714" i="1"/>
  <c r="J2714" i="1"/>
  <c r="H2714" i="1"/>
  <c r="G2714" i="1"/>
  <c r="F2714" i="1"/>
  <c r="D2714" i="1"/>
  <c r="B2714" i="1"/>
  <c r="S2713" i="1"/>
  <c r="L2713" i="1"/>
  <c r="K2713" i="1"/>
  <c r="J2713" i="1"/>
  <c r="H2713" i="1"/>
  <c r="G2713" i="1"/>
  <c r="F2713" i="1"/>
  <c r="D2713" i="1"/>
  <c r="B2713" i="1"/>
  <c r="S2712" i="1"/>
  <c r="L2712" i="1"/>
  <c r="K2712" i="1"/>
  <c r="J2712" i="1"/>
  <c r="H2712" i="1"/>
  <c r="G2712" i="1"/>
  <c r="F2712" i="1"/>
  <c r="D2712" i="1"/>
  <c r="B2712" i="1"/>
  <c r="S2711" i="1"/>
  <c r="L2711" i="1"/>
  <c r="K2711" i="1"/>
  <c r="J2711" i="1"/>
  <c r="H2711" i="1"/>
  <c r="G2711" i="1"/>
  <c r="F2711" i="1"/>
  <c r="D2711" i="1"/>
  <c r="B2711" i="1"/>
  <c r="S2710" i="1"/>
  <c r="Q2710" i="1"/>
  <c r="L2710" i="1"/>
  <c r="K2710" i="1"/>
  <c r="J2710" i="1"/>
  <c r="H2710" i="1"/>
  <c r="G2710" i="1"/>
  <c r="F2710" i="1"/>
  <c r="D2710" i="1"/>
  <c r="B2710" i="1"/>
  <c r="S2709" i="1"/>
  <c r="L2709" i="1"/>
  <c r="K2709" i="1"/>
  <c r="J2709" i="1"/>
  <c r="H2709" i="1"/>
  <c r="G2709" i="1"/>
  <c r="F2709" i="1"/>
  <c r="D2709" i="1"/>
  <c r="B2709" i="1"/>
  <c r="S2708" i="1"/>
  <c r="L2708" i="1"/>
  <c r="K2708" i="1"/>
  <c r="J2708" i="1"/>
  <c r="H2708" i="1"/>
  <c r="G2708" i="1"/>
  <c r="F2708" i="1"/>
  <c r="D2708" i="1"/>
  <c r="B2708" i="1"/>
  <c r="S2707" i="1"/>
  <c r="L2707" i="1"/>
  <c r="K2707" i="1"/>
  <c r="J2707" i="1"/>
  <c r="I2707" i="1"/>
  <c r="H2707" i="1"/>
  <c r="F2707" i="1"/>
  <c r="D2707" i="1"/>
  <c r="B2707" i="1"/>
  <c r="S2706" i="1"/>
  <c r="L2706" i="1"/>
  <c r="K2706" i="1"/>
  <c r="J2706" i="1"/>
  <c r="H2706" i="1"/>
  <c r="G2706" i="1"/>
  <c r="F2706" i="1"/>
  <c r="D2706" i="1"/>
  <c r="B2706" i="1"/>
  <c r="S2705" i="1"/>
  <c r="L2705" i="1"/>
  <c r="K2705" i="1"/>
  <c r="J2705" i="1"/>
  <c r="H2705" i="1"/>
  <c r="G2705" i="1"/>
  <c r="F2705" i="1"/>
  <c r="D2705" i="1"/>
  <c r="B2705" i="1"/>
  <c r="S2704" i="1"/>
  <c r="L2704" i="1"/>
  <c r="K2704" i="1"/>
  <c r="J2704" i="1"/>
  <c r="H2704" i="1"/>
  <c r="G2704" i="1"/>
  <c r="F2704" i="1"/>
  <c r="D2704" i="1"/>
  <c r="B2704" i="1"/>
  <c r="S2703" i="1"/>
  <c r="L2703" i="1"/>
  <c r="K2703" i="1"/>
  <c r="J2703" i="1"/>
  <c r="H2703" i="1"/>
  <c r="G2703" i="1"/>
  <c r="F2703" i="1"/>
  <c r="D2703" i="1"/>
  <c r="B2703" i="1"/>
  <c r="S2702" i="1"/>
  <c r="L2702" i="1"/>
  <c r="K2702" i="1"/>
  <c r="J2702" i="1"/>
  <c r="H2702" i="1"/>
  <c r="G2702" i="1"/>
  <c r="F2702" i="1"/>
  <c r="D2702" i="1"/>
  <c r="B2702" i="1"/>
  <c r="S2701" i="1"/>
  <c r="L2701" i="1"/>
  <c r="K2701" i="1"/>
  <c r="J2701" i="1"/>
  <c r="H2701" i="1"/>
  <c r="G2701" i="1"/>
  <c r="F2701" i="1"/>
  <c r="D2701" i="1"/>
  <c r="B2701" i="1"/>
  <c r="S2700" i="1"/>
  <c r="Q2700" i="1"/>
  <c r="L2700" i="1"/>
  <c r="K2700" i="1"/>
  <c r="J2700" i="1"/>
  <c r="H2700" i="1"/>
  <c r="G2700" i="1"/>
  <c r="F2700" i="1"/>
  <c r="D2700" i="1"/>
  <c r="B2700" i="1"/>
  <c r="S2699" i="1"/>
  <c r="Q2699" i="1"/>
  <c r="L2699" i="1"/>
  <c r="K2699" i="1"/>
  <c r="J2699" i="1"/>
  <c r="H2699" i="1"/>
  <c r="G2699" i="1"/>
  <c r="F2699" i="1"/>
  <c r="D2699" i="1"/>
  <c r="B2699" i="1"/>
  <c r="S2698" i="1"/>
  <c r="L2698" i="1"/>
  <c r="K2698" i="1"/>
  <c r="J2698" i="1"/>
  <c r="H2698" i="1"/>
  <c r="G2698" i="1"/>
  <c r="F2698" i="1"/>
  <c r="D2698" i="1"/>
  <c r="B2698" i="1"/>
  <c r="S2697" i="1"/>
  <c r="Q2697" i="1"/>
  <c r="L2697" i="1"/>
  <c r="K2697" i="1"/>
  <c r="J2697" i="1"/>
  <c r="H2697" i="1"/>
  <c r="G2697" i="1"/>
  <c r="F2697" i="1"/>
  <c r="D2697" i="1"/>
  <c r="B2697" i="1"/>
  <c r="S2696" i="1"/>
  <c r="Q2696" i="1"/>
  <c r="L2696" i="1"/>
  <c r="K2696" i="1"/>
  <c r="J2696" i="1"/>
  <c r="H2696" i="1"/>
  <c r="G2696" i="1"/>
  <c r="F2696" i="1"/>
  <c r="D2696" i="1"/>
  <c r="B2696" i="1"/>
  <c r="S2695" i="1"/>
  <c r="L2695" i="1"/>
  <c r="K2695" i="1"/>
  <c r="J2695" i="1"/>
  <c r="H2695" i="1"/>
  <c r="G2695" i="1"/>
  <c r="F2695" i="1"/>
  <c r="D2695" i="1"/>
  <c r="B2695" i="1"/>
  <c r="S2694" i="1"/>
  <c r="L2694" i="1"/>
  <c r="K2694" i="1"/>
  <c r="J2694" i="1"/>
  <c r="H2694" i="1"/>
  <c r="G2694" i="1"/>
  <c r="F2694" i="1"/>
  <c r="D2694" i="1"/>
  <c r="B2694" i="1"/>
  <c r="S2693" i="1"/>
  <c r="Q2693" i="1"/>
  <c r="L2693" i="1"/>
  <c r="K2693" i="1"/>
  <c r="J2693" i="1"/>
  <c r="H2693" i="1"/>
  <c r="G2693" i="1"/>
  <c r="F2693" i="1"/>
  <c r="D2693" i="1"/>
  <c r="B2693" i="1"/>
  <c r="S2692" i="1"/>
  <c r="Q2692" i="1"/>
  <c r="L2692" i="1"/>
  <c r="K2692" i="1"/>
  <c r="J2692" i="1"/>
  <c r="H2692" i="1"/>
  <c r="G2692" i="1"/>
  <c r="F2692" i="1"/>
  <c r="D2692" i="1"/>
  <c r="B2692" i="1"/>
  <c r="S2691" i="1"/>
  <c r="Q2691" i="1"/>
  <c r="L2691" i="1"/>
  <c r="K2691" i="1"/>
  <c r="J2691" i="1"/>
  <c r="H2691" i="1"/>
  <c r="G2691" i="1"/>
  <c r="F2691" i="1"/>
  <c r="D2691" i="1"/>
  <c r="B2691" i="1"/>
  <c r="S2690" i="1"/>
  <c r="L2690" i="1"/>
  <c r="K2690" i="1"/>
  <c r="J2690" i="1"/>
  <c r="H2690" i="1"/>
  <c r="G2690" i="1"/>
  <c r="F2690" i="1"/>
  <c r="D2690" i="1"/>
  <c r="B2690" i="1"/>
  <c r="S2689" i="1"/>
  <c r="L2689" i="1"/>
  <c r="K2689" i="1"/>
  <c r="J2689" i="1"/>
  <c r="H2689" i="1"/>
  <c r="G2689" i="1"/>
  <c r="F2689" i="1"/>
  <c r="D2689" i="1"/>
  <c r="B2689" i="1"/>
  <c r="S2688" i="1"/>
  <c r="Q2688" i="1"/>
  <c r="L2688" i="1"/>
  <c r="K2688" i="1"/>
  <c r="J2688" i="1"/>
  <c r="H2688" i="1"/>
  <c r="G2688" i="1"/>
  <c r="F2688" i="1"/>
  <c r="D2688" i="1"/>
  <c r="B2688" i="1"/>
  <c r="S2687" i="1"/>
  <c r="L2687" i="1"/>
  <c r="K2687" i="1"/>
  <c r="J2687" i="1"/>
  <c r="H2687" i="1"/>
  <c r="G2687" i="1"/>
  <c r="F2687" i="1"/>
  <c r="D2687" i="1"/>
  <c r="B2687" i="1"/>
  <c r="S2686" i="1"/>
  <c r="Q2686" i="1"/>
  <c r="L2686" i="1"/>
  <c r="K2686" i="1"/>
  <c r="J2686" i="1"/>
  <c r="H2686" i="1"/>
  <c r="G2686" i="1"/>
  <c r="F2686" i="1"/>
  <c r="D2686" i="1"/>
  <c r="B2686" i="1"/>
  <c r="S2685" i="1"/>
  <c r="L2685" i="1"/>
  <c r="K2685" i="1"/>
  <c r="J2685" i="1"/>
  <c r="H2685" i="1"/>
  <c r="G2685" i="1"/>
  <c r="F2685" i="1"/>
  <c r="D2685" i="1"/>
  <c r="B2685" i="1"/>
  <c r="S2684" i="1"/>
  <c r="L2684" i="1"/>
  <c r="K2684" i="1"/>
  <c r="J2684" i="1"/>
  <c r="H2684" i="1"/>
  <c r="G2684" i="1"/>
  <c r="F2684" i="1"/>
  <c r="D2684" i="1"/>
  <c r="B2684" i="1"/>
  <c r="S2683" i="1"/>
  <c r="L2683" i="1"/>
  <c r="K2683" i="1"/>
  <c r="J2683" i="1"/>
  <c r="H2683" i="1"/>
  <c r="G2683" i="1"/>
  <c r="F2683" i="1"/>
  <c r="D2683" i="1"/>
  <c r="B2683" i="1"/>
  <c r="S2682" i="1"/>
  <c r="L2682" i="1"/>
  <c r="K2682" i="1"/>
  <c r="J2682" i="1"/>
  <c r="H2682" i="1"/>
  <c r="G2682" i="1"/>
  <c r="F2682" i="1"/>
  <c r="D2682" i="1"/>
  <c r="B2682" i="1"/>
  <c r="S2681" i="1"/>
  <c r="L2681" i="1"/>
  <c r="K2681" i="1"/>
  <c r="J2681" i="1"/>
  <c r="H2681" i="1"/>
  <c r="G2681" i="1"/>
  <c r="F2681" i="1"/>
  <c r="D2681" i="1"/>
  <c r="B2681" i="1"/>
  <c r="S2680" i="1"/>
  <c r="L2680" i="1"/>
  <c r="K2680" i="1"/>
  <c r="J2680" i="1"/>
  <c r="H2680" i="1"/>
  <c r="G2680" i="1"/>
  <c r="F2680" i="1"/>
  <c r="D2680" i="1"/>
  <c r="B2680" i="1"/>
  <c r="S2679" i="1"/>
  <c r="L2679" i="1"/>
  <c r="K2679" i="1"/>
  <c r="J2679" i="1"/>
  <c r="H2679" i="1"/>
  <c r="G2679" i="1"/>
  <c r="F2679" i="1"/>
  <c r="D2679" i="1"/>
  <c r="B2679" i="1"/>
  <c r="S2678" i="1"/>
  <c r="L2678" i="1"/>
  <c r="K2678" i="1"/>
  <c r="J2678" i="1"/>
  <c r="H2678" i="1"/>
  <c r="G2678" i="1"/>
  <c r="F2678" i="1"/>
  <c r="D2678" i="1"/>
  <c r="B2678" i="1"/>
  <c r="S2677" i="1"/>
  <c r="Q2677" i="1"/>
  <c r="L2677" i="1"/>
  <c r="K2677" i="1"/>
  <c r="J2677" i="1"/>
  <c r="H2677" i="1"/>
  <c r="G2677" i="1"/>
  <c r="F2677" i="1"/>
  <c r="D2677" i="1"/>
  <c r="B2677" i="1"/>
  <c r="S2676" i="1"/>
  <c r="L2676" i="1"/>
  <c r="K2676" i="1"/>
  <c r="J2676" i="1"/>
  <c r="H2676" i="1"/>
  <c r="G2676" i="1"/>
  <c r="F2676" i="1"/>
  <c r="D2676" i="1"/>
  <c r="B2676" i="1"/>
  <c r="S2675" i="1"/>
  <c r="L2675" i="1"/>
  <c r="K2675" i="1"/>
  <c r="J2675" i="1"/>
  <c r="H2675" i="1"/>
  <c r="G2675" i="1"/>
  <c r="F2675" i="1"/>
  <c r="D2675" i="1"/>
  <c r="B2675" i="1"/>
  <c r="S2674" i="1"/>
  <c r="L2674" i="1"/>
  <c r="K2674" i="1"/>
  <c r="J2674" i="1"/>
  <c r="H2674" i="1"/>
  <c r="G2674" i="1"/>
  <c r="F2674" i="1"/>
  <c r="D2674" i="1"/>
  <c r="B2674" i="1"/>
  <c r="S2673" i="1"/>
  <c r="L2673" i="1"/>
  <c r="K2673" i="1"/>
  <c r="J2673" i="1"/>
  <c r="H2673" i="1"/>
  <c r="G2673" i="1"/>
  <c r="F2673" i="1"/>
  <c r="D2673" i="1"/>
  <c r="B2673" i="1"/>
  <c r="S2672" i="1"/>
  <c r="L2672" i="1"/>
  <c r="K2672" i="1"/>
  <c r="J2672" i="1"/>
  <c r="H2672" i="1"/>
  <c r="G2672" i="1"/>
  <c r="F2672" i="1"/>
  <c r="D2672" i="1"/>
  <c r="B2672" i="1"/>
  <c r="S2671" i="1"/>
  <c r="Q2671" i="1"/>
  <c r="L2671" i="1"/>
  <c r="K2671" i="1"/>
  <c r="J2671" i="1"/>
  <c r="H2671" i="1"/>
  <c r="G2671" i="1"/>
  <c r="F2671" i="1"/>
  <c r="D2671" i="1"/>
  <c r="B2671" i="1"/>
  <c r="S2670" i="1"/>
  <c r="Q2670" i="1"/>
  <c r="L2670" i="1"/>
  <c r="K2670" i="1"/>
  <c r="J2670" i="1"/>
  <c r="H2670" i="1"/>
  <c r="G2670" i="1"/>
  <c r="F2670" i="1"/>
  <c r="D2670" i="1"/>
  <c r="B2670" i="1"/>
  <c r="S2669" i="1"/>
  <c r="Q2669" i="1"/>
  <c r="L2669" i="1"/>
  <c r="K2669" i="1"/>
  <c r="J2669" i="1"/>
  <c r="H2669" i="1"/>
  <c r="G2669" i="1"/>
  <c r="F2669" i="1"/>
  <c r="D2669" i="1"/>
  <c r="B2669" i="1"/>
  <c r="S2668" i="1"/>
  <c r="L2668" i="1"/>
  <c r="K2668" i="1"/>
  <c r="J2668" i="1"/>
  <c r="H2668" i="1"/>
  <c r="G2668" i="1"/>
  <c r="F2668" i="1"/>
  <c r="D2668" i="1"/>
  <c r="B2668" i="1"/>
  <c r="S2667" i="1"/>
  <c r="L2667" i="1"/>
  <c r="K2667" i="1"/>
  <c r="J2667" i="1"/>
  <c r="H2667" i="1"/>
  <c r="G2667" i="1"/>
  <c r="F2667" i="1"/>
  <c r="D2667" i="1"/>
  <c r="B2667" i="1"/>
  <c r="S2666" i="1"/>
  <c r="L2666" i="1"/>
  <c r="K2666" i="1"/>
  <c r="J2666" i="1"/>
  <c r="H2666" i="1"/>
  <c r="G2666" i="1"/>
  <c r="F2666" i="1"/>
  <c r="D2666" i="1"/>
  <c r="B2666" i="1"/>
  <c r="S2665" i="1"/>
  <c r="L2665" i="1"/>
  <c r="K2665" i="1"/>
  <c r="J2665" i="1"/>
  <c r="H2665" i="1"/>
  <c r="G2665" i="1"/>
  <c r="F2665" i="1"/>
  <c r="D2665" i="1"/>
  <c r="B2665" i="1"/>
  <c r="S2664" i="1"/>
  <c r="Q2664" i="1"/>
  <c r="L2664" i="1"/>
  <c r="K2664" i="1"/>
  <c r="J2664" i="1"/>
  <c r="I2664" i="1"/>
  <c r="H2664" i="1"/>
  <c r="G2664" i="1"/>
  <c r="F2664" i="1"/>
  <c r="D2664" i="1"/>
  <c r="B2664" i="1"/>
  <c r="S2663" i="1"/>
  <c r="L2663" i="1"/>
  <c r="K2663" i="1"/>
  <c r="J2663" i="1"/>
  <c r="H2663" i="1"/>
  <c r="G2663" i="1"/>
  <c r="F2663" i="1"/>
  <c r="D2663" i="1"/>
  <c r="B2663" i="1"/>
  <c r="S2662" i="1"/>
  <c r="Q2662" i="1"/>
  <c r="L2662" i="1"/>
  <c r="K2662" i="1"/>
  <c r="J2662" i="1"/>
  <c r="H2662" i="1"/>
  <c r="G2662" i="1"/>
  <c r="F2662" i="1"/>
  <c r="D2662" i="1"/>
  <c r="B2662" i="1"/>
  <c r="S2661" i="1"/>
  <c r="Q2661" i="1"/>
  <c r="L2661" i="1"/>
  <c r="K2661" i="1"/>
  <c r="J2661" i="1"/>
  <c r="H2661" i="1"/>
  <c r="G2661" i="1"/>
  <c r="F2661" i="1"/>
  <c r="D2661" i="1"/>
  <c r="B2661" i="1"/>
  <c r="S2660" i="1"/>
  <c r="L2660" i="1"/>
  <c r="K2660" i="1"/>
  <c r="J2660" i="1"/>
  <c r="H2660" i="1"/>
  <c r="G2660" i="1"/>
  <c r="F2660" i="1"/>
  <c r="D2660" i="1"/>
  <c r="B2660" i="1"/>
  <c r="S2659" i="1"/>
  <c r="L2659" i="1"/>
  <c r="K2659" i="1"/>
  <c r="J2659" i="1"/>
  <c r="H2659" i="1"/>
  <c r="G2659" i="1"/>
  <c r="F2659" i="1"/>
  <c r="D2659" i="1"/>
  <c r="B2659" i="1"/>
  <c r="S2658" i="1"/>
  <c r="L2658" i="1"/>
  <c r="K2658" i="1"/>
  <c r="J2658" i="1"/>
  <c r="H2658" i="1"/>
  <c r="G2658" i="1"/>
  <c r="F2658" i="1"/>
  <c r="D2658" i="1"/>
  <c r="B2658" i="1"/>
  <c r="S2657" i="1"/>
  <c r="L2657" i="1"/>
  <c r="K2657" i="1"/>
  <c r="J2657" i="1"/>
  <c r="H2657" i="1"/>
  <c r="G2657" i="1"/>
  <c r="F2657" i="1"/>
  <c r="D2657" i="1"/>
  <c r="B2657" i="1"/>
  <c r="S2656" i="1"/>
  <c r="L2656" i="1"/>
  <c r="K2656" i="1"/>
  <c r="J2656" i="1"/>
  <c r="H2656" i="1"/>
  <c r="G2656" i="1"/>
  <c r="F2656" i="1"/>
  <c r="D2656" i="1"/>
  <c r="B2656" i="1"/>
  <c r="S2655" i="1"/>
  <c r="L2655" i="1"/>
  <c r="K2655" i="1"/>
  <c r="J2655" i="1"/>
  <c r="H2655" i="1"/>
  <c r="G2655" i="1"/>
  <c r="F2655" i="1"/>
  <c r="D2655" i="1"/>
  <c r="B2655" i="1"/>
  <c r="S2654" i="1"/>
  <c r="L2654" i="1"/>
  <c r="K2654" i="1"/>
  <c r="J2654" i="1"/>
  <c r="H2654" i="1"/>
  <c r="G2654" i="1"/>
  <c r="F2654" i="1"/>
  <c r="D2654" i="1"/>
  <c r="B2654" i="1"/>
  <c r="S2653" i="1"/>
  <c r="L2653" i="1"/>
  <c r="K2653" i="1"/>
  <c r="J2653" i="1"/>
  <c r="H2653" i="1"/>
  <c r="G2653" i="1"/>
  <c r="F2653" i="1"/>
  <c r="D2653" i="1"/>
  <c r="B2653" i="1"/>
  <c r="S2652" i="1"/>
  <c r="Q2652" i="1"/>
  <c r="L2652" i="1"/>
  <c r="K2652" i="1"/>
  <c r="J2652" i="1"/>
  <c r="H2652" i="1"/>
  <c r="G2652" i="1"/>
  <c r="F2652" i="1"/>
  <c r="D2652" i="1"/>
  <c r="B2652" i="1"/>
  <c r="S2651" i="1"/>
  <c r="Q2651" i="1"/>
  <c r="L2651" i="1"/>
  <c r="K2651" i="1"/>
  <c r="J2651" i="1"/>
  <c r="H2651" i="1"/>
  <c r="G2651" i="1"/>
  <c r="F2651" i="1"/>
  <c r="D2651" i="1"/>
  <c r="B2651" i="1"/>
  <c r="S2650" i="1"/>
  <c r="L2650" i="1"/>
  <c r="K2650" i="1"/>
  <c r="J2650" i="1"/>
  <c r="H2650" i="1"/>
  <c r="G2650" i="1"/>
  <c r="F2650" i="1"/>
  <c r="D2650" i="1"/>
  <c r="B2650" i="1"/>
  <c r="S2649" i="1"/>
  <c r="L2649" i="1"/>
  <c r="K2649" i="1"/>
  <c r="J2649" i="1"/>
  <c r="H2649" i="1"/>
  <c r="G2649" i="1"/>
  <c r="F2649" i="1"/>
  <c r="D2649" i="1"/>
  <c r="B2649" i="1"/>
  <c r="S2648" i="1"/>
  <c r="L2648" i="1"/>
  <c r="K2648" i="1"/>
  <c r="J2648" i="1"/>
  <c r="H2648" i="1"/>
  <c r="G2648" i="1"/>
  <c r="F2648" i="1"/>
  <c r="D2648" i="1"/>
  <c r="B2648" i="1"/>
  <c r="S2647" i="1"/>
  <c r="L2647" i="1"/>
  <c r="K2647" i="1"/>
  <c r="J2647" i="1"/>
  <c r="H2647" i="1"/>
  <c r="G2647" i="1"/>
  <c r="F2647" i="1"/>
  <c r="D2647" i="1"/>
  <c r="B2647" i="1"/>
  <c r="S2646" i="1"/>
  <c r="L2646" i="1"/>
  <c r="K2646" i="1"/>
  <c r="J2646" i="1"/>
  <c r="H2646" i="1"/>
  <c r="G2646" i="1"/>
  <c r="F2646" i="1"/>
  <c r="D2646" i="1"/>
  <c r="B2646" i="1"/>
  <c r="S2645" i="1"/>
  <c r="L2645" i="1"/>
  <c r="K2645" i="1"/>
  <c r="J2645" i="1"/>
  <c r="H2645" i="1"/>
  <c r="G2645" i="1"/>
  <c r="F2645" i="1"/>
  <c r="D2645" i="1"/>
  <c r="B2645" i="1"/>
  <c r="S2644" i="1"/>
  <c r="L2644" i="1"/>
  <c r="K2644" i="1"/>
  <c r="J2644" i="1"/>
  <c r="H2644" i="1"/>
  <c r="G2644" i="1"/>
  <c r="F2644" i="1"/>
  <c r="D2644" i="1"/>
  <c r="B2644" i="1"/>
  <c r="S2643" i="1"/>
  <c r="L2643" i="1"/>
  <c r="K2643" i="1"/>
  <c r="J2643" i="1"/>
  <c r="H2643" i="1"/>
  <c r="G2643" i="1"/>
  <c r="F2643" i="1"/>
  <c r="D2643" i="1"/>
  <c r="B2643" i="1"/>
  <c r="S2642" i="1"/>
  <c r="L2642" i="1"/>
  <c r="K2642" i="1"/>
  <c r="J2642" i="1"/>
  <c r="H2642" i="1"/>
  <c r="G2642" i="1"/>
  <c r="F2642" i="1"/>
  <c r="D2642" i="1"/>
  <c r="B2642" i="1"/>
  <c r="S2641" i="1"/>
  <c r="L2641" i="1"/>
  <c r="K2641" i="1"/>
  <c r="J2641" i="1"/>
  <c r="H2641" i="1"/>
  <c r="G2641" i="1"/>
  <c r="F2641" i="1"/>
  <c r="D2641" i="1"/>
  <c r="B2641" i="1"/>
  <c r="S2640" i="1"/>
  <c r="L2640" i="1"/>
  <c r="K2640" i="1"/>
  <c r="J2640" i="1"/>
  <c r="H2640" i="1"/>
  <c r="G2640" i="1"/>
  <c r="F2640" i="1"/>
  <c r="D2640" i="1"/>
  <c r="B2640" i="1"/>
  <c r="S2639" i="1"/>
  <c r="L2639" i="1"/>
  <c r="K2639" i="1"/>
  <c r="J2639" i="1"/>
  <c r="H2639" i="1"/>
  <c r="G2639" i="1"/>
  <c r="F2639" i="1"/>
  <c r="D2639" i="1"/>
  <c r="B2639" i="1"/>
  <c r="S2638" i="1"/>
  <c r="L2638" i="1"/>
  <c r="K2638" i="1"/>
  <c r="J2638" i="1"/>
  <c r="H2638" i="1"/>
  <c r="G2638" i="1"/>
  <c r="F2638" i="1"/>
  <c r="D2638" i="1"/>
  <c r="B2638" i="1"/>
  <c r="S2637" i="1"/>
  <c r="L2637" i="1"/>
  <c r="K2637" i="1"/>
  <c r="J2637" i="1"/>
  <c r="H2637" i="1"/>
  <c r="G2637" i="1"/>
  <c r="F2637" i="1"/>
  <c r="D2637" i="1"/>
  <c r="B2637" i="1"/>
  <c r="S2636" i="1"/>
  <c r="L2636" i="1"/>
  <c r="K2636" i="1"/>
  <c r="J2636" i="1"/>
  <c r="H2636" i="1"/>
  <c r="G2636" i="1"/>
  <c r="F2636" i="1"/>
  <c r="D2636" i="1"/>
  <c r="B2636" i="1"/>
  <c r="S2635" i="1"/>
  <c r="L2635" i="1"/>
  <c r="K2635" i="1"/>
  <c r="J2635" i="1"/>
  <c r="H2635" i="1"/>
  <c r="G2635" i="1"/>
  <c r="F2635" i="1"/>
  <c r="D2635" i="1"/>
  <c r="B2635" i="1"/>
  <c r="S2634" i="1"/>
  <c r="Q2634" i="1"/>
  <c r="L2634" i="1"/>
  <c r="K2634" i="1"/>
  <c r="J2634" i="1"/>
  <c r="I2634" i="1"/>
  <c r="H2634" i="1"/>
  <c r="G2634" i="1"/>
  <c r="F2634" i="1"/>
  <c r="D2634" i="1"/>
  <c r="B2634" i="1"/>
  <c r="S2633" i="1"/>
  <c r="L2633" i="1"/>
  <c r="K2633" i="1"/>
  <c r="J2633" i="1"/>
  <c r="H2633" i="1"/>
  <c r="G2633" i="1"/>
  <c r="F2633" i="1"/>
  <c r="D2633" i="1"/>
  <c r="B2633" i="1"/>
  <c r="S2632" i="1"/>
  <c r="L2632" i="1"/>
  <c r="K2632" i="1"/>
  <c r="J2632" i="1"/>
  <c r="H2632" i="1"/>
  <c r="G2632" i="1"/>
  <c r="F2632" i="1"/>
  <c r="D2632" i="1"/>
  <c r="B2632" i="1"/>
  <c r="S2631" i="1"/>
  <c r="Q2631" i="1"/>
  <c r="L2631" i="1"/>
  <c r="K2631" i="1"/>
  <c r="J2631" i="1"/>
  <c r="I2631" i="1"/>
  <c r="H2631" i="1"/>
  <c r="G2631" i="1"/>
  <c r="F2631" i="1"/>
  <c r="E2631" i="1"/>
  <c r="D2631" i="1"/>
  <c r="B2631" i="1"/>
  <c r="S2630" i="1"/>
  <c r="L2630" i="1"/>
  <c r="K2630" i="1"/>
  <c r="J2630" i="1"/>
  <c r="H2630" i="1"/>
  <c r="G2630" i="1"/>
  <c r="F2630" i="1"/>
  <c r="D2630" i="1"/>
  <c r="B2630" i="1"/>
  <c r="S2629" i="1"/>
  <c r="L2629" i="1"/>
  <c r="K2629" i="1"/>
  <c r="J2629" i="1"/>
  <c r="H2629" i="1"/>
  <c r="G2629" i="1"/>
  <c r="F2629" i="1"/>
  <c r="D2629" i="1"/>
  <c r="B2629" i="1"/>
  <c r="S2628" i="1"/>
  <c r="L2628" i="1"/>
  <c r="K2628" i="1"/>
  <c r="J2628" i="1"/>
  <c r="H2628" i="1"/>
  <c r="G2628" i="1"/>
  <c r="F2628" i="1"/>
  <c r="D2628" i="1"/>
  <c r="B2628" i="1"/>
  <c r="S2627" i="1"/>
  <c r="L2627" i="1"/>
  <c r="K2627" i="1"/>
  <c r="J2627" i="1"/>
  <c r="H2627" i="1"/>
  <c r="G2627" i="1"/>
  <c r="F2627" i="1"/>
  <c r="D2627" i="1"/>
  <c r="B2627" i="1"/>
  <c r="S2626" i="1"/>
  <c r="L2626" i="1"/>
  <c r="K2626" i="1"/>
  <c r="J2626" i="1"/>
  <c r="H2626" i="1"/>
  <c r="G2626" i="1"/>
  <c r="F2626" i="1"/>
  <c r="D2626" i="1"/>
  <c r="B2626" i="1"/>
  <c r="S2625" i="1"/>
  <c r="L2625" i="1"/>
  <c r="K2625" i="1"/>
  <c r="J2625" i="1"/>
  <c r="H2625" i="1"/>
  <c r="G2625" i="1"/>
  <c r="F2625" i="1"/>
  <c r="D2625" i="1"/>
  <c r="B2625" i="1"/>
  <c r="S2624" i="1"/>
  <c r="L2624" i="1"/>
  <c r="K2624" i="1"/>
  <c r="J2624" i="1"/>
  <c r="H2624" i="1"/>
  <c r="G2624" i="1"/>
  <c r="F2624" i="1"/>
  <c r="D2624" i="1"/>
  <c r="B2624" i="1"/>
  <c r="S2623" i="1"/>
  <c r="L2623" i="1"/>
  <c r="K2623" i="1"/>
  <c r="J2623" i="1"/>
  <c r="H2623" i="1"/>
  <c r="G2623" i="1"/>
  <c r="F2623" i="1"/>
  <c r="D2623" i="1"/>
  <c r="B2623" i="1"/>
  <c r="S2622" i="1"/>
  <c r="L2622" i="1"/>
  <c r="K2622" i="1"/>
  <c r="J2622" i="1"/>
  <c r="H2622" i="1"/>
  <c r="G2622" i="1"/>
  <c r="F2622" i="1"/>
  <c r="D2622" i="1"/>
  <c r="B2622" i="1"/>
  <c r="S2621" i="1"/>
  <c r="L2621" i="1"/>
  <c r="K2621" i="1"/>
  <c r="J2621" i="1"/>
  <c r="H2621" i="1"/>
  <c r="G2621" i="1"/>
  <c r="F2621" i="1"/>
  <c r="D2621" i="1"/>
  <c r="B2621" i="1"/>
  <c r="S2620" i="1"/>
  <c r="L2620" i="1"/>
  <c r="K2620" i="1"/>
  <c r="J2620" i="1"/>
  <c r="H2620" i="1"/>
  <c r="G2620" i="1"/>
  <c r="F2620" i="1"/>
  <c r="D2620" i="1"/>
  <c r="B2620" i="1"/>
  <c r="S2619" i="1"/>
  <c r="L2619" i="1"/>
  <c r="K2619" i="1"/>
  <c r="J2619" i="1"/>
  <c r="H2619" i="1"/>
  <c r="G2619" i="1"/>
  <c r="F2619" i="1"/>
  <c r="D2619" i="1"/>
  <c r="B2619" i="1"/>
  <c r="S2618" i="1"/>
  <c r="Q2618" i="1"/>
  <c r="L2618" i="1"/>
  <c r="K2618" i="1"/>
  <c r="J2618" i="1"/>
  <c r="H2618" i="1"/>
  <c r="G2618" i="1"/>
  <c r="F2618" i="1"/>
  <c r="D2618" i="1"/>
  <c r="B2618" i="1"/>
  <c r="S2617" i="1"/>
  <c r="Q2617" i="1"/>
  <c r="L2617" i="1"/>
  <c r="K2617" i="1"/>
  <c r="J2617" i="1"/>
  <c r="H2617" i="1"/>
  <c r="G2617" i="1"/>
  <c r="F2617" i="1"/>
  <c r="D2617" i="1"/>
  <c r="B2617" i="1"/>
  <c r="S2616" i="1"/>
  <c r="Q2616" i="1"/>
  <c r="L2616" i="1"/>
  <c r="K2616" i="1"/>
  <c r="J2616" i="1"/>
  <c r="H2616" i="1"/>
  <c r="G2616" i="1"/>
  <c r="F2616" i="1"/>
  <c r="D2616" i="1"/>
  <c r="B2616" i="1"/>
  <c r="S2615" i="1"/>
  <c r="Q2615" i="1"/>
  <c r="L2615" i="1"/>
  <c r="K2615" i="1"/>
  <c r="J2615" i="1"/>
  <c r="H2615" i="1"/>
  <c r="G2615" i="1"/>
  <c r="F2615" i="1"/>
  <c r="D2615" i="1"/>
  <c r="B2615" i="1"/>
  <c r="S2614" i="1"/>
  <c r="Q2614" i="1"/>
  <c r="L2614" i="1"/>
  <c r="K2614" i="1"/>
  <c r="J2614" i="1"/>
  <c r="H2614" i="1"/>
  <c r="G2614" i="1"/>
  <c r="F2614" i="1"/>
  <c r="D2614" i="1"/>
  <c r="B2614" i="1"/>
  <c r="S2613" i="1"/>
  <c r="Q2613" i="1"/>
  <c r="L2613" i="1"/>
  <c r="K2613" i="1"/>
  <c r="J2613" i="1"/>
  <c r="H2613" i="1"/>
  <c r="G2613" i="1"/>
  <c r="F2613" i="1"/>
  <c r="D2613" i="1"/>
  <c r="B2613" i="1"/>
  <c r="S2612" i="1"/>
  <c r="Q2612" i="1"/>
  <c r="L2612" i="1"/>
  <c r="K2612" i="1"/>
  <c r="J2612" i="1"/>
  <c r="H2612" i="1"/>
  <c r="G2612" i="1"/>
  <c r="F2612" i="1"/>
  <c r="D2612" i="1"/>
  <c r="B2612" i="1"/>
  <c r="S2611" i="1"/>
  <c r="Q2611" i="1"/>
  <c r="L2611" i="1"/>
  <c r="K2611" i="1"/>
  <c r="J2611" i="1"/>
  <c r="H2611" i="1"/>
  <c r="G2611" i="1"/>
  <c r="F2611" i="1"/>
  <c r="D2611" i="1"/>
  <c r="B2611" i="1"/>
  <c r="S2610" i="1"/>
  <c r="Q2610" i="1"/>
  <c r="L2610" i="1"/>
  <c r="K2610" i="1"/>
  <c r="J2610" i="1"/>
  <c r="H2610" i="1"/>
  <c r="G2610" i="1"/>
  <c r="F2610" i="1"/>
  <c r="D2610" i="1"/>
  <c r="B2610" i="1"/>
  <c r="S2609" i="1"/>
  <c r="Q2609" i="1"/>
  <c r="L2609" i="1"/>
  <c r="K2609" i="1"/>
  <c r="J2609" i="1"/>
  <c r="H2609" i="1"/>
  <c r="G2609" i="1"/>
  <c r="F2609" i="1"/>
  <c r="D2609" i="1"/>
  <c r="B2609" i="1"/>
  <c r="S2608" i="1"/>
  <c r="Q2608" i="1"/>
  <c r="L2608" i="1"/>
  <c r="K2608" i="1"/>
  <c r="J2608" i="1"/>
  <c r="H2608" i="1"/>
  <c r="G2608" i="1"/>
  <c r="F2608" i="1"/>
  <c r="D2608" i="1"/>
  <c r="B2608" i="1"/>
  <c r="S2607" i="1"/>
  <c r="Q2607" i="1"/>
  <c r="L2607" i="1"/>
  <c r="K2607" i="1"/>
  <c r="J2607" i="1"/>
  <c r="H2607" i="1"/>
  <c r="G2607" i="1"/>
  <c r="F2607" i="1"/>
  <c r="D2607" i="1"/>
  <c r="B2607" i="1"/>
  <c r="S2606" i="1"/>
  <c r="L2606" i="1"/>
  <c r="K2606" i="1"/>
  <c r="J2606" i="1"/>
  <c r="H2606" i="1"/>
  <c r="G2606" i="1"/>
  <c r="F2606" i="1"/>
  <c r="D2606" i="1"/>
  <c r="B2606" i="1"/>
  <c r="S2605" i="1"/>
  <c r="Q2605" i="1"/>
  <c r="L2605" i="1"/>
  <c r="K2605" i="1"/>
  <c r="J2605" i="1"/>
  <c r="H2605" i="1"/>
  <c r="G2605" i="1"/>
  <c r="F2605" i="1"/>
  <c r="D2605" i="1"/>
  <c r="B2605" i="1"/>
  <c r="S2604" i="1"/>
  <c r="Q2604" i="1"/>
  <c r="L2604" i="1"/>
  <c r="K2604" i="1"/>
  <c r="J2604" i="1"/>
  <c r="H2604" i="1"/>
  <c r="G2604" i="1"/>
  <c r="F2604" i="1"/>
  <c r="D2604" i="1"/>
  <c r="B2604" i="1"/>
  <c r="S2603" i="1"/>
  <c r="Q2603" i="1"/>
  <c r="L2603" i="1"/>
  <c r="K2603" i="1"/>
  <c r="J2603" i="1"/>
  <c r="H2603" i="1"/>
  <c r="G2603" i="1"/>
  <c r="F2603" i="1"/>
  <c r="D2603" i="1"/>
  <c r="B2603" i="1"/>
  <c r="S2602" i="1"/>
  <c r="Q2602" i="1"/>
  <c r="L2602" i="1"/>
  <c r="K2602" i="1"/>
  <c r="J2602" i="1"/>
  <c r="H2602" i="1"/>
  <c r="G2602" i="1"/>
  <c r="F2602" i="1"/>
  <c r="D2602" i="1"/>
  <c r="B2602" i="1"/>
  <c r="S2601" i="1"/>
  <c r="Q2601" i="1"/>
  <c r="L2601" i="1"/>
  <c r="K2601" i="1"/>
  <c r="J2601" i="1"/>
  <c r="H2601" i="1"/>
  <c r="G2601" i="1"/>
  <c r="F2601" i="1"/>
  <c r="D2601" i="1"/>
  <c r="B2601" i="1"/>
  <c r="S2600" i="1"/>
  <c r="Q2600" i="1"/>
  <c r="L2600" i="1"/>
  <c r="K2600" i="1"/>
  <c r="J2600" i="1"/>
  <c r="H2600" i="1"/>
  <c r="G2600" i="1"/>
  <c r="F2600" i="1"/>
  <c r="D2600" i="1"/>
  <c r="B2600" i="1"/>
  <c r="S2599" i="1"/>
  <c r="Q2599" i="1"/>
  <c r="L2599" i="1"/>
  <c r="K2599" i="1"/>
  <c r="J2599" i="1"/>
  <c r="H2599" i="1"/>
  <c r="G2599" i="1"/>
  <c r="F2599" i="1"/>
  <c r="D2599" i="1"/>
  <c r="B2599" i="1"/>
  <c r="S2598" i="1"/>
  <c r="L2598" i="1"/>
  <c r="K2598" i="1"/>
  <c r="J2598" i="1"/>
  <c r="H2598" i="1"/>
  <c r="G2598" i="1"/>
  <c r="F2598" i="1"/>
  <c r="D2598" i="1"/>
  <c r="B2598" i="1"/>
  <c r="S2597" i="1"/>
  <c r="Q2597" i="1"/>
  <c r="L2597" i="1"/>
  <c r="K2597" i="1"/>
  <c r="J2597" i="1"/>
  <c r="H2597" i="1"/>
  <c r="G2597" i="1"/>
  <c r="F2597" i="1"/>
  <c r="D2597" i="1"/>
  <c r="B2597" i="1"/>
  <c r="S2596" i="1"/>
  <c r="Q2596" i="1"/>
  <c r="L2596" i="1"/>
  <c r="K2596" i="1"/>
  <c r="J2596" i="1"/>
  <c r="H2596" i="1"/>
  <c r="G2596" i="1"/>
  <c r="F2596" i="1"/>
  <c r="D2596" i="1"/>
  <c r="B2596" i="1"/>
  <c r="S2595" i="1"/>
  <c r="L2595" i="1"/>
  <c r="K2595" i="1"/>
  <c r="J2595" i="1"/>
  <c r="H2595" i="1"/>
  <c r="G2595" i="1"/>
  <c r="F2595" i="1"/>
  <c r="D2595" i="1"/>
  <c r="B2595" i="1"/>
  <c r="S2594" i="1"/>
  <c r="L2594" i="1"/>
  <c r="K2594" i="1"/>
  <c r="J2594" i="1"/>
  <c r="H2594" i="1"/>
  <c r="G2594" i="1"/>
  <c r="F2594" i="1"/>
  <c r="D2594" i="1"/>
  <c r="B2594" i="1"/>
  <c r="S2593" i="1"/>
  <c r="L2593" i="1"/>
  <c r="K2593" i="1"/>
  <c r="J2593" i="1"/>
  <c r="H2593" i="1"/>
  <c r="G2593" i="1"/>
  <c r="F2593" i="1"/>
  <c r="D2593" i="1"/>
  <c r="B2593" i="1"/>
  <c r="S2592" i="1"/>
  <c r="Q2592" i="1"/>
  <c r="L2592" i="1"/>
  <c r="K2592" i="1"/>
  <c r="J2592" i="1"/>
  <c r="H2592" i="1"/>
  <c r="G2592" i="1"/>
  <c r="F2592" i="1"/>
  <c r="D2592" i="1"/>
  <c r="B2592" i="1"/>
  <c r="S2591" i="1"/>
  <c r="Q2591" i="1"/>
  <c r="L2591" i="1"/>
  <c r="K2591" i="1"/>
  <c r="J2591" i="1"/>
  <c r="H2591" i="1"/>
  <c r="G2591" i="1"/>
  <c r="F2591" i="1"/>
  <c r="D2591" i="1"/>
  <c r="B2591" i="1"/>
  <c r="S2590" i="1"/>
  <c r="Q2590" i="1"/>
  <c r="L2590" i="1"/>
  <c r="K2590" i="1"/>
  <c r="J2590" i="1"/>
  <c r="H2590" i="1"/>
  <c r="G2590" i="1"/>
  <c r="F2590" i="1"/>
  <c r="D2590" i="1"/>
  <c r="B2590" i="1"/>
  <c r="S2589" i="1"/>
  <c r="Q2589" i="1"/>
  <c r="L2589" i="1"/>
  <c r="K2589" i="1"/>
  <c r="J2589" i="1"/>
  <c r="H2589" i="1"/>
  <c r="G2589" i="1"/>
  <c r="F2589" i="1"/>
  <c r="D2589" i="1"/>
  <c r="B2589" i="1"/>
  <c r="S2588" i="1"/>
  <c r="Q2588" i="1"/>
  <c r="L2588" i="1"/>
  <c r="K2588" i="1"/>
  <c r="J2588" i="1"/>
  <c r="H2588" i="1"/>
  <c r="G2588" i="1"/>
  <c r="F2588" i="1"/>
  <c r="D2588" i="1"/>
  <c r="B2588" i="1"/>
  <c r="S2587" i="1"/>
  <c r="Q2587" i="1"/>
  <c r="L2587" i="1"/>
  <c r="K2587" i="1"/>
  <c r="J2587" i="1"/>
  <c r="H2587" i="1"/>
  <c r="G2587" i="1"/>
  <c r="F2587" i="1"/>
  <c r="D2587" i="1"/>
  <c r="B2587" i="1"/>
  <c r="S2586" i="1"/>
  <c r="Q2586" i="1"/>
  <c r="L2586" i="1"/>
  <c r="K2586" i="1"/>
  <c r="J2586" i="1"/>
  <c r="H2586" i="1"/>
  <c r="G2586" i="1"/>
  <c r="F2586" i="1"/>
  <c r="D2586" i="1"/>
  <c r="B2586" i="1"/>
  <c r="S2585" i="1"/>
  <c r="Q2585" i="1"/>
  <c r="L2585" i="1"/>
  <c r="K2585" i="1"/>
  <c r="J2585" i="1"/>
  <c r="H2585" i="1"/>
  <c r="G2585" i="1"/>
  <c r="F2585" i="1"/>
  <c r="D2585" i="1"/>
  <c r="B2585" i="1"/>
  <c r="S2584" i="1"/>
  <c r="Q2584" i="1"/>
  <c r="L2584" i="1"/>
  <c r="K2584" i="1"/>
  <c r="J2584" i="1"/>
  <c r="H2584" i="1"/>
  <c r="G2584" i="1"/>
  <c r="F2584" i="1"/>
  <c r="D2584" i="1"/>
  <c r="B2584" i="1"/>
  <c r="S2583" i="1"/>
  <c r="Q2583" i="1"/>
  <c r="L2583" i="1"/>
  <c r="K2583" i="1"/>
  <c r="J2583" i="1"/>
  <c r="H2583" i="1"/>
  <c r="G2583" i="1"/>
  <c r="F2583" i="1"/>
  <c r="D2583" i="1"/>
  <c r="B2583" i="1"/>
  <c r="S2582" i="1"/>
  <c r="Q2582" i="1"/>
  <c r="L2582" i="1"/>
  <c r="K2582" i="1"/>
  <c r="J2582" i="1"/>
  <c r="H2582" i="1"/>
  <c r="G2582" i="1"/>
  <c r="F2582" i="1"/>
  <c r="D2582" i="1"/>
  <c r="B2582" i="1"/>
  <c r="S2581" i="1"/>
  <c r="Q2581" i="1"/>
  <c r="L2581" i="1"/>
  <c r="K2581" i="1"/>
  <c r="J2581" i="1"/>
  <c r="H2581" i="1"/>
  <c r="G2581" i="1"/>
  <c r="F2581" i="1"/>
  <c r="D2581" i="1"/>
  <c r="B2581" i="1"/>
  <c r="S2580" i="1"/>
  <c r="Q2580" i="1"/>
  <c r="L2580" i="1"/>
  <c r="K2580" i="1"/>
  <c r="J2580" i="1"/>
  <c r="H2580" i="1"/>
  <c r="G2580" i="1"/>
  <c r="F2580" i="1"/>
  <c r="D2580" i="1"/>
  <c r="B2580" i="1"/>
  <c r="S2579" i="1"/>
  <c r="Q2579" i="1"/>
  <c r="L2579" i="1"/>
  <c r="K2579" i="1"/>
  <c r="J2579" i="1"/>
  <c r="H2579" i="1"/>
  <c r="G2579" i="1"/>
  <c r="F2579" i="1"/>
  <c r="D2579" i="1"/>
  <c r="B2579" i="1"/>
  <c r="S2578" i="1"/>
  <c r="Q2578" i="1"/>
  <c r="L2578" i="1"/>
  <c r="K2578" i="1"/>
  <c r="J2578" i="1"/>
  <c r="H2578" i="1"/>
  <c r="G2578" i="1"/>
  <c r="F2578" i="1"/>
  <c r="D2578" i="1"/>
  <c r="B2578" i="1"/>
  <c r="S2577" i="1"/>
  <c r="L2577" i="1"/>
  <c r="K2577" i="1"/>
  <c r="J2577" i="1"/>
  <c r="H2577" i="1"/>
  <c r="G2577" i="1"/>
  <c r="F2577" i="1"/>
  <c r="D2577" i="1"/>
  <c r="B2577" i="1"/>
  <c r="S2576" i="1"/>
  <c r="L2576" i="1"/>
  <c r="K2576" i="1"/>
  <c r="J2576" i="1"/>
  <c r="H2576" i="1"/>
  <c r="G2576" i="1"/>
  <c r="F2576" i="1"/>
  <c r="D2576" i="1"/>
  <c r="B2576" i="1"/>
  <c r="S2575" i="1"/>
  <c r="Q2575" i="1"/>
  <c r="L2575" i="1"/>
  <c r="K2575" i="1"/>
  <c r="J2575" i="1"/>
  <c r="H2575" i="1"/>
  <c r="G2575" i="1"/>
  <c r="F2575" i="1"/>
  <c r="D2575" i="1"/>
  <c r="B2575" i="1"/>
  <c r="S2574" i="1"/>
  <c r="L2574" i="1"/>
  <c r="K2574" i="1"/>
  <c r="J2574" i="1"/>
  <c r="H2574" i="1"/>
  <c r="G2574" i="1"/>
  <c r="F2574" i="1"/>
  <c r="D2574" i="1"/>
  <c r="B2574" i="1"/>
  <c r="S2573" i="1"/>
  <c r="L2573" i="1"/>
  <c r="K2573" i="1"/>
  <c r="J2573" i="1"/>
  <c r="H2573" i="1"/>
  <c r="G2573" i="1"/>
  <c r="F2573" i="1"/>
  <c r="D2573" i="1"/>
  <c r="B2573" i="1"/>
  <c r="S2572" i="1"/>
  <c r="L2572" i="1"/>
  <c r="K2572" i="1"/>
  <c r="J2572" i="1"/>
  <c r="H2572" i="1"/>
  <c r="G2572" i="1"/>
  <c r="F2572" i="1"/>
  <c r="D2572" i="1"/>
  <c r="B2572" i="1"/>
  <c r="S2571" i="1"/>
  <c r="L2571" i="1"/>
  <c r="K2571" i="1"/>
  <c r="J2571" i="1"/>
  <c r="H2571" i="1"/>
  <c r="G2571" i="1"/>
  <c r="F2571" i="1"/>
  <c r="D2571" i="1"/>
  <c r="B2571" i="1"/>
  <c r="S2570" i="1"/>
  <c r="L2570" i="1"/>
  <c r="K2570" i="1"/>
  <c r="J2570" i="1"/>
  <c r="H2570" i="1"/>
  <c r="G2570" i="1"/>
  <c r="F2570" i="1"/>
  <c r="D2570" i="1"/>
  <c r="B2570" i="1"/>
  <c r="S2569" i="1"/>
  <c r="Q2569" i="1"/>
  <c r="L2569" i="1"/>
  <c r="K2569" i="1"/>
  <c r="J2569" i="1"/>
  <c r="H2569" i="1"/>
  <c r="G2569" i="1"/>
  <c r="F2569" i="1"/>
  <c r="D2569" i="1"/>
  <c r="B2569" i="1"/>
  <c r="S2568" i="1"/>
  <c r="L2568" i="1"/>
  <c r="K2568" i="1"/>
  <c r="J2568" i="1"/>
  <c r="H2568" i="1"/>
  <c r="G2568" i="1"/>
  <c r="F2568" i="1"/>
  <c r="D2568" i="1"/>
  <c r="B2568" i="1"/>
  <c r="S2567" i="1"/>
  <c r="L2567" i="1"/>
  <c r="K2567" i="1"/>
  <c r="J2567" i="1"/>
  <c r="H2567" i="1"/>
  <c r="G2567" i="1"/>
  <c r="F2567" i="1"/>
  <c r="D2567" i="1"/>
  <c r="B2567" i="1"/>
  <c r="S2566" i="1"/>
  <c r="Q2566" i="1"/>
  <c r="L2566" i="1"/>
  <c r="K2566" i="1"/>
  <c r="J2566" i="1"/>
  <c r="H2566" i="1"/>
  <c r="G2566" i="1"/>
  <c r="F2566" i="1"/>
  <c r="D2566" i="1"/>
  <c r="B2566" i="1"/>
  <c r="S2565" i="1"/>
  <c r="L2565" i="1"/>
  <c r="K2565" i="1"/>
  <c r="J2565" i="1"/>
  <c r="H2565" i="1"/>
  <c r="G2565" i="1"/>
  <c r="F2565" i="1"/>
  <c r="D2565" i="1"/>
  <c r="B2565" i="1"/>
  <c r="S2564" i="1"/>
  <c r="L2564" i="1"/>
  <c r="K2564" i="1"/>
  <c r="J2564" i="1"/>
  <c r="H2564" i="1"/>
  <c r="G2564" i="1"/>
  <c r="F2564" i="1"/>
  <c r="D2564" i="1"/>
  <c r="B2564" i="1"/>
  <c r="S2563" i="1"/>
  <c r="L2563" i="1"/>
  <c r="K2563" i="1"/>
  <c r="J2563" i="1"/>
  <c r="H2563" i="1"/>
  <c r="G2563" i="1"/>
  <c r="F2563" i="1"/>
  <c r="D2563" i="1"/>
  <c r="B2563" i="1"/>
  <c r="S2562" i="1"/>
  <c r="L2562" i="1"/>
  <c r="K2562" i="1"/>
  <c r="J2562" i="1"/>
  <c r="H2562" i="1"/>
  <c r="G2562" i="1"/>
  <c r="F2562" i="1"/>
  <c r="D2562" i="1"/>
  <c r="B2562" i="1"/>
  <c r="S2561" i="1"/>
  <c r="L2561" i="1"/>
  <c r="K2561" i="1"/>
  <c r="J2561" i="1"/>
  <c r="H2561" i="1"/>
  <c r="G2561" i="1"/>
  <c r="F2561" i="1"/>
  <c r="D2561" i="1"/>
  <c r="B2561" i="1"/>
  <c r="S2560" i="1"/>
  <c r="L2560" i="1"/>
  <c r="K2560" i="1"/>
  <c r="J2560" i="1"/>
  <c r="H2560" i="1"/>
  <c r="G2560" i="1"/>
  <c r="F2560" i="1"/>
  <c r="D2560" i="1"/>
  <c r="B2560" i="1"/>
  <c r="S2559" i="1"/>
  <c r="L2559" i="1"/>
  <c r="K2559" i="1"/>
  <c r="J2559" i="1"/>
  <c r="H2559" i="1"/>
  <c r="G2559" i="1"/>
  <c r="F2559" i="1"/>
  <c r="D2559" i="1"/>
  <c r="B2559" i="1"/>
  <c r="S2558" i="1"/>
  <c r="L2558" i="1"/>
  <c r="K2558" i="1"/>
  <c r="J2558" i="1"/>
  <c r="H2558" i="1"/>
  <c r="G2558" i="1"/>
  <c r="F2558" i="1"/>
  <c r="D2558" i="1"/>
  <c r="B2558" i="1"/>
  <c r="S2557" i="1"/>
  <c r="Q2557" i="1"/>
  <c r="L2557" i="1"/>
  <c r="K2557" i="1"/>
  <c r="J2557" i="1"/>
  <c r="I2557" i="1"/>
  <c r="H2557" i="1"/>
  <c r="G2557" i="1"/>
  <c r="F2557" i="1"/>
  <c r="D2557" i="1"/>
  <c r="B2557" i="1"/>
  <c r="S2556" i="1"/>
  <c r="Q2556" i="1"/>
  <c r="L2556" i="1"/>
  <c r="K2556" i="1"/>
  <c r="J2556" i="1"/>
  <c r="H2556" i="1"/>
  <c r="G2556" i="1"/>
  <c r="F2556" i="1"/>
  <c r="D2556" i="1"/>
  <c r="B2556" i="1"/>
  <c r="S2555" i="1"/>
  <c r="L2555" i="1"/>
  <c r="K2555" i="1"/>
  <c r="J2555" i="1"/>
  <c r="H2555" i="1"/>
  <c r="G2555" i="1"/>
  <c r="F2555" i="1"/>
  <c r="D2555" i="1"/>
  <c r="B2555" i="1"/>
  <c r="S2554" i="1"/>
  <c r="L2554" i="1"/>
  <c r="K2554" i="1"/>
  <c r="J2554" i="1"/>
  <c r="H2554" i="1"/>
  <c r="G2554" i="1"/>
  <c r="F2554" i="1"/>
  <c r="D2554" i="1"/>
  <c r="B2554" i="1"/>
  <c r="S2553" i="1"/>
  <c r="L2553" i="1"/>
  <c r="K2553" i="1"/>
  <c r="J2553" i="1"/>
  <c r="H2553" i="1"/>
  <c r="G2553" i="1"/>
  <c r="F2553" i="1"/>
  <c r="D2553" i="1"/>
  <c r="B2553" i="1"/>
  <c r="S2552" i="1"/>
  <c r="L2552" i="1"/>
  <c r="K2552" i="1"/>
  <c r="J2552" i="1"/>
  <c r="H2552" i="1"/>
  <c r="G2552" i="1"/>
  <c r="F2552" i="1"/>
  <c r="D2552" i="1"/>
  <c r="B2552" i="1"/>
  <c r="S2551" i="1"/>
  <c r="L2551" i="1"/>
  <c r="K2551" i="1"/>
  <c r="J2551" i="1"/>
  <c r="H2551" i="1"/>
  <c r="G2551" i="1"/>
  <c r="F2551" i="1"/>
  <c r="D2551" i="1"/>
  <c r="B2551" i="1"/>
  <c r="S2550" i="1"/>
  <c r="L2550" i="1"/>
  <c r="K2550" i="1"/>
  <c r="J2550" i="1"/>
  <c r="H2550" i="1"/>
  <c r="G2550" i="1"/>
  <c r="F2550" i="1"/>
  <c r="D2550" i="1"/>
  <c r="B2550" i="1"/>
  <c r="S2549" i="1"/>
  <c r="Q2549" i="1"/>
  <c r="L2549" i="1"/>
  <c r="K2549" i="1"/>
  <c r="J2549" i="1"/>
  <c r="I2549" i="1"/>
  <c r="H2549" i="1"/>
  <c r="G2549" i="1"/>
  <c r="F2549" i="1"/>
  <c r="D2549" i="1"/>
  <c r="B2549" i="1"/>
  <c r="S2548" i="1"/>
  <c r="Q2548" i="1"/>
  <c r="L2548" i="1"/>
  <c r="K2548" i="1"/>
  <c r="J2548" i="1"/>
  <c r="I2548" i="1"/>
  <c r="H2548" i="1"/>
  <c r="G2548" i="1"/>
  <c r="F2548" i="1"/>
  <c r="D2548" i="1"/>
  <c r="B2548" i="1"/>
  <c r="S2547" i="1"/>
  <c r="Q2547" i="1"/>
  <c r="L2547" i="1"/>
  <c r="K2547" i="1"/>
  <c r="J2547" i="1"/>
  <c r="H2547" i="1"/>
  <c r="G2547" i="1"/>
  <c r="F2547" i="1"/>
  <c r="D2547" i="1"/>
  <c r="B2547" i="1"/>
  <c r="S2546" i="1"/>
  <c r="L2546" i="1"/>
  <c r="K2546" i="1"/>
  <c r="J2546" i="1"/>
  <c r="H2546" i="1"/>
  <c r="G2546" i="1"/>
  <c r="F2546" i="1"/>
  <c r="D2546" i="1"/>
  <c r="B2546" i="1"/>
  <c r="S2545" i="1"/>
  <c r="L2545" i="1"/>
  <c r="K2545" i="1"/>
  <c r="J2545" i="1"/>
  <c r="H2545" i="1"/>
  <c r="G2545" i="1"/>
  <c r="F2545" i="1"/>
  <c r="D2545" i="1"/>
  <c r="B2545" i="1"/>
  <c r="S2544" i="1"/>
  <c r="L2544" i="1"/>
  <c r="K2544" i="1"/>
  <c r="J2544" i="1"/>
  <c r="H2544" i="1"/>
  <c r="G2544" i="1"/>
  <c r="F2544" i="1"/>
  <c r="D2544" i="1"/>
  <c r="B2544" i="1"/>
  <c r="S2543" i="1"/>
  <c r="L2543" i="1"/>
  <c r="K2543" i="1"/>
  <c r="J2543" i="1"/>
  <c r="H2543" i="1"/>
  <c r="G2543" i="1"/>
  <c r="F2543" i="1"/>
  <c r="D2543" i="1"/>
  <c r="B2543" i="1"/>
  <c r="S2542" i="1"/>
  <c r="L2542" i="1"/>
  <c r="K2542" i="1"/>
  <c r="J2542" i="1"/>
  <c r="H2542" i="1"/>
  <c r="G2542" i="1"/>
  <c r="F2542" i="1"/>
  <c r="D2542" i="1"/>
  <c r="B2542" i="1"/>
  <c r="S2541" i="1"/>
  <c r="L2541" i="1"/>
  <c r="K2541" i="1"/>
  <c r="J2541" i="1"/>
  <c r="H2541" i="1"/>
  <c r="G2541" i="1"/>
  <c r="F2541" i="1"/>
  <c r="D2541" i="1"/>
  <c r="B2541" i="1"/>
  <c r="S2540" i="1"/>
  <c r="L2540" i="1"/>
  <c r="K2540" i="1"/>
  <c r="J2540" i="1"/>
  <c r="H2540" i="1"/>
  <c r="G2540" i="1"/>
  <c r="F2540" i="1"/>
  <c r="D2540" i="1"/>
  <c r="B2540" i="1"/>
  <c r="S2539" i="1"/>
  <c r="L2539" i="1"/>
  <c r="K2539" i="1"/>
  <c r="J2539" i="1"/>
  <c r="H2539" i="1"/>
  <c r="G2539" i="1"/>
  <c r="F2539" i="1"/>
  <c r="D2539" i="1"/>
  <c r="B2539" i="1"/>
  <c r="S2538" i="1"/>
  <c r="L2538" i="1"/>
  <c r="K2538" i="1"/>
  <c r="J2538" i="1"/>
  <c r="H2538" i="1"/>
  <c r="G2538" i="1"/>
  <c r="F2538" i="1"/>
  <c r="D2538" i="1"/>
  <c r="B2538" i="1"/>
  <c r="S2537" i="1"/>
  <c r="L2537" i="1"/>
  <c r="K2537" i="1"/>
  <c r="J2537" i="1"/>
  <c r="H2537" i="1"/>
  <c r="G2537" i="1"/>
  <c r="F2537" i="1"/>
  <c r="D2537" i="1"/>
  <c r="B2537" i="1"/>
  <c r="S2536" i="1"/>
  <c r="L2536" i="1"/>
  <c r="K2536" i="1"/>
  <c r="J2536" i="1"/>
  <c r="H2536" i="1"/>
  <c r="G2536" i="1"/>
  <c r="F2536" i="1"/>
  <c r="D2536" i="1"/>
  <c r="B2536" i="1"/>
  <c r="S2535" i="1"/>
  <c r="L2535" i="1"/>
  <c r="K2535" i="1"/>
  <c r="J2535" i="1"/>
  <c r="H2535" i="1"/>
  <c r="G2535" i="1"/>
  <c r="F2535" i="1"/>
  <c r="D2535" i="1"/>
  <c r="B2535" i="1"/>
  <c r="S2534" i="1"/>
  <c r="L2534" i="1"/>
  <c r="K2534" i="1"/>
  <c r="J2534" i="1"/>
  <c r="H2534" i="1"/>
  <c r="G2534" i="1"/>
  <c r="F2534" i="1"/>
  <c r="D2534" i="1"/>
  <c r="B2534" i="1"/>
  <c r="S2533" i="1"/>
  <c r="L2533" i="1"/>
  <c r="K2533" i="1"/>
  <c r="J2533" i="1"/>
  <c r="H2533" i="1"/>
  <c r="G2533" i="1"/>
  <c r="F2533" i="1"/>
  <c r="D2533" i="1"/>
  <c r="B2533" i="1"/>
  <c r="S2532" i="1"/>
  <c r="L2532" i="1"/>
  <c r="K2532" i="1"/>
  <c r="J2532" i="1"/>
  <c r="H2532" i="1"/>
  <c r="G2532" i="1"/>
  <c r="F2532" i="1"/>
  <c r="D2532" i="1"/>
  <c r="B2532" i="1"/>
  <c r="S2531" i="1"/>
  <c r="L2531" i="1"/>
  <c r="K2531" i="1"/>
  <c r="J2531" i="1"/>
  <c r="H2531" i="1"/>
  <c r="G2531" i="1"/>
  <c r="F2531" i="1"/>
  <c r="D2531" i="1"/>
  <c r="B2531" i="1"/>
  <c r="S2530" i="1"/>
  <c r="L2530" i="1"/>
  <c r="K2530" i="1"/>
  <c r="J2530" i="1"/>
  <c r="H2530" i="1"/>
  <c r="G2530" i="1"/>
  <c r="F2530" i="1"/>
  <c r="D2530" i="1"/>
  <c r="B2530" i="1"/>
  <c r="S2529" i="1"/>
  <c r="L2529" i="1"/>
  <c r="K2529" i="1"/>
  <c r="J2529" i="1"/>
  <c r="H2529" i="1"/>
  <c r="G2529" i="1"/>
  <c r="F2529" i="1"/>
  <c r="D2529" i="1"/>
  <c r="B2529" i="1"/>
  <c r="S2528" i="1"/>
  <c r="L2528" i="1"/>
  <c r="K2528" i="1"/>
  <c r="J2528" i="1"/>
  <c r="H2528" i="1"/>
  <c r="G2528" i="1"/>
  <c r="F2528" i="1"/>
  <c r="D2528" i="1"/>
  <c r="B2528" i="1"/>
  <c r="S2527" i="1"/>
  <c r="L2527" i="1"/>
  <c r="K2527" i="1"/>
  <c r="J2527" i="1"/>
  <c r="H2527" i="1"/>
  <c r="G2527" i="1"/>
  <c r="F2527" i="1"/>
  <c r="D2527" i="1"/>
  <c r="B2527" i="1"/>
  <c r="S2526" i="1"/>
  <c r="L2526" i="1"/>
  <c r="K2526" i="1"/>
  <c r="J2526" i="1"/>
  <c r="H2526" i="1"/>
  <c r="G2526" i="1"/>
  <c r="F2526" i="1"/>
  <c r="D2526" i="1"/>
  <c r="B2526" i="1"/>
  <c r="S2525" i="1"/>
  <c r="L2525" i="1"/>
  <c r="K2525" i="1"/>
  <c r="J2525" i="1"/>
  <c r="H2525" i="1"/>
  <c r="G2525" i="1"/>
  <c r="F2525" i="1"/>
  <c r="D2525" i="1"/>
  <c r="B2525" i="1"/>
  <c r="S2524" i="1"/>
  <c r="L2524" i="1"/>
  <c r="K2524" i="1"/>
  <c r="J2524" i="1"/>
  <c r="H2524" i="1"/>
  <c r="G2524" i="1"/>
  <c r="F2524" i="1"/>
  <c r="D2524" i="1"/>
  <c r="B2524" i="1"/>
  <c r="S2523" i="1"/>
  <c r="L2523" i="1"/>
  <c r="K2523" i="1"/>
  <c r="J2523" i="1"/>
  <c r="H2523" i="1"/>
  <c r="G2523" i="1"/>
  <c r="F2523" i="1"/>
  <c r="D2523" i="1"/>
  <c r="B2523" i="1"/>
  <c r="S2522" i="1"/>
  <c r="L2522" i="1"/>
  <c r="K2522" i="1"/>
  <c r="J2522" i="1"/>
  <c r="H2522" i="1"/>
  <c r="G2522" i="1"/>
  <c r="F2522" i="1"/>
  <c r="D2522" i="1"/>
  <c r="B2522" i="1"/>
  <c r="S2521" i="1"/>
  <c r="L2521" i="1"/>
  <c r="K2521" i="1"/>
  <c r="J2521" i="1"/>
  <c r="H2521" i="1"/>
  <c r="G2521" i="1"/>
  <c r="F2521" i="1"/>
  <c r="D2521" i="1"/>
  <c r="B2521" i="1"/>
  <c r="S2520" i="1"/>
  <c r="L2520" i="1"/>
  <c r="K2520" i="1"/>
  <c r="J2520" i="1"/>
  <c r="H2520" i="1"/>
  <c r="G2520" i="1"/>
  <c r="F2520" i="1"/>
  <c r="D2520" i="1"/>
  <c r="B2520" i="1"/>
  <c r="S2519" i="1"/>
  <c r="L2519" i="1"/>
  <c r="K2519" i="1"/>
  <c r="J2519" i="1"/>
  <c r="H2519" i="1"/>
  <c r="G2519" i="1"/>
  <c r="F2519" i="1"/>
  <c r="D2519" i="1"/>
  <c r="B2519" i="1"/>
  <c r="S2518" i="1"/>
  <c r="L2518" i="1"/>
  <c r="K2518" i="1"/>
  <c r="J2518" i="1"/>
  <c r="H2518" i="1"/>
  <c r="G2518" i="1"/>
  <c r="F2518" i="1"/>
  <c r="D2518" i="1"/>
  <c r="B2518" i="1"/>
  <c r="S2517" i="1"/>
  <c r="L2517" i="1"/>
  <c r="K2517" i="1"/>
  <c r="J2517" i="1"/>
  <c r="H2517" i="1"/>
  <c r="G2517" i="1"/>
  <c r="F2517" i="1"/>
  <c r="D2517" i="1"/>
  <c r="B2517" i="1"/>
  <c r="S2516" i="1"/>
  <c r="L2516" i="1"/>
  <c r="K2516" i="1"/>
  <c r="J2516" i="1"/>
  <c r="H2516" i="1"/>
  <c r="G2516" i="1"/>
  <c r="F2516" i="1"/>
  <c r="D2516" i="1"/>
  <c r="B2516" i="1"/>
  <c r="S2515" i="1"/>
  <c r="L2515" i="1"/>
  <c r="K2515" i="1"/>
  <c r="J2515" i="1"/>
  <c r="H2515" i="1"/>
  <c r="G2515" i="1"/>
  <c r="F2515" i="1"/>
  <c r="D2515" i="1"/>
  <c r="B2515" i="1"/>
  <c r="S2514" i="1"/>
  <c r="L2514" i="1"/>
  <c r="K2514" i="1"/>
  <c r="J2514" i="1"/>
  <c r="H2514" i="1"/>
  <c r="G2514" i="1"/>
  <c r="F2514" i="1"/>
  <c r="D2514" i="1"/>
  <c r="B2514" i="1"/>
  <c r="S2513" i="1"/>
  <c r="L2513" i="1"/>
  <c r="K2513" i="1"/>
  <c r="J2513" i="1"/>
  <c r="H2513" i="1"/>
  <c r="G2513" i="1"/>
  <c r="F2513" i="1"/>
  <c r="D2513" i="1"/>
  <c r="B2513" i="1"/>
  <c r="S2512" i="1"/>
  <c r="L2512" i="1"/>
  <c r="K2512" i="1"/>
  <c r="J2512" i="1"/>
  <c r="H2512" i="1"/>
  <c r="G2512" i="1"/>
  <c r="F2512" i="1"/>
  <c r="D2512" i="1"/>
  <c r="B2512" i="1"/>
  <c r="S2511" i="1"/>
  <c r="L2511" i="1"/>
  <c r="K2511" i="1"/>
  <c r="J2511" i="1"/>
  <c r="H2511" i="1"/>
  <c r="G2511" i="1"/>
  <c r="F2511" i="1"/>
  <c r="D2511" i="1"/>
  <c r="B2511" i="1"/>
  <c r="S2510" i="1"/>
  <c r="L2510" i="1"/>
  <c r="K2510" i="1"/>
  <c r="J2510" i="1"/>
  <c r="H2510" i="1"/>
  <c r="G2510" i="1"/>
  <c r="F2510" i="1"/>
  <c r="D2510" i="1"/>
  <c r="B2510" i="1"/>
  <c r="S2509" i="1"/>
  <c r="L2509" i="1"/>
  <c r="K2509" i="1"/>
  <c r="J2509" i="1"/>
  <c r="H2509" i="1"/>
  <c r="G2509" i="1"/>
  <c r="F2509" i="1"/>
  <c r="D2509" i="1"/>
  <c r="B2509" i="1"/>
  <c r="S2508" i="1"/>
  <c r="L2508" i="1"/>
  <c r="K2508" i="1"/>
  <c r="J2508" i="1"/>
  <c r="H2508" i="1"/>
  <c r="G2508" i="1"/>
  <c r="F2508" i="1"/>
  <c r="D2508" i="1"/>
  <c r="B2508" i="1"/>
  <c r="S2507" i="1"/>
  <c r="Q2507" i="1"/>
  <c r="L2507" i="1"/>
  <c r="K2507" i="1"/>
  <c r="J2507" i="1"/>
  <c r="H2507" i="1"/>
  <c r="G2507" i="1"/>
  <c r="F2507" i="1"/>
  <c r="D2507" i="1"/>
  <c r="B2507" i="1"/>
  <c r="S2506" i="1"/>
  <c r="L2506" i="1"/>
  <c r="K2506" i="1"/>
  <c r="J2506" i="1"/>
  <c r="H2506" i="1"/>
  <c r="G2506" i="1"/>
  <c r="F2506" i="1"/>
  <c r="D2506" i="1"/>
  <c r="B2506" i="1"/>
  <c r="S2505" i="1"/>
  <c r="L2505" i="1"/>
  <c r="K2505" i="1"/>
  <c r="J2505" i="1"/>
  <c r="H2505" i="1"/>
  <c r="G2505" i="1"/>
  <c r="F2505" i="1"/>
  <c r="D2505" i="1"/>
  <c r="B2505" i="1"/>
  <c r="S2504" i="1"/>
  <c r="Q2504" i="1"/>
  <c r="L2504" i="1"/>
  <c r="K2504" i="1"/>
  <c r="J2504" i="1"/>
  <c r="I2504" i="1"/>
  <c r="H2504" i="1"/>
  <c r="G2504" i="1"/>
  <c r="F2504" i="1"/>
  <c r="D2504" i="1"/>
  <c r="B2504" i="1"/>
  <c r="S2503" i="1"/>
  <c r="L2503" i="1"/>
  <c r="K2503" i="1"/>
  <c r="J2503" i="1"/>
  <c r="H2503" i="1"/>
  <c r="G2503" i="1"/>
  <c r="F2503" i="1"/>
  <c r="D2503" i="1"/>
  <c r="B2503" i="1"/>
  <c r="S2502" i="1"/>
  <c r="Q2502" i="1"/>
  <c r="L2502" i="1"/>
  <c r="K2502" i="1"/>
  <c r="J2502" i="1"/>
  <c r="I2502" i="1"/>
  <c r="H2502" i="1"/>
  <c r="G2502" i="1"/>
  <c r="F2502" i="1"/>
  <c r="D2502" i="1"/>
  <c r="B2502" i="1"/>
  <c r="S2501" i="1"/>
  <c r="L2501" i="1"/>
  <c r="K2501" i="1"/>
  <c r="J2501" i="1"/>
  <c r="H2501" i="1"/>
  <c r="G2501" i="1"/>
  <c r="F2501" i="1"/>
  <c r="D2501" i="1"/>
  <c r="B2501" i="1"/>
  <c r="S2500" i="1"/>
  <c r="L2500" i="1"/>
  <c r="K2500" i="1"/>
  <c r="J2500" i="1"/>
  <c r="H2500" i="1"/>
  <c r="G2500" i="1"/>
  <c r="F2500" i="1"/>
  <c r="D2500" i="1"/>
  <c r="B2500" i="1"/>
  <c r="S2499" i="1"/>
  <c r="L2499" i="1"/>
  <c r="K2499" i="1"/>
  <c r="J2499" i="1"/>
  <c r="H2499" i="1"/>
  <c r="G2499" i="1"/>
  <c r="F2499" i="1"/>
  <c r="D2499" i="1"/>
  <c r="B2499" i="1"/>
  <c r="S2498" i="1"/>
  <c r="L2498" i="1"/>
  <c r="K2498" i="1"/>
  <c r="J2498" i="1"/>
  <c r="H2498" i="1"/>
  <c r="G2498" i="1"/>
  <c r="F2498" i="1"/>
  <c r="D2498" i="1"/>
  <c r="B2498" i="1"/>
  <c r="S2497" i="1"/>
  <c r="L2497" i="1"/>
  <c r="K2497" i="1"/>
  <c r="J2497" i="1"/>
  <c r="H2497" i="1"/>
  <c r="G2497" i="1"/>
  <c r="F2497" i="1"/>
  <c r="D2497" i="1"/>
  <c r="B2497" i="1"/>
  <c r="S2496" i="1"/>
  <c r="L2496" i="1"/>
  <c r="K2496" i="1"/>
  <c r="J2496" i="1"/>
  <c r="H2496" i="1"/>
  <c r="G2496" i="1"/>
  <c r="F2496" i="1"/>
  <c r="D2496" i="1"/>
  <c r="B2496" i="1"/>
  <c r="S2495" i="1"/>
  <c r="L2495" i="1"/>
  <c r="K2495" i="1"/>
  <c r="J2495" i="1"/>
  <c r="H2495" i="1"/>
  <c r="G2495" i="1"/>
  <c r="F2495" i="1"/>
  <c r="D2495" i="1"/>
  <c r="B2495" i="1"/>
  <c r="S2494" i="1"/>
  <c r="L2494" i="1"/>
  <c r="K2494" i="1"/>
  <c r="J2494" i="1"/>
  <c r="H2494" i="1"/>
  <c r="G2494" i="1"/>
  <c r="F2494" i="1"/>
  <c r="D2494" i="1"/>
  <c r="B2494" i="1"/>
  <c r="S2493" i="1"/>
  <c r="Q2493" i="1"/>
  <c r="L2493" i="1"/>
  <c r="K2493" i="1"/>
  <c r="J2493" i="1"/>
  <c r="H2493" i="1"/>
  <c r="G2493" i="1"/>
  <c r="F2493" i="1"/>
  <c r="D2493" i="1"/>
  <c r="B2493" i="1"/>
  <c r="S2492" i="1"/>
  <c r="L2492" i="1"/>
  <c r="K2492" i="1"/>
  <c r="J2492" i="1"/>
  <c r="H2492" i="1"/>
  <c r="G2492" i="1"/>
  <c r="F2492" i="1"/>
  <c r="D2492" i="1"/>
  <c r="B2492" i="1"/>
  <c r="S2491" i="1"/>
  <c r="L2491" i="1"/>
  <c r="K2491" i="1"/>
  <c r="J2491" i="1"/>
  <c r="H2491" i="1"/>
  <c r="G2491" i="1"/>
  <c r="F2491" i="1"/>
  <c r="D2491" i="1"/>
  <c r="B2491" i="1"/>
  <c r="S2490" i="1"/>
  <c r="Q2490" i="1"/>
  <c r="L2490" i="1"/>
  <c r="K2490" i="1"/>
  <c r="J2490" i="1"/>
  <c r="H2490" i="1"/>
  <c r="G2490" i="1"/>
  <c r="F2490" i="1"/>
  <c r="D2490" i="1"/>
  <c r="B2490" i="1"/>
  <c r="S2489" i="1"/>
  <c r="L2489" i="1"/>
  <c r="K2489" i="1"/>
  <c r="J2489" i="1"/>
  <c r="H2489" i="1"/>
  <c r="G2489" i="1"/>
  <c r="F2489" i="1"/>
  <c r="D2489" i="1"/>
  <c r="B2489" i="1"/>
  <c r="S2488" i="1"/>
  <c r="L2488" i="1"/>
  <c r="K2488" i="1"/>
  <c r="J2488" i="1"/>
  <c r="H2488" i="1"/>
  <c r="G2488" i="1"/>
  <c r="F2488" i="1"/>
  <c r="D2488" i="1"/>
  <c r="B2488" i="1"/>
  <c r="S2487" i="1"/>
  <c r="Q2487" i="1"/>
  <c r="L2487" i="1"/>
  <c r="K2487" i="1"/>
  <c r="J2487" i="1"/>
  <c r="H2487" i="1"/>
  <c r="G2487" i="1"/>
  <c r="F2487" i="1"/>
  <c r="D2487" i="1"/>
  <c r="B2487" i="1"/>
  <c r="S2486" i="1"/>
  <c r="Q2486" i="1"/>
  <c r="L2486" i="1"/>
  <c r="K2486" i="1"/>
  <c r="J2486" i="1"/>
  <c r="H2486" i="1"/>
  <c r="G2486" i="1"/>
  <c r="F2486" i="1"/>
  <c r="D2486" i="1"/>
  <c r="B2486" i="1"/>
  <c r="S2485" i="1"/>
  <c r="Q2485" i="1"/>
  <c r="L2485" i="1"/>
  <c r="K2485" i="1"/>
  <c r="J2485" i="1"/>
  <c r="H2485" i="1"/>
  <c r="G2485" i="1"/>
  <c r="F2485" i="1"/>
  <c r="D2485" i="1"/>
  <c r="B2485" i="1"/>
  <c r="S2484" i="1"/>
  <c r="Q2484" i="1"/>
  <c r="L2484" i="1"/>
  <c r="K2484" i="1"/>
  <c r="J2484" i="1"/>
  <c r="H2484" i="1"/>
  <c r="G2484" i="1"/>
  <c r="F2484" i="1"/>
  <c r="D2484" i="1"/>
  <c r="B2484" i="1"/>
  <c r="S2483" i="1"/>
  <c r="Q2483" i="1"/>
  <c r="L2483" i="1"/>
  <c r="K2483" i="1"/>
  <c r="J2483" i="1"/>
  <c r="H2483" i="1"/>
  <c r="G2483" i="1"/>
  <c r="F2483" i="1"/>
  <c r="D2483" i="1"/>
  <c r="B2483" i="1"/>
  <c r="S2482" i="1"/>
  <c r="Q2482" i="1"/>
  <c r="L2482" i="1"/>
  <c r="K2482" i="1"/>
  <c r="J2482" i="1"/>
  <c r="H2482" i="1"/>
  <c r="G2482" i="1"/>
  <c r="F2482" i="1"/>
  <c r="D2482" i="1"/>
  <c r="B2482" i="1"/>
  <c r="S2481" i="1"/>
  <c r="Q2481" i="1"/>
  <c r="L2481" i="1"/>
  <c r="K2481" i="1"/>
  <c r="J2481" i="1"/>
  <c r="H2481" i="1"/>
  <c r="G2481" i="1"/>
  <c r="F2481" i="1"/>
  <c r="D2481" i="1"/>
  <c r="B2481" i="1"/>
  <c r="S2480" i="1"/>
  <c r="Q2480" i="1"/>
  <c r="L2480" i="1"/>
  <c r="K2480" i="1"/>
  <c r="J2480" i="1"/>
  <c r="H2480" i="1"/>
  <c r="G2480" i="1"/>
  <c r="F2480" i="1"/>
  <c r="D2480" i="1"/>
  <c r="B2480" i="1"/>
  <c r="S2479" i="1"/>
  <c r="L2479" i="1"/>
  <c r="K2479" i="1"/>
  <c r="J2479" i="1"/>
  <c r="H2479" i="1"/>
  <c r="G2479" i="1"/>
  <c r="F2479" i="1"/>
  <c r="D2479" i="1"/>
  <c r="B2479" i="1"/>
  <c r="S2478" i="1"/>
  <c r="Q2478" i="1"/>
  <c r="L2478" i="1"/>
  <c r="K2478" i="1"/>
  <c r="J2478" i="1"/>
  <c r="H2478" i="1"/>
  <c r="G2478" i="1"/>
  <c r="F2478" i="1"/>
  <c r="D2478" i="1"/>
  <c r="B2478" i="1"/>
  <c r="S2477" i="1"/>
  <c r="Q2477" i="1"/>
  <c r="L2477" i="1"/>
  <c r="K2477" i="1"/>
  <c r="J2477" i="1"/>
  <c r="H2477" i="1"/>
  <c r="G2477" i="1"/>
  <c r="F2477" i="1"/>
  <c r="D2477" i="1"/>
  <c r="B2477" i="1"/>
  <c r="S2476" i="1"/>
  <c r="Q2476" i="1"/>
  <c r="L2476" i="1"/>
  <c r="K2476" i="1"/>
  <c r="J2476" i="1"/>
  <c r="H2476" i="1"/>
  <c r="G2476" i="1"/>
  <c r="F2476" i="1"/>
  <c r="D2476" i="1"/>
  <c r="B2476" i="1"/>
  <c r="S2475" i="1"/>
  <c r="Q2475" i="1"/>
  <c r="L2475" i="1"/>
  <c r="K2475" i="1"/>
  <c r="J2475" i="1"/>
  <c r="H2475" i="1"/>
  <c r="G2475" i="1"/>
  <c r="F2475" i="1"/>
  <c r="D2475" i="1"/>
  <c r="B2475" i="1"/>
  <c r="S2474" i="1"/>
  <c r="Q2474" i="1"/>
  <c r="L2474" i="1"/>
  <c r="K2474" i="1"/>
  <c r="J2474" i="1"/>
  <c r="H2474" i="1"/>
  <c r="G2474" i="1"/>
  <c r="F2474" i="1"/>
  <c r="D2474" i="1"/>
  <c r="B2474" i="1"/>
  <c r="S2473" i="1"/>
  <c r="Q2473" i="1"/>
  <c r="L2473" i="1"/>
  <c r="K2473" i="1"/>
  <c r="J2473" i="1"/>
  <c r="H2473" i="1"/>
  <c r="G2473" i="1"/>
  <c r="F2473" i="1"/>
  <c r="D2473" i="1"/>
  <c r="B2473" i="1"/>
  <c r="S2472" i="1"/>
  <c r="Q2472" i="1"/>
  <c r="L2472" i="1"/>
  <c r="K2472" i="1"/>
  <c r="J2472" i="1"/>
  <c r="H2472" i="1"/>
  <c r="G2472" i="1"/>
  <c r="F2472" i="1"/>
  <c r="D2472" i="1"/>
  <c r="B2472" i="1"/>
  <c r="S2471" i="1"/>
  <c r="Q2471" i="1"/>
  <c r="L2471" i="1"/>
  <c r="K2471" i="1"/>
  <c r="J2471" i="1"/>
  <c r="H2471" i="1"/>
  <c r="G2471" i="1"/>
  <c r="F2471" i="1"/>
  <c r="D2471" i="1"/>
  <c r="B2471" i="1"/>
  <c r="S2470" i="1"/>
  <c r="L2470" i="1"/>
  <c r="K2470" i="1"/>
  <c r="J2470" i="1"/>
  <c r="H2470" i="1"/>
  <c r="G2470" i="1"/>
  <c r="F2470" i="1"/>
  <c r="D2470" i="1"/>
  <c r="B2470" i="1"/>
  <c r="S2469" i="1"/>
  <c r="Q2469" i="1"/>
  <c r="L2469" i="1"/>
  <c r="K2469" i="1"/>
  <c r="J2469" i="1"/>
  <c r="H2469" i="1"/>
  <c r="G2469" i="1"/>
  <c r="F2469" i="1"/>
  <c r="D2469" i="1"/>
  <c r="B2469" i="1"/>
  <c r="S2468" i="1"/>
  <c r="Q2468" i="1"/>
  <c r="L2468" i="1"/>
  <c r="K2468" i="1"/>
  <c r="J2468" i="1"/>
  <c r="H2468" i="1"/>
  <c r="G2468" i="1"/>
  <c r="F2468" i="1"/>
  <c r="D2468" i="1"/>
  <c r="B2468" i="1"/>
  <c r="S2467" i="1"/>
  <c r="L2467" i="1"/>
  <c r="K2467" i="1"/>
  <c r="J2467" i="1"/>
  <c r="H2467" i="1"/>
  <c r="G2467" i="1"/>
  <c r="F2467" i="1"/>
  <c r="D2467" i="1"/>
  <c r="B2467" i="1"/>
  <c r="S2466" i="1"/>
  <c r="Q2466" i="1"/>
  <c r="L2466" i="1"/>
  <c r="K2466" i="1"/>
  <c r="J2466" i="1"/>
  <c r="H2466" i="1"/>
  <c r="G2466" i="1"/>
  <c r="F2466" i="1"/>
  <c r="D2466" i="1"/>
  <c r="B2466" i="1"/>
  <c r="S2465" i="1"/>
  <c r="Q2465" i="1"/>
  <c r="L2465" i="1"/>
  <c r="K2465" i="1"/>
  <c r="J2465" i="1"/>
  <c r="H2465" i="1"/>
  <c r="G2465" i="1"/>
  <c r="F2465" i="1"/>
  <c r="D2465" i="1"/>
  <c r="B2465" i="1"/>
  <c r="S2464" i="1"/>
  <c r="L2464" i="1"/>
  <c r="K2464" i="1"/>
  <c r="J2464" i="1"/>
  <c r="H2464" i="1"/>
  <c r="G2464" i="1"/>
  <c r="F2464" i="1"/>
  <c r="D2464" i="1"/>
  <c r="B2464" i="1"/>
  <c r="S2463" i="1"/>
  <c r="L2463" i="1"/>
  <c r="K2463" i="1"/>
  <c r="J2463" i="1"/>
  <c r="H2463" i="1"/>
  <c r="G2463" i="1"/>
  <c r="F2463" i="1"/>
  <c r="D2463" i="1"/>
  <c r="B2463" i="1"/>
  <c r="S2462" i="1"/>
  <c r="L2462" i="1"/>
  <c r="K2462" i="1"/>
  <c r="J2462" i="1"/>
  <c r="H2462" i="1"/>
  <c r="G2462" i="1"/>
  <c r="F2462" i="1"/>
  <c r="D2462" i="1"/>
  <c r="B2462" i="1"/>
  <c r="S2461" i="1"/>
  <c r="L2461" i="1"/>
  <c r="K2461" i="1"/>
  <c r="J2461" i="1"/>
  <c r="H2461" i="1"/>
  <c r="G2461" i="1"/>
  <c r="F2461" i="1"/>
  <c r="D2461" i="1"/>
  <c r="B2461" i="1"/>
  <c r="S2460" i="1"/>
  <c r="L2460" i="1"/>
  <c r="K2460" i="1"/>
  <c r="J2460" i="1"/>
  <c r="H2460" i="1"/>
  <c r="G2460" i="1"/>
  <c r="F2460" i="1"/>
  <c r="D2460" i="1"/>
  <c r="B2460" i="1"/>
  <c r="S2459" i="1"/>
  <c r="L2459" i="1"/>
  <c r="K2459" i="1"/>
  <c r="J2459" i="1"/>
  <c r="H2459" i="1"/>
  <c r="G2459" i="1"/>
  <c r="F2459" i="1"/>
  <c r="D2459" i="1"/>
  <c r="B2459" i="1"/>
  <c r="S2458" i="1"/>
  <c r="L2458" i="1"/>
  <c r="K2458" i="1"/>
  <c r="J2458" i="1"/>
  <c r="H2458" i="1"/>
  <c r="G2458" i="1"/>
  <c r="F2458" i="1"/>
  <c r="D2458" i="1"/>
  <c r="B2458" i="1"/>
  <c r="S2457" i="1"/>
  <c r="L2457" i="1"/>
  <c r="K2457" i="1"/>
  <c r="J2457" i="1"/>
  <c r="H2457" i="1"/>
  <c r="G2457" i="1"/>
  <c r="F2457" i="1"/>
  <c r="D2457" i="1"/>
  <c r="B2457" i="1"/>
  <c r="S2456" i="1"/>
  <c r="L2456" i="1"/>
  <c r="K2456" i="1"/>
  <c r="J2456" i="1"/>
  <c r="H2456" i="1"/>
  <c r="G2456" i="1"/>
  <c r="F2456" i="1"/>
  <c r="D2456" i="1"/>
  <c r="B2456" i="1"/>
  <c r="S2455" i="1"/>
  <c r="L2455" i="1"/>
  <c r="K2455" i="1"/>
  <c r="J2455" i="1"/>
  <c r="H2455" i="1"/>
  <c r="G2455" i="1"/>
  <c r="F2455" i="1"/>
  <c r="D2455" i="1"/>
  <c r="B2455" i="1"/>
  <c r="S2454" i="1"/>
  <c r="L2454" i="1"/>
  <c r="K2454" i="1"/>
  <c r="J2454" i="1"/>
  <c r="H2454" i="1"/>
  <c r="G2454" i="1"/>
  <c r="F2454" i="1"/>
  <c r="D2454" i="1"/>
  <c r="B2454" i="1"/>
  <c r="S2453" i="1"/>
  <c r="L2453" i="1"/>
  <c r="K2453" i="1"/>
  <c r="J2453" i="1"/>
  <c r="H2453" i="1"/>
  <c r="G2453" i="1"/>
  <c r="F2453" i="1"/>
  <c r="D2453" i="1"/>
  <c r="B2453" i="1"/>
  <c r="S2452" i="1"/>
  <c r="L2452" i="1"/>
  <c r="K2452" i="1"/>
  <c r="J2452" i="1"/>
  <c r="H2452" i="1"/>
  <c r="G2452" i="1"/>
  <c r="F2452" i="1"/>
  <c r="D2452" i="1"/>
  <c r="B2452" i="1"/>
  <c r="S2451" i="1"/>
  <c r="Q2451" i="1"/>
  <c r="L2451" i="1"/>
  <c r="K2451" i="1"/>
  <c r="J2451" i="1"/>
  <c r="I2451" i="1"/>
  <c r="H2451" i="1"/>
  <c r="G2451" i="1"/>
  <c r="F2451" i="1"/>
  <c r="D2451" i="1"/>
  <c r="B2451" i="1"/>
  <c r="S2450" i="1"/>
  <c r="L2450" i="1"/>
  <c r="K2450" i="1"/>
  <c r="J2450" i="1"/>
  <c r="H2450" i="1"/>
  <c r="G2450" i="1"/>
  <c r="F2450" i="1"/>
  <c r="D2450" i="1"/>
  <c r="B2450" i="1"/>
  <c r="S2449" i="1"/>
  <c r="L2449" i="1"/>
  <c r="K2449" i="1"/>
  <c r="J2449" i="1"/>
  <c r="H2449" i="1"/>
  <c r="G2449" i="1"/>
  <c r="F2449" i="1"/>
  <c r="D2449" i="1"/>
  <c r="B2449" i="1"/>
  <c r="S2448" i="1"/>
  <c r="L2448" i="1"/>
  <c r="K2448" i="1"/>
  <c r="J2448" i="1"/>
  <c r="H2448" i="1"/>
  <c r="G2448" i="1"/>
  <c r="F2448" i="1"/>
  <c r="D2448" i="1"/>
  <c r="B2448" i="1"/>
  <c r="S2447" i="1"/>
  <c r="L2447" i="1"/>
  <c r="K2447" i="1"/>
  <c r="J2447" i="1"/>
  <c r="H2447" i="1"/>
  <c r="G2447" i="1"/>
  <c r="F2447" i="1"/>
  <c r="D2447" i="1"/>
  <c r="B2447" i="1"/>
  <c r="S2446" i="1"/>
  <c r="L2446" i="1"/>
  <c r="K2446" i="1"/>
  <c r="J2446" i="1"/>
  <c r="H2446" i="1"/>
  <c r="G2446" i="1"/>
  <c r="F2446" i="1"/>
  <c r="D2446" i="1"/>
  <c r="B2446" i="1"/>
  <c r="S2445" i="1"/>
  <c r="Q2445" i="1"/>
  <c r="L2445" i="1"/>
  <c r="K2445" i="1"/>
  <c r="J2445" i="1"/>
  <c r="H2445" i="1"/>
  <c r="G2445" i="1"/>
  <c r="F2445" i="1"/>
  <c r="D2445" i="1"/>
  <c r="B2445" i="1"/>
  <c r="S2444" i="1"/>
  <c r="L2444" i="1"/>
  <c r="K2444" i="1"/>
  <c r="J2444" i="1"/>
  <c r="H2444" i="1"/>
  <c r="G2444" i="1"/>
  <c r="F2444" i="1"/>
  <c r="D2444" i="1"/>
  <c r="B2444" i="1"/>
  <c r="S2443" i="1"/>
  <c r="Q2443" i="1"/>
  <c r="L2443" i="1"/>
  <c r="K2443" i="1"/>
  <c r="J2443" i="1"/>
  <c r="H2443" i="1"/>
  <c r="G2443" i="1"/>
  <c r="F2443" i="1"/>
  <c r="D2443" i="1"/>
  <c r="B2443" i="1"/>
  <c r="S2442" i="1"/>
  <c r="L2442" i="1"/>
  <c r="K2442" i="1"/>
  <c r="J2442" i="1"/>
  <c r="H2442" i="1"/>
  <c r="G2442" i="1"/>
  <c r="F2442" i="1"/>
  <c r="D2442" i="1"/>
  <c r="B2442" i="1"/>
  <c r="S2441" i="1"/>
  <c r="L2441" i="1"/>
  <c r="K2441" i="1"/>
  <c r="J2441" i="1"/>
  <c r="H2441" i="1"/>
  <c r="G2441" i="1"/>
  <c r="F2441" i="1"/>
  <c r="D2441" i="1"/>
  <c r="B2441" i="1"/>
  <c r="S2440" i="1"/>
  <c r="Q2440" i="1"/>
  <c r="L2440" i="1"/>
  <c r="K2440" i="1"/>
  <c r="J2440" i="1"/>
  <c r="H2440" i="1"/>
  <c r="G2440" i="1"/>
  <c r="F2440" i="1"/>
  <c r="D2440" i="1"/>
  <c r="B2440" i="1"/>
  <c r="S2439" i="1"/>
  <c r="L2439" i="1"/>
  <c r="K2439" i="1"/>
  <c r="J2439" i="1"/>
  <c r="H2439" i="1"/>
  <c r="G2439" i="1"/>
  <c r="F2439" i="1"/>
  <c r="D2439" i="1"/>
  <c r="B2439" i="1"/>
  <c r="S2438" i="1"/>
  <c r="Q2438" i="1"/>
  <c r="L2438" i="1"/>
  <c r="K2438" i="1"/>
  <c r="J2438" i="1"/>
  <c r="H2438" i="1"/>
  <c r="G2438" i="1"/>
  <c r="F2438" i="1"/>
  <c r="D2438" i="1"/>
  <c r="B2438" i="1"/>
  <c r="S2437" i="1"/>
  <c r="L2437" i="1"/>
  <c r="K2437" i="1"/>
  <c r="J2437" i="1"/>
  <c r="H2437" i="1"/>
  <c r="G2437" i="1"/>
  <c r="F2437" i="1"/>
  <c r="D2437" i="1"/>
  <c r="B2437" i="1"/>
  <c r="S2436" i="1"/>
  <c r="L2436" i="1"/>
  <c r="K2436" i="1"/>
  <c r="J2436" i="1"/>
  <c r="H2436" i="1"/>
  <c r="G2436" i="1"/>
  <c r="F2436" i="1"/>
  <c r="D2436" i="1"/>
  <c r="B2436" i="1"/>
  <c r="S2435" i="1"/>
  <c r="L2435" i="1"/>
  <c r="K2435" i="1"/>
  <c r="J2435" i="1"/>
  <c r="H2435" i="1"/>
  <c r="G2435" i="1"/>
  <c r="F2435" i="1"/>
  <c r="D2435" i="1"/>
  <c r="B2435" i="1"/>
  <c r="S2434" i="1"/>
  <c r="L2434" i="1"/>
  <c r="K2434" i="1"/>
  <c r="J2434" i="1"/>
  <c r="H2434" i="1"/>
  <c r="G2434" i="1"/>
  <c r="F2434" i="1"/>
  <c r="D2434" i="1"/>
  <c r="B2434" i="1"/>
  <c r="S2433" i="1"/>
  <c r="L2433" i="1"/>
  <c r="K2433" i="1"/>
  <c r="J2433" i="1"/>
  <c r="H2433" i="1"/>
  <c r="G2433" i="1"/>
  <c r="F2433" i="1"/>
  <c r="D2433" i="1"/>
  <c r="B2433" i="1"/>
  <c r="S2432" i="1"/>
  <c r="L2432" i="1"/>
  <c r="K2432" i="1"/>
  <c r="J2432" i="1"/>
  <c r="H2432" i="1"/>
  <c r="G2432" i="1"/>
  <c r="F2432" i="1"/>
  <c r="D2432" i="1"/>
  <c r="B2432" i="1"/>
  <c r="S2431" i="1"/>
  <c r="L2431" i="1"/>
  <c r="K2431" i="1"/>
  <c r="J2431" i="1"/>
  <c r="H2431" i="1"/>
  <c r="G2431" i="1"/>
  <c r="F2431" i="1"/>
  <c r="D2431" i="1"/>
  <c r="B2431" i="1"/>
  <c r="S2430" i="1"/>
  <c r="L2430" i="1"/>
  <c r="K2430" i="1"/>
  <c r="J2430" i="1"/>
  <c r="H2430" i="1"/>
  <c r="G2430" i="1"/>
  <c r="F2430" i="1"/>
  <c r="D2430" i="1"/>
  <c r="B2430" i="1"/>
  <c r="S2429" i="1"/>
  <c r="L2429" i="1"/>
  <c r="K2429" i="1"/>
  <c r="J2429" i="1"/>
  <c r="H2429" i="1"/>
  <c r="G2429" i="1"/>
  <c r="F2429" i="1"/>
  <c r="D2429" i="1"/>
  <c r="B2429" i="1"/>
  <c r="S2428" i="1"/>
  <c r="L2428" i="1"/>
  <c r="K2428" i="1"/>
  <c r="J2428" i="1"/>
  <c r="H2428" i="1"/>
  <c r="G2428" i="1"/>
  <c r="F2428" i="1"/>
  <c r="D2428" i="1"/>
  <c r="B2428" i="1"/>
  <c r="S2427" i="1"/>
  <c r="L2427" i="1"/>
  <c r="K2427" i="1"/>
  <c r="J2427" i="1"/>
  <c r="H2427" i="1"/>
  <c r="G2427" i="1"/>
  <c r="F2427" i="1"/>
  <c r="D2427" i="1"/>
  <c r="B2427" i="1"/>
  <c r="S2426" i="1"/>
  <c r="L2426" i="1"/>
  <c r="K2426" i="1"/>
  <c r="J2426" i="1"/>
  <c r="H2426" i="1"/>
  <c r="G2426" i="1"/>
  <c r="F2426" i="1"/>
  <c r="D2426" i="1"/>
  <c r="B2426" i="1"/>
  <c r="S2425" i="1"/>
  <c r="L2425" i="1"/>
  <c r="K2425" i="1"/>
  <c r="J2425" i="1"/>
  <c r="H2425" i="1"/>
  <c r="G2425" i="1"/>
  <c r="F2425" i="1"/>
  <c r="D2425" i="1"/>
  <c r="B2425" i="1"/>
  <c r="S2424" i="1"/>
  <c r="L2424" i="1"/>
  <c r="K2424" i="1"/>
  <c r="J2424" i="1"/>
  <c r="H2424" i="1"/>
  <c r="G2424" i="1"/>
  <c r="F2424" i="1"/>
  <c r="D2424" i="1"/>
  <c r="B2424" i="1"/>
  <c r="S2423" i="1"/>
  <c r="L2423" i="1"/>
  <c r="K2423" i="1"/>
  <c r="J2423" i="1"/>
  <c r="H2423" i="1"/>
  <c r="G2423" i="1"/>
  <c r="F2423" i="1"/>
  <c r="D2423" i="1"/>
  <c r="B2423" i="1"/>
  <c r="S2422" i="1"/>
  <c r="L2422" i="1"/>
  <c r="K2422" i="1"/>
  <c r="J2422" i="1"/>
  <c r="H2422" i="1"/>
  <c r="G2422" i="1"/>
  <c r="F2422" i="1"/>
  <c r="D2422" i="1"/>
  <c r="B2422" i="1"/>
  <c r="S2421" i="1"/>
  <c r="L2421" i="1"/>
  <c r="K2421" i="1"/>
  <c r="J2421" i="1"/>
  <c r="H2421" i="1"/>
  <c r="G2421" i="1"/>
  <c r="F2421" i="1"/>
  <c r="D2421" i="1"/>
  <c r="B2421" i="1"/>
  <c r="S2420" i="1"/>
  <c r="L2420" i="1"/>
  <c r="K2420" i="1"/>
  <c r="J2420" i="1"/>
  <c r="H2420" i="1"/>
  <c r="G2420" i="1"/>
  <c r="F2420" i="1"/>
  <c r="D2420" i="1"/>
  <c r="B2420" i="1"/>
  <c r="S2419" i="1"/>
  <c r="L2419" i="1"/>
  <c r="K2419" i="1"/>
  <c r="J2419" i="1"/>
  <c r="H2419" i="1"/>
  <c r="G2419" i="1"/>
  <c r="F2419" i="1"/>
  <c r="D2419" i="1"/>
  <c r="B2419" i="1"/>
  <c r="S2418" i="1"/>
  <c r="L2418" i="1"/>
  <c r="K2418" i="1"/>
  <c r="J2418" i="1"/>
  <c r="H2418" i="1"/>
  <c r="G2418" i="1"/>
  <c r="F2418" i="1"/>
  <c r="D2418" i="1"/>
  <c r="B2418" i="1"/>
  <c r="S2417" i="1"/>
  <c r="Q2417" i="1"/>
  <c r="L2417" i="1"/>
  <c r="K2417" i="1"/>
  <c r="J2417" i="1"/>
  <c r="H2417" i="1"/>
  <c r="G2417" i="1"/>
  <c r="F2417" i="1"/>
  <c r="D2417" i="1"/>
  <c r="B2417" i="1"/>
  <c r="S2416" i="1"/>
  <c r="L2416" i="1"/>
  <c r="K2416" i="1"/>
  <c r="J2416" i="1"/>
  <c r="H2416" i="1"/>
  <c r="G2416" i="1"/>
  <c r="F2416" i="1"/>
  <c r="D2416" i="1"/>
  <c r="B2416" i="1"/>
  <c r="S2415" i="1"/>
  <c r="L2415" i="1"/>
  <c r="K2415" i="1"/>
  <c r="J2415" i="1"/>
  <c r="H2415" i="1"/>
  <c r="G2415" i="1"/>
  <c r="F2415" i="1"/>
  <c r="D2415" i="1"/>
  <c r="B2415" i="1"/>
  <c r="S2414" i="1"/>
  <c r="Q2414" i="1"/>
  <c r="L2414" i="1"/>
  <c r="K2414" i="1"/>
  <c r="J2414" i="1"/>
  <c r="I2414" i="1"/>
  <c r="H2414" i="1"/>
  <c r="G2414" i="1"/>
  <c r="F2414" i="1"/>
  <c r="D2414" i="1"/>
  <c r="B2414" i="1"/>
  <c r="S2413" i="1"/>
  <c r="L2413" i="1"/>
  <c r="K2413" i="1"/>
  <c r="J2413" i="1"/>
  <c r="H2413" i="1"/>
  <c r="G2413" i="1"/>
  <c r="F2413" i="1"/>
  <c r="D2413" i="1"/>
  <c r="B2413" i="1"/>
  <c r="S2412" i="1"/>
  <c r="L2412" i="1"/>
  <c r="K2412" i="1"/>
  <c r="J2412" i="1"/>
  <c r="H2412" i="1"/>
  <c r="G2412" i="1"/>
  <c r="F2412" i="1"/>
  <c r="D2412" i="1"/>
  <c r="B2412" i="1"/>
  <c r="S2411" i="1"/>
  <c r="Q2411" i="1"/>
  <c r="L2411" i="1"/>
  <c r="K2411" i="1"/>
  <c r="J2411" i="1"/>
  <c r="H2411" i="1"/>
  <c r="G2411" i="1"/>
  <c r="F2411" i="1"/>
  <c r="D2411" i="1"/>
  <c r="B2411" i="1"/>
  <c r="S2410" i="1"/>
  <c r="L2410" i="1"/>
  <c r="K2410" i="1"/>
  <c r="J2410" i="1"/>
  <c r="H2410" i="1"/>
  <c r="G2410" i="1"/>
  <c r="F2410" i="1"/>
  <c r="D2410" i="1"/>
  <c r="B2410" i="1"/>
  <c r="S2409" i="1"/>
  <c r="L2409" i="1"/>
  <c r="K2409" i="1"/>
  <c r="J2409" i="1"/>
  <c r="H2409" i="1"/>
  <c r="G2409" i="1"/>
  <c r="F2409" i="1"/>
  <c r="D2409" i="1"/>
  <c r="B2409" i="1"/>
  <c r="S2408" i="1"/>
  <c r="L2408" i="1"/>
  <c r="K2408" i="1"/>
  <c r="J2408" i="1"/>
  <c r="H2408" i="1"/>
  <c r="G2408" i="1"/>
  <c r="F2408" i="1"/>
  <c r="D2408" i="1"/>
  <c r="B2408" i="1"/>
  <c r="S2407" i="1"/>
  <c r="L2407" i="1"/>
  <c r="K2407" i="1"/>
  <c r="J2407" i="1"/>
  <c r="H2407" i="1"/>
  <c r="G2407" i="1"/>
  <c r="F2407" i="1"/>
  <c r="D2407" i="1"/>
  <c r="B2407" i="1"/>
  <c r="S2406" i="1"/>
  <c r="L2406" i="1"/>
  <c r="K2406" i="1"/>
  <c r="J2406" i="1"/>
  <c r="H2406" i="1"/>
  <c r="G2406" i="1"/>
  <c r="F2406" i="1"/>
  <c r="D2406" i="1"/>
  <c r="B2406" i="1"/>
  <c r="S2405" i="1"/>
  <c r="L2405" i="1"/>
  <c r="K2405" i="1"/>
  <c r="J2405" i="1"/>
  <c r="H2405" i="1"/>
  <c r="G2405" i="1"/>
  <c r="F2405" i="1"/>
  <c r="D2405" i="1"/>
  <c r="B2405" i="1"/>
  <c r="S2404" i="1"/>
  <c r="L2404" i="1"/>
  <c r="K2404" i="1"/>
  <c r="J2404" i="1"/>
  <c r="H2404" i="1"/>
  <c r="G2404" i="1"/>
  <c r="F2404" i="1"/>
  <c r="D2404" i="1"/>
  <c r="B2404" i="1"/>
  <c r="S2403" i="1"/>
  <c r="L2403" i="1"/>
  <c r="K2403" i="1"/>
  <c r="J2403" i="1"/>
  <c r="H2403" i="1"/>
  <c r="G2403" i="1"/>
  <c r="F2403" i="1"/>
  <c r="D2403" i="1"/>
  <c r="B2403" i="1"/>
  <c r="S2402" i="1"/>
  <c r="L2402" i="1"/>
  <c r="K2402" i="1"/>
  <c r="J2402" i="1"/>
  <c r="H2402" i="1"/>
  <c r="G2402" i="1"/>
  <c r="F2402" i="1"/>
  <c r="D2402" i="1"/>
  <c r="B2402" i="1"/>
  <c r="S2401" i="1"/>
  <c r="L2401" i="1"/>
  <c r="K2401" i="1"/>
  <c r="J2401" i="1"/>
  <c r="H2401" i="1"/>
  <c r="G2401" i="1"/>
  <c r="F2401" i="1"/>
  <c r="D2401" i="1"/>
  <c r="B2401" i="1"/>
  <c r="S2400" i="1"/>
  <c r="L2400" i="1"/>
  <c r="K2400" i="1"/>
  <c r="J2400" i="1"/>
  <c r="H2400" i="1"/>
  <c r="G2400" i="1"/>
  <c r="F2400" i="1"/>
  <c r="D2400" i="1"/>
  <c r="B2400" i="1"/>
  <c r="S2399" i="1"/>
  <c r="L2399" i="1"/>
  <c r="K2399" i="1"/>
  <c r="J2399" i="1"/>
  <c r="H2399" i="1"/>
  <c r="G2399" i="1"/>
  <c r="F2399" i="1"/>
  <c r="D2399" i="1"/>
  <c r="B2399" i="1"/>
  <c r="S2398" i="1"/>
  <c r="Q2398" i="1"/>
  <c r="L2398" i="1"/>
  <c r="K2398" i="1"/>
  <c r="J2398" i="1"/>
  <c r="H2398" i="1"/>
  <c r="G2398" i="1"/>
  <c r="F2398" i="1"/>
  <c r="D2398" i="1"/>
  <c r="B2398" i="1"/>
  <c r="S2397" i="1"/>
  <c r="L2397" i="1"/>
  <c r="K2397" i="1"/>
  <c r="J2397" i="1"/>
  <c r="H2397" i="1"/>
  <c r="G2397" i="1"/>
  <c r="F2397" i="1"/>
  <c r="D2397" i="1"/>
  <c r="B2397" i="1"/>
  <c r="S2396" i="1"/>
  <c r="L2396" i="1"/>
  <c r="K2396" i="1"/>
  <c r="J2396" i="1"/>
  <c r="H2396" i="1"/>
  <c r="G2396" i="1"/>
  <c r="F2396" i="1"/>
  <c r="D2396" i="1"/>
  <c r="B2396" i="1"/>
  <c r="S2395" i="1"/>
  <c r="L2395" i="1"/>
  <c r="K2395" i="1"/>
  <c r="J2395" i="1"/>
  <c r="H2395" i="1"/>
  <c r="G2395" i="1"/>
  <c r="F2395" i="1"/>
  <c r="D2395" i="1"/>
  <c r="B2395" i="1"/>
  <c r="S2394" i="1"/>
  <c r="L2394" i="1"/>
  <c r="K2394" i="1"/>
  <c r="J2394" i="1"/>
  <c r="H2394" i="1"/>
  <c r="G2394" i="1"/>
  <c r="F2394" i="1"/>
  <c r="D2394" i="1"/>
  <c r="B2394" i="1"/>
  <c r="S2393" i="1"/>
  <c r="L2393" i="1"/>
  <c r="K2393" i="1"/>
  <c r="J2393" i="1"/>
  <c r="H2393" i="1"/>
  <c r="G2393" i="1"/>
  <c r="F2393" i="1"/>
  <c r="D2393" i="1"/>
  <c r="B2393" i="1"/>
  <c r="S2392" i="1"/>
  <c r="L2392" i="1"/>
  <c r="K2392" i="1"/>
  <c r="J2392" i="1"/>
  <c r="H2392" i="1"/>
  <c r="G2392" i="1"/>
  <c r="F2392" i="1"/>
  <c r="D2392" i="1"/>
  <c r="B2392" i="1"/>
  <c r="S2391" i="1"/>
  <c r="Q2391" i="1"/>
  <c r="L2391" i="1"/>
  <c r="K2391" i="1"/>
  <c r="J2391" i="1"/>
  <c r="H2391" i="1"/>
  <c r="G2391" i="1"/>
  <c r="F2391" i="1"/>
  <c r="D2391" i="1"/>
  <c r="B2391" i="1"/>
  <c r="S2390" i="1"/>
  <c r="L2390" i="1"/>
  <c r="K2390" i="1"/>
  <c r="J2390" i="1"/>
  <c r="H2390" i="1"/>
  <c r="G2390" i="1"/>
  <c r="F2390" i="1"/>
  <c r="D2390" i="1"/>
  <c r="B2390" i="1"/>
  <c r="S2389" i="1"/>
  <c r="L2389" i="1"/>
  <c r="K2389" i="1"/>
  <c r="J2389" i="1"/>
  <c r="H2389" i="1"/>
  <c r="G2389" i="1"/>
  <c r="F2389" i="1"/>
  <c r="D2389" i="1"/>
  <c r="B2389" i="1"/>
  <c r="S2388" i="1"/>
  <c r="L2388" i="1"/>
  <c r="K2388" i="1"/>
  <c r="J2388" i="1"/>
  <c r="H2388" i="1"/>
  <c r="G2388" i="1"/>
  <c r="F2388" i="1"/>
  <c r="D2388" i="1"/>
  <c r="B2388" i="1"/>
  <c r="S2387" i="1"/>
  <c r="L2387" i="1"/>
  <c r="K2387" i="1"/>
  <c r="J2387" i="1"/>
  <c r="H2387" i="1"/>
  <c r="G2387" i="1"/>
  <c r="F2387" i="1"/>
  <c r="D2387" i="1"/>
  <c r="B2387" i="1"/>
  <c r="S2386" i="1"/>
  <c r="L2386" i="1"/>
  <c r="K2386" i="1"/>
  <c r="J2386" i="1"/>
  <c r="H2386" i="1"/>
  <c r="G2386" i="1"/>
  <c r="F2386" i="1"/>
  <c r="D2386" i="1"/>
  <c r="B2386" i="1"/>
  <c r="S2385" i="1"/>
  <c r="L2385" i="1"/>
  <c r="K2385" i="1"/>
  <c r="J2385" i="1"/>
  <c r="H2385" i="1"/>
  <c r="G2385" i="1"/>
  <c r="F2385" i="1"/>
  <c r="D2385" i="1"/>
  <c r="B2385" i="1"/>
  <c r="S2384" i="1"/>
  <c r="L2384" i="1"/>
  <c r="K2384" i="1"/>
  <c r="J2384" i="1"/>
  <c r="I2384" i="1"/>
  <c r="H2384" i="1"/>
  <c r="F2384" i="1"/>
  <c r="D2384" i="1"/>
  <c r="B2384" i="1"/>
  <c r="S2383" i="1"/>
  <c r="L2383" i="1"/>
  <c r="K2383" i="1"/>
  <c r="J2383" i="1"/>
  <c r="H2383" i="1"/>
  <c r="G2383" i="1"/>
  <c r="F2383" i="1"/>
  <c r="D2383" i="1"/>
  <c r="B2383" i="1"/>
  <c r="S2382" i="1"/>
  <c r="L2382" i="1"/>
  <c r="K2382" i="1"/>
  <c r="J2382" i="1"/>
  <c r="H2382" i="1"/>
  <c r="G2382" i="1"/>
  <c r="F2382" i="1"/>
  <c r="D2382" i="1"/>
  <c r="B2382" i="1"/>
  <c r="S2381" i="1"/>
  <c r="L2381" i="1"/>
  <c r="K2381" i="1"/>
  <c r="J2381" i="1"/>
  <c r="H2381" i="1"/>
  <c r="G2381" i="1"/>
  <c r="F2381" i="1"/>
  <c r="D2381" i="1"/>
  <c r="B2381" i="1"/>
  <c r="S2380" i="1"/>
  <c r="L2380" i="1"/>
  <c r="K2380" i="1"/>
  <c r="J2380" i="1"/>
  <c r="H2380" i="1"/>
  <c r="G2380" i="1"/>
  <c r="F2380" i="1"/>
  <c r="D2380" i="1"/>
  <c r="B2380" i="1"/>
  <c r="S2379" i="1"/>
  <c r="L2379" i="1"/>
  <c r="K2379" i="1"/>
  <c r="J2379" i="1"/>
  <c r="H2379" i="1"/>
  <c r="G2379" i="1"/>
  <c r="F2379" i="1"/>
  <c r="D2379" i="1"/>
  <c r="B2379" i="1"/>
  <c r="S2378" i="1"/>
  <c r="L2378" i="1"/>
  <c r="K2378" i="1"/>
  <c r="J2378" i="1"/>
  <c r="H2378" i="1"/>
  <c r="G2378" i="1"/>
  <c r="F2378" i="1"/>
  <c r="D2378" i="1"/>
  <c r="B2378" i="1"/>
  <c r="S2377" i="1"/>
  <c r="L2377" i="1"/>
  <c r="K2377" i="1"/>
  <c r="J2377" i="1"/>
  <c r="H2377" i="1"/>
  <c r="G2377" i="1"/>
  <c r="F2377" i="1"/>
  <c r="D2377" i="1"/>
  <c r="B2377" i="1"/>
  <c r="S2376" i="1"/>
  <c r="L2376" i="1"/>
  <c r="K2376" i="1"/>
  <c r="J2376" i="1"/>
  <c r="H2376" i="1"/>
  <c r="G2376" i="1"/>
  <c r="F2376" i="1"/>
  <c r="D2376" i="1"/>
  <c r="B2376" i="1"/>
  <c r="S2375" i="1"/>
  <c r="L2375" i="1"/>
  <c r="K2375" i="1"/>
  <c r="J2375" i="1"/>
  <c r="H2375" i="1"/>
  <c r="G2375" i="1"/>
  <c r="F2375" i="1"/>
  <c r="D2375" i="1"/>
  <c r="B2375" i="1"/>
  <c r="S2374" i="1"/>
  <c r="L2374" i="1"/>
  <c r="K2374" i="1"/>
  <c r="J2374" i="1"/>
  <c r="H2374" i="1"/>
  <c r="G2374" i="1"/>
  <c r="F2374" i="1"/>
  <c r="D2374" i="1"/>
  <c r="B2374" i="1"/>
  <c r="S2373" i="1"/>
  <c r="L2373" i="1"/>
  <c r="K2373" i="1"/>
  <c r="J2373" i="1"/>
  <c r="H2373" i="1"/>
  <c r="G2373" i="1"/>
  <c r="F2373" i="1"/>
  <c r="D2373" i="1"/>
  <c r="B2373" i="1"/>
  <c r="S2372" i="1"/>
  <c r="L2372" i="1"/>
  <c r="K2372" i="1"/>
  <c r="J2372" i="1"/>
  <c r="H2372" i="1"/>
  <c r="G2372" i="1"/>
  <c r="F2372" i="1"/>
  <c r="D2372" i="1"/>
  <c r="B2372" i="1"/>
  <c r="S2371" i="1"/>
  <c r="L2371" i="1"/>
  <c r="K2371" i="1"/>
  <c r="J2371" i="1"/>
  <c r="H2371" i="1"/>
  <c r="G2371" i="1"/>
  <c r="F2371" i="1"/>
  <c r="D2371" i="1"/>
  <c r="B2371" i="1"/>
  <c r="S2370" i="1"/>
  <c r="L2370" i="1"/>
  <c r="K2370" i="1"/>
  <c r="J2370" i="1"/>
  <c r="H2370" i="1"/>
  <c r="G2370" i="1"/>
  <c r="F2370" i="1"/>
  <c r="D2370" i="1"/>
  <c r="B2370" i="1"/>
  <c r="S2369" i="1"/>
  <c r="L2369" i="1"/>
  <c r="K2369" i="1"/>
  <c r="J2369" i="1"/>
  <c r="H2369" i="1"/>
  <c r="G2369" i="1"/>
  <c r="F2369" i="1"/>
  <c r="D2369" i="1"/>
  <c r="B2369" i="1"/>
  <c r="S2368" i="1"/>
  <c r="L2368" i="1"/>
  <c r="K2368" i="1"/>
  <c r="J2368" i="1"/>
  <c r="H2368" i="1"/>
  <c r="G2368" i="1"/>
  <c r="F2368" i="1"/>
  <c r="D2368" i="1"/>
  <c r="B2368" i="1"/>
  <c r="S2367" i="1"/>
  <c r="L2367" i="1"/>
  <c r="K2367" i="1"/>
  <c r="J2367" i="1"/>
  <c r="H2367" i="1"/>
  <c r="G2367" i="1"/>
  <c r="F2367" i="1"/>
  <c r="D2367" i="1"/>
  <c r="B2367" i="1"/>
  <c r="S2366" i="1"/>
  <c r="Q2366" i="1"/>
  <c r="L2366" i="1"/>
  <c r="K2366" i="1"/>
  <c r="J2366" i="1"/>
  <c r="H2366" i="1"/>
  <c r="G2366" i="1"/>
  <c r="F2366" i="1"/>
  <c r="D2366" i="1"/>
  <c r="B2366" i="1"/>
  <c r="S2365" i="1"/>
  <c r="L2365" i="1"/>
  <c r="K2365" i="1"/>
  <c r="J2365" i="1"/>
  <c r="H2365" i="1"/>
  <c r="G2365" i="1"/>
  <c r="F2365" i="1"/>
  <c r="D2365" i="1"/>
  <c r="B2365" i="1"/>
  <c r="S2364" i="1"/>
  <c r="L2364" i="1"/>
  <c r="K2364" i="1"/>
  <c r="J2364" i="1"/>
  <c r="H2364" i="1"/>
  <c r="G2364" i="1"/>
  <c r="F2364" i="1"/>
  <c r="D2364" i="1"/>
  <c r="B2364" i="1"/>
  <c r="S2363" i="1"/>
  <c r="L2363" i="1"/>
  <c r="K2363" i="1"/>
  <c r="J2363" i="1"/>
  <c r="H2363" i="1"/>
  <c r="G2363" i="1"/>
  <c r="F2363" i="1"/>
  <c r="D2363" i="1"/>
  <c r="B2363" i="1"/>
  <c r="S2362" i="1"/>
  <c r="Q2362" i="1"/>
  <c r="L2362" i="1"/>
  <c r="K2362" i="1"/>
  <c r="J2362" i="1"/>
  <c r="H2362" i="1"/>
  <c r="G2362" i="1"/>
  <c r="F2362" i="1"/>
  <c r="D2362" i="1"/>
  <c r="B2362" i="1"/>
  <c r="S2361" i="1"/>
  <c r="L2361" i="1"/>
  <c r="K2361" i="1"/>
  <c r="J2361" i="1"/>
  <c r="H2361" i="1"/>
  <c r="G2361" i="1"/>
  <c r="F2361" i="1"/>
  <c r="D2361" i="1"/>
  <c r="B2361" i="1"/>
  <c r="S2360" i="1"/>
  <c r="L2360" i="1"/>
  <c r="K2360" i="1"/>
  <c r="J2360" i="1"/>
  <c r="H2360" i="1"/>
  <c r="G2360" i="1"/>
  <c r="F2360" i="1"/>
  <c r="D2360" i="1"/>
  <c r="B2360" i="1"/>
  <c r="S2359" i="1"/>
  <c r="Q2359" i="1"/>
  <c r="L2359" i="1"/>
  <c r="K2359" i="1"/>
  <c r="J2359" i="1"/>
  <c r="I2359" i="1"/>
  <c r="H2359" i="1"/>
  <c r="G2359" i="1"/>
  <c r="F2359" i="1"/>
  <c r="D2359" i="1"/>
  <c r="B2359" i="1"/>
  <c r="S2358" i="1"/>
  <c r="L2358" i="1"/>
  <c r="K2358" i="1"/>
  <c r="J2358" i="1"/>
  <c r="H2358" i="1"/>
  <c r="G2358" i="1"/>
  <c r="F2358" i="1"/>
  <c r="D2358" i="1"/>
  <c r="B2358" i="1"/>
  <c r="S2357" i="1"/>
  <c r="L2357" i="1"/>
  <c r="K2357" i="1"/>
  <c r="J2357" i="1"/>
  <c r="H2357" i="1"/>
  <c r="G2357" i="1"/>
  <c r="F2357" i="1"/>
  <c r="D2357" i="1"/>
  <c r="B2357" i="1"/>
  <c r="S2356" i="1"/>
  <c r="L2356" i="1"/>
  <c r="K2356" i="1"/>
  <c r="J2356" i="1"/>
  <c r="H2356" i="1"/>
  <c r="G2356" i="1"/>
  <c r="F2356" i="1"/>
  <c r="D2356" i="1"/>
  <c r="B2356" i="1"/>
  <c r="S2355" i="1"/>
  <c r="L2355" i="1"/>
  <c r="K2355" i="1"/>
  <c r="J2355" i="1"/>
  <c r="H2355" i="1"/>
  <c r="G2355" i="1"/>
  <c r="F2355" i="1"/>
  <c r="D2355" i="1"/>
  <c r="B2355" i="1"/>
  <c r="S2354" i="1"/>
  <c r="Q2354" i="1"/>
  <c r="L2354" i="1"/>
  <c r="K2354" i="1"/>
  <c r="J2354" i="1"/>
  <c r="I2354" i="1"/>
  <c r="H2354" i="1"/>
  <c r="G2354" i="1"/>
  <c r="F2354" i="1"/>
  <c r="D2354" i="1"/>
  <c r="B2354" i="1"/>
  <c r="S2353" i="1"/>
  <c r="L2353" i="1"/>
  <c r="K2353" i="1"/>
  <c r="J2353" i="1"/>
  <c r="H2353" i="1"/>
  <c r="G2353" i="1"/>
  <c r="F2353" i="1"/>
  <c r="D2353" i="1"/>
  <c r="B2353" i="1"/>
  <c r="S2352" i="1"/>
  <c r="L2352" i="1"/>
  <c r="K2352" i="1"/>
  <c r="J2352" i="1"/>
  <c r="H2352" i="1"/>
  <c r="G2352" i="1"/>
  <c r="F2352" i="1"/>
  <c r="D2352" i="1"/>
  <c r="B2352" i="1"/>
  <c r="S2351" i="1"/>
  <c r="L2351" i="1"/>
  <c r="K2351" i="1"/>
  <c r="J2351" i="1"/>
  <c r="H2351" i="1"/>
  <c r="G2351" i="1"/>
  <c r="F2351" i="1"/>
  <c r="D2351" i="1"/>
  <c r="B2351" i="1"/>
  <c r="S2350" i="1"/>
  <c r="L2350" i="1"/>
  <c r="K2350" i="1"/>
  <c r="J2350" i="1"/>
  <c r="H2350" i="1"/>
  <c r="G2350" i="1"/>
  <c r="F2350" i="1"/>
  <c r="D2350" i="1"/>
  <c r="B2350" i="1"/>
  <c r="S2349" i="1"/>
  <c r="Q2349" i="1"/>
  <c r="L2349" i="1"/>
  <c r="K2349" i="1"/>
  <c r="J2349" i="1"/>
  <c r="H2349" i="1"/>
  <c r="G2349" i="1"/>
  <c r="F2349" i="1"/>
  <c r="D2349" i="1"/>
  <c r="B2349" i="1"/>
  <c r="S2348" i="1"/>
  <c r="L2348" i="1"/>
  <c r="K2348" i="1"/>
  <c r="J2348" i="1"/>
  <c r="H2348" i="1"/>
  <c r="G2348" i="1"/>
  <c r="F2348" i="1"/>
  <c r="D2348" i="1"/>
  <c r="B2348" i="1"/>
  <c r="S2347" i="1"/>
  <c r="L2347" i="1"/>
  <c r="K2347" i="1"/>
  <c r="J2347" i="1"/>
  <c r="H2347" i="1"/>
  <c r="G2347" i="1"/>
  <c r="F2347" i="1"/>
  <c r="D2347" i="1"/>
  <c r="B2347" i="1"/>
  <c r="S2346" i="1"/>
  <c r="L2346" i="1"/>
  <c r="K2346" i="1"/>
  <c r="J2346" i="1"/>
  <c r="H2346" i="1"/>
  <c r="G2346" i="1"/>
  <c r="F2346" i="1"/>
  <c r="D2346" i="1"/>
  <c r="B2346" i="1"/>
  <c r="S2345" i="1"/>
  <c r="L2345" i="1"/>
  <c r="K2345" i="1"/>
  <c r="J2345" i="1"/>
  <c r="H2345" i="1"/>
  <c r="G2345" i="1"/>
  <c r="F2345" i="1"/>
  <c r="D2345" i="1"/>
  <c r="B2345" i="1"/>
  <c r="S2344" i="1"/>
  <c r="Q2344" i="1"/>
  <c r="L2344" i="1"/>
  <c r="K2344" i="1"/>
  <c r="J2344" i="1"/>
  <c r="H2344" i="1"/>
  <c r="G2344" i="1"/>
  <c r="F2344" i="1"/>
  <c r="D2344" i="1"/>
  <c r="B2344" i="1"/>
  <c r="S2343" i="1"/>
  <c r="L2343" i="1"/>
  <c r="K2343" i="1"/>
  <c r="J2343" i="1"/>
  <c r="H2343" i="1"/>
  <c r="G2343" i="1"/>
  <c r="F2343" i="1"/>
  <c r="D2343" i="1"/>
  <c r="B2343" i="1"/>
  <c r="S2342" i="1"/>
  <c r="L2342" i="1"/>
  <c r="K2342" i="1"/>
  <c r="J2342" i="1"/>
  <c r="H2342" i="1"/>
  <c r="G2342" i="1"/>
  <c r="F2342" i="1"/>
  <c r="D2342" i="1"/>
  <c r="B2342" i="1"/>
  <c r="S2341" i="1"/>
  <c r="L2341" i="1"/>
  <c r="K2341" i="1"/>
  <c r="J2341" i="1"/>
  <c r="H2341" i="1"/>
  <c r="G2341" i="1"/>
  <c r="F2341" i="1"/>
  <c r="D2341" i="1"/>
  <c r="B2341" i="1"/>
  <c r="S2340" i="1"/>
  <c r="L2340" i="1"/>
  <c r="K2340" i="1"/>
  <c r="J2340" i="1"/>
  <c r="H2340" i="1"/>
  <c r="G2340" i="1"/>
  <c r="F2340" i="1"/>
  <c r="D2340" i="1"/>
  <c r="B2340" i="1"/>
  <c r="S2339" i="1"/>
  <c r="L2339" i="1"/>
  <c r="K2339" i="1"/>
  <c r="J2339" i="1"/>
  <c r="H2339" i="1"/>
  <c r="G2339" i="1"/>
  <c r="F2339" i="1"/>
  <c r="D2339" i="1"/>
  <c r="B2339" i="1"/>
  <c r="S2338" i="1"/>
  <c r="L2338" i="1"/>
  <c r="K2338" i="1"/>
  <c r="J2338" i="1"/>
  <c r="H2338" i="1"/>
  <c r="G2338" i="1"/>
  <c r="F2338" i="1"/>
  <c r="D2338" i="1"/>
  <c r="B2338" i="1"/>
  <c r="S2337" i="1"/>
  <c r="L2337" i="1"/>
  <c r="K2337" i="1"/>
  <c r="J2337" i="1"/>
  <c r="H2337" i="1"/>
  <c r="G2337" i="1"/>
  <c r="F2337" i="1"/>
  <c r="D2337" i="1"/>
  <c r="B2337" i="1"/>
  <c r="S2336" i="1"/>
  <c r="Q2336" i="1"/>
  <c r="L2336" i="1"/>
  <c r="K2336" i="1"/>
  <c r="J2336" i="1"/>
  <c r="I2336" i="1"/>
  <c r="H2336" i="1"/>
  <c r="G2336" i="1"/>
  <c r="F2336" i="1"/>
  <c r="D2336" i="1"/>
  <c r="B2336" i="1"/>
  <c r="S2335" i="1"/>
  <c r="L2335" i="1"/>
  <c r="K2335" i="1"/>
  <c r="J2335" i="1"/>
  <c r="I2335" i="1"/>
  <c r="H2335" i="1"/>
  <c r="G2335" i="1"/>
  <c r="F2335" i="1"/>
  <c r="D2335" i="1"/>
  <c r="B2335" i="1"/>
  <c r="S2334" i="1"/>
  <c r="Q2334" i="1"/>
  <c r="L2334" i="1"/>
  <c r="K2334" i="1"/>
  <c r="J2334" i="1"/>
  <c r="I2334" i="1"/>
  <c r="H2334" i="1"/>
  <c r="G2334" i="1"/>
  <c r="F2334" i="1"/>
  <c r="D2334" i="1"/>
  <c r="B2334" i="1"/>
  <c r="S2333" i="1"/>
  <c r="L2333" i="1"/>
  <c r="K2333" i="1"/>
  <c r="J2333" i="1"/>
  <c r="I2333" i="1"/>
  <c r="H2333" i="1"/>
  <c r="G2333" i="1"/>
  <c r="F2333" i="1"/>
  <c r="D2333" i="1"/>
  <c r="B2333" i="1"/>
  <c r="S2332" i="1"/>
  <c r="Q2332" i="1"/>
  <c r="L2332" i="1"/>
  <c r="K2332" i="1"/>
  <c r="J2332" i="1"/>
  <c r="I2332" i="1"/>
  <c r="H2332" i="1"/>
  <c r="G2332" i="1"/>
  <c r="F2332" i="1"/>
  <c r="D2332" i="1"/>
  <c r="B2332" i="1"/>
  <c r="S2331" i="1"/>
  <c r="L2331" i="1"/>
  <c r="K2331" i="1"/>
  <c r="J2331" i="1"/>
  <c r="I2331" i="1"/>
  <c r="H2331" i="1"/>
  <c r="G2331" i="1"/>
  <c r="F2331" i="1"/>
  <c r="D2331" i="1"/>
  <c r="B2331" i="1"/>
  <c r="S2330" i="1"/>
  <c r="L2330" i="1"/>
  <c r="K2330" i="1"/>
  <c r="J2330" i="1"/>
  <c r="H2330" i="1"/>
  <c r="G2330" i="1"/>
  <c r="F2330" i="1"/>
  <c r="D2330" i="1"/>
  <c r="B2330" i="1"/>
  <c r="S2329" i="1"/>
  <c r="L2329" i="1"/>
  <c r="K2329" i="1"/>
  <c r="J2329" i="1"/>
  <c r="H2329" i="1"/>
  <c r="G2329" i="1"/>
  <c r="F2329" i="1"/>
  <c r="D2329" i="1"/>
  <c r="B2329" i="1"/>
  <c r="S2328" i="1"/>
  <c r="L2328" i="1"/>
  <c r="K2328" i="1"/>
  <c r="J2328" i="1"/>
  <c r="H2328" i="1"/>
  <c r="G2328" i="1"/>
  <c r="F2328" i="1"/>
  <c r="D2328" i="1"/>
  <c r="B2328" i="1"/>
  <c r="S2327" i="1"/>
  <c r="L2327" i="1"/>
  <c r="K2327" i="1"/>
  <c r="J2327" i="1"/>
  <c r="H2327" i="1"/>
  <c r="G2327" i="1"/>
  <c r="F2327" i="1"/>
  <c r="D2327" i="1"/>
  <c r="B2327" i="1"/>
  <c r="S2326" i="1"/>
  <c r="L2326" i="1"/>
  <c r="K2326" i="1"/>
  <c r="J2326" i="1"/>
  <c r="H2326" i="1"/>
  <c r="G2326" i="1"/>
  <c r="F2326" i="1"/>
  <c r="D2326" i="1"/>
  <c r="B2326" i="1"/>
  <c r="S2325" i="1"/>
  <c r="L2325" i="1"/>
  <c r="K2325" i="1"/>
  <c r="J2325" i="1"/>
  <c r="H2325" i="1"/>
  <c r="G2325" i="1"/>
  <c r="F2325" i="1"/>
  <c r="D2325" i="1"/>
  <c r="B2325" i="1"/>
  <c r="S2324" i="1"/>
  <c r="L2324" i="1"/>
  <c r="K2324" i="1"/>
  <c r="J2324" i="1"/>
  <c r="H2324" i="1"/>
  <c r="G2324" i="1"/>
  <c r="F2324" i="1"/>
  <c r="D2324" i="1"/>
  <c r="B2324" i="1"/>
  <c r="S2323" i="1"/>
  <c r="L2323" i="1"/>
  <c r="K2323" i="1"/>
  <c r="J2323" i="1"/>
  <c r="H2323" i="1"/>
  <c r="G2323" i="1"/>
  <c r="F2323" i="1"/>
  <c r="D2323" i="1"/>
  <c r="B2323" i="1"/>
  <c r="S2322" i="1"/>
  <c r="Q2322" i="1"/>
  <c r="L2322" i="1"/>
  <c r="K2322" i="1"/>
  <c r="J2322" i="1"/>
  <c r="H2322" i="1"/>
  <c r="G2322" i="1"/>
  <c r="F2322" i="1"/>
  <c r="D2322" i="1"/>
  <c r="B2322" i="1"/>
  <c r="S2321" i="1"/>
  <c r="Q2321" i="1"/>
  <c r="L2321" i="1"/>
  <c r="K2321" i="1"/>
  <c r="J2321" i="1"/>
  <c r="H2321" i="1"/>
  <c r="G2321" i="1"/>
  <c r="F2321" i="1"/>
  <c r="D2321" i="1"/>
  <c r="B2321" i="1"/>
  <c r="S2320" i="1"/>
  <c r="L2320" i="1"/>
  <c r="K2320" i="1"/>
  <c r="J2320" i="1"/>
  <c r="H2320" i="1"/>
  <c r="G2320" i="1"/>
  <c r="F2320" i="1"/>
  <c r="D2320" i="1"/>
  <c r="B2320" i="1"/>
  <c r="S2319" i="1"/>
  <c r="L2319" i="1"/>
  <c r="K2319" i="1"/>
  <c r="J2319" i="1"/>
  <c r="H2319" i="1"/>
  <c r="G2319" i="1"/>
  <c r="F2319" i="1"/>
  <c r="D2319" i="1"/>
  <c r="B2319" i="1"/>
  <c r="S2318" i="1"/>
  <c r="L2318" i="1"/>
  <c r="K2318" i="1"/>
  <c r="J2318" i="1"/>
  <c r="H2318" i="1"/>
  <c r="G2318" i="1"/>
  <c r="F2318" i="1"/>
  <c r="D2318" i="1"/>
  <c r="B2318" i="1"/>
  <c r="S2317" i="1"/>
  <c r="L2317" i="1"/>
  <c r="K2317" i="1"/>
  <c r="J2317" i="1"/>
  <c r="H2317" i="1"/>
  <c r="G2317" i="1"/>
  <c r="F2317" i="1"/>
  <c r="D2317" i="1"/>
  <c r="B2317" i="1"/>
  <c r="S2316" i="1"/>
  <c r="L2316" i="1"/>
  <c r="K2316" i="1"/>
  <c r="J2316" i="1"/>
  <c r="H2316" i="1"/>
  <c r="G2316" i="1"/>
  <c r="F2316" i="1"/>
  <c r="D2316" i="1"/>
  <c r="B2316" i="1"/>
  <c r="S2315" i="1"/>
  <c r="L2315" i="1"/>
  <c r="K2315" i="1"/>
  <c r="J2315" i="1"/>
  <c r="H2315" i="1"/>
  <c r="G2315" i="1"/>
  <c r="F2315" i="1"/>
  <c r="D2315" i="1"/>
  <c r="B2315" i="1"/>
  <c r="S2314" i="1"/>
  <c r="L2314" i="1"/>
  <c r="K2314" i="1"/>
  <c r="J2314" i="1"/>
  <c r="H2314" i="1"/>
  <c r="G2314" i="1"/>
  <c r="F2314" i="1"/>
  <c r="D2314" i="1"/>
  <c r="B2314" i="1"/>
  <c r="S2313" i="1"/>
  <c r="L2313" i="1"/>
  <c r="K2313" i="1"/>
  <c r="J2313" i="1"/>
  <c r="H2313" i="1"/>
  <c r="G2313" i="1"/>
  <c r="F2313" i="1"/>
  <c r="D2313" i="1"/>
  <c r="B2313" i="1"/>
  <c r="S2312" i="1"/>
  <c r="L2312" i="1"/>
  <c r="K2312" i="1"/>
  <c r="J2312" i="1"/>
  <c r="H2312" i="1"/>
  <c r="G2312" i="1"/>
  <c r="F2312" i="1"/>
  <c r="D2312" i="1"/>
  <c r="B2312" i="1"/>
  <c r="S2311" i="1"/>
  <c r="L2311" i="1"/>
  <c r="K2311" i="1"/>
  <c r="J2311" i="1"/>
  <c r="H2311" i="1"/>
  <c r="G2311" i="1"/>
  <c r="F2311" i="1"/>
  <c r="D2311" i="1"/>
  <c r="B2311" i="1"/>
  <c r="S2310" i="1"/>
  <c r="L2310" i="1"/>
  <c r="K2310" i="1"/>
  <c r="J2310" i="1"/>
  <c r="H2310" i="1"/>
  <c r="G2310" i="1"/>
  <c r="F2310" i="1"/>
  <c r="D2310" i="1"/>
  <c r="B2310" i="1"/>
  <c r="S2309" i="1"/>
  <c r="L2309" i="1"/>
  <c r="K2309" i="1"/>
  <c r="J2309" i="1"/>
  <c r="H2309" i="1"/>
  <c r="G2309" i="1"/>
  <c r="F2309" i="1"/>
  <c r="D2309" i="1"/>
  <c r="B2309" i="1"/>
  <c r="S2308" i="1"/>
  <c r="L2308" i="1"/>
  <c r="K2308" i="1"/>
  <c r="J2308" i="1"/>
  <c r="H2308" i="1"/>
  <c r="G2308" i="1"/>
  <c r="F2308" i="1"/>
  <c r="D2308" i="1"/>
  <c r="B2308" i="1"/>
  <c r="S2307" i="1"/>
  <c r="L2307" i="1"/>
  <c r="K2307" i="1"/>
  <c r="J2307" i="1"/>
  <c r="H2307" i="1"/>
  <c r="G2307" i="1"/>
  <c r="F2307" i="1"/>
  <c r="D2307" i="1"/>
  <c r="B2307" i="1"/>
  <c r="S2306" i="1"/>
  <c r="L2306" i="1"/>
  <c r="K2306" i="1"/>
  <c r="J2306" i="1"/>
  <c r="H2306" i="1"/>
  <c r="G2306" i="1"/>
  <c r="F2306" i="1"/>
  <c r="D2306" i="1"/>
  <c r="B2306" i="1"/>
  <c r="S2305" i="1"/>
  <c r="Q2305" i="1"/>
  <c r="L2305" i="1"/>
  <c r="K2305" i="1"/>
  <c r="J2305" i="1"/>
  <c r="H2305" i="1"/>
  <c r="G2305" i="1"/>
  <c r="F2305" i="1"/>
  <c r="D2305" i="1"/>
  <c r="B2305" i="1"/>
  <c r="S2304" i="1"/>
  <c r="L2304" i="1"/>
  <c r="K2304" i="1"/>
  <c r="J2304" i="1"/>
  <c r="H2304" i="1"/>
  <c r="G2304" i="1"/>
  <c r="F2304" i="1"/>
  <c r="D2304" i="1"/>
  <c r="B2304" i="1"/>
  <c r="S2303" i="1"/>
  <c r="L2303" i="1"/>
  <c r="K2303" i="1"/>
  <c r="J2303" i="1"/>
  <c r="H2303" i="1"/>
  <c r="G2303" i="1"/>
  <c r="F2303" i="1"/>
  <c r="D2303" i="1"/>
  <c r="B2303" i="1"/>
  <c r="S2302" i="1"/>
  <c r="Q2302" i="1"/>
  <c r="L2302" i="1"/>
  <c r="K2302" i="1"/>
  <c r="J2302" i="1"/>
  <c r="H2302" i="1"/>
  <c r="G2302" i="1"/>
  <c r="F2302" i="1"/>
  <c r="D2302" i="1"/>
  <c r="B2302" i="1"/>
  <c r="S2301" i="1"/>
  <c r="L2301" i="1"/>
  <c r="K2301" i="1"/>
  <c r="J2301" i="1"/>
  <c r="H2301" i="1"/>
  <c r="G2301" i="1"/>
  <c r="F2301" i="1"/>
  <c r="D2301" i="1"/>
  <c r="B2301" i="1"/>
  <c r="S2300" i="1"/>
  <c r="L2300" i="1"/>
  <c r="K2300" i="1"/>
  <c r="J2300" i="1"/>
  <c r="H2300" i="1"/>
  <c r="G2300" i="1"/>
  <c r="F2300" i="1"/>
  <c r="D2300" i="1"/>
  <c r="B2300" i="1"/>
  <c r="S2299" i="1"/>
  <c r="L2299" i="1"/>
  <c r="K2299" i="1"/>
  <c r="J2299" i="1"/>
  <c r="H2299" i="1"/>
  <c r="G2299" i="1"/>
  <c r="F2299" i="1"/>
  <c r="D2299" i="1"/>
  <c r="B2299" i="1"/>
  <c r="S2298" i="1"/>
  <c r="Q2298" i="1"/>
  <c r="L2298" i="1"/>
  <c r="K2298" i="1"/>
  <c r="J2298" i="1"/>
  <c r="H2298" i="1"/>
  <c r="G2298" i="1"/>
  <c r="F2298" i="1"/>
  <c r="D2298" i="1"/>
  <c r="B2298" i="1"/>
  <c r="S2297" i="1"/>
  <c r="Q2297" i="1"/>
  <c r="L2297" i="1"/>
  <c r="K2297" i="1"/>
  <c r="J2297" i="1"/>
  <c r="H2297" i="1"/>
  <c r="G2297" i="1"/>
  <c r="F2297" i="1"/>
  <c r="D2297" i="1"/>
  <c r="B2297" i="1"/>
  <c r="S2296" i="1"/>
  <c r="Q2296" i="1"/>
  <c r="L2296" i="1"/>
  <c r="K2296" i="1"/>
  <c r="J2296" i="1"/>
  <c r="H2296" i="1"/>
  <c r="G2296" i="1"/>
  <c r="F2296" i="1"/>
  <c r="D2296" i="1"/>
  <c r="B2296" i="1"/>
  <c r="S2295" i="1"/>
  <c r="Q2295" i="1"/>
  <c r="L2295" i="1"/>
  <c r="K2295" i="1"/>
  <c r="J2295" i="1"/>
  <c r="H2295" i="1"/>
  <c r="G2295" i="1"/>
  <c r="F2295" i="1"/>
  <c r="D2295" i="1"/>
  <c r="B2295" i="1"/>
  <c r="S2294" i="1"/>
  <c r="L2294" i="1"/>
  <c r="K2294" i="1"/>
  <c r="J2294" i="1"/>
  <c r="H2294" i="1"/>
  <c r="G2294" i="1"/>
  <c r="F2294" i="1"/>
  <c r="D2294" i="1"/>
  <c r="B2294" i="1"/>
  <c r="S2293" i="1"/>
  <c r="Q2293" i="1"/>
  <c r="L2293" i="1"/>
  <c r="K2293" i="1"/>
  <c r="J2293" i="1"/>
  <c r="H2293" i="1"/>
  <c r="G2293" i="1"/>
  <c r="F2293" i="1"/>
  <c r="D2293" i="1"/>
  <c r="B2293" i="1"/>
  <c r="S2292" i="1"/>
  <c r="Q2292" i="1"/>
  <c r="L2292" i="1"/>
  <c r="K2292" i="1"/>
  <c r="J2292" i="1"/>
  <c r="H2292" i="1"/>
  <c r="G2292" i="1"/>
  <c r="F2292" i="1"/>
  <c r="D2292" i="1"/>
  <c r="B2292" i="1"/>
  <c r="S2291" i="1"/>
  <c r="L2291" i="1"/>
  <c r="K2291" i="1"/>
  <c r="J2291" i="1"/>
  <c r="H2291" i="1"/>
  <c r="G2291" i="1"/>
  <c r="F2291" i="1"/>
  <c r="D2291" i="1"/>
  <c r="B2291" i="1"/>
  <c r="S2290" i="1"/>
  <c r="Q2290" i="1"/>
  <c r="L2290" i="1"/>
  <c r="K2290" i="1"/>
  <c r="J2290" i="1"/>
  <c r="H2290" i="1"/>
  <c r="G2290" i="1"/>
  <c r="F2290" i="1"/>
  <c r="D2290" i="1"/>
  <c r="B2290" i="1"/>
  <c r="S2289" i="1"/>
  <c r="Q2289" i="1"/>
  <c r="L2289" i="1"/>
  <c r="K2289" i="1"/>
  <c r="J2289" i="1"/>
  <c r="H2289" i="1"/>
  <c r="G2289" i="1"/>
  <c r="F2289" i="1"/>
  <c r="D2289" i="1"/>
  <c r="B2289" i="1"/>
  <c r="S2288" i="1"/>
  <c r="Q2288" i="1"/>
  <c r="L2288" i="1"/>
  <c r="K2288" i="1"/>
  <c r="J2288" i="1"/>
  <c r="H2288" i="1"/>
  <c r="G2288" i="1"/>
  <c r="F2288" i="1"/>
  <c r="D2288" i="1"/>
  <c r="B2288" i="1"/>
  <c r="S2287" i="1"/>
  <c r="Q2287" i="1"/>
  <c r="L2287" i="1"/>
  <c r="K2287" i="1"/>
  <c r="J2287" i="1"/>
  <c r="H2287" i="1"/>
  <c r="G2287" i="1"/>
  <c r="F2287" i="1"/>
  <c r="D2287" i="1"/>
  <c r="B2287" i="1"/>
  <c r="S2286" i="1"/>
  <c r="Q2286" i="1"/>
  <c r="L2286" i="1"/>
  <c r="K2286" i="1"/>
  <c r="J2286" i="1"/>
  <c r="H2286" i="1"/>
  <c r="G2286" i="1"/>
  <c r="F2286" i="1"/>
  <c r="D2286" i="1"/>
  <c r="B2286" i="1"/>
  <c r="S2285" i="1"/>
  <c r="L2285" i="1"/>
  <c r="K2285" i="1"/>
  <c r="J2285" i="1"/>
  <c r="H2285" i="1"/>
  <c r="G2285" i="1"/>
  <c r="F2285" i="1"/>
  <c r="D2285" i="1"/>
  <c r="B2285" i="1"/>
  <c r="S2284" i="1"/>
  <c r="Q2284" i="1"/>
  <c r="L2284" i="1"/>
  <c r="K2284" i="1"/>
  <c r="J2284" i="1"/>
  <c r="H2284" i="1"/>
  <c r="G2284" i="1"/>
  <c r="F2284" i="1"/>
  <c r="D2284" i="1"/>
  <c r="B2284" i="1"/>
  <c r="S2283" i="1"/>
  <c r="Q2283" i="1"/>
  <c r="L2283" i="1"/>
  <c r="K2283" i="1"/>
  <c r="J2283" i="1"/>
  <c r="H2283" i="1"/>
  <c r="G2283" i="1"/>
  <c r="F2283" i="1"/>
  <c r="D2283" i="1"/>
  <c r="B2283" i="1"/>
  <c r="S2282" i="1"/>
  <c r="L2282" i="1"/>
  <c r="K2282" i="1"/>
  <c r="J2282" i="1"/>
  <c r="H2282" i="1"/>
  <c r="G2282" i="1"/>
  <c r="F2282" i="1"/>
  <c r="D2282" i="1"/>
  <c r="B2282" i="1"/>
  <c r="S2281" i="1"/>
  <c r="L2281" i="1"/>
  <c r="K2281" i="1"/>
  <c r="J2281" i="1"/>
  <c r="H2281" i="1"/>
  <c r="G2281" i="1"/>
  <c r="F2281" i="1"/>
  <c r="D2281" i="1"/>
  <c r="B2281" i="1"/>
  <c r="S2280" i="1"/>
  <c r="L2280" i="1"/>
  <c r="K2280" i="1"/>
  <c r="J2280" i="1"/>
  <c r="H2280" i="1"/>
  <c r="G2280" i="1"/>
  <c r="F2280" i="1"/>
  <c r="D2280" i="1"/>
  <c r="B2280" i="1"/>
  <c r="S2279" i="1"/>
  <c r="L2279" i="1"/>
  <c r="K2279" i="1"/>
  <c r="J2279" i="1"/>
  <c r="H2279" i="1"/>
  <c r="G2279" i="1"/>
  <c r="F2279" i="1"/>
  <c r="D2279" i="1"/>
  <c r="B2279" i="1"/>
  <c r="S2278" i="1"/>
  <c r="L2278" i="1"/>
  <c r="K2278" i="1"/>
  <c r="J2278" i="1"/>
  <c r="H2278" i="1"/>
  <c r="G2278" i="1"/>
  <c r="F2278" i="1"/>
  <c r="D2278" i="1"/>
  <c r="B2278" i="1"/>
  <c r="S2277" i="1"/>
  <c r="L2277" i="1"/>
  <c r="K2277" i="1"/>
  <c r="J2277" i="1"/>
  <c r="H2277" i="1"/>
  <c r="G2277" i="1"/>
  <c r="F2277" i="1"/>
  <c r="D2277" i="1"/>
  <c r="B2277" i="1"/>
  <c r="S2276" i="1"/>
  <c r="L2276" i="1"/>
  <c r="K2276" i="1"/>
  <c r="J2276" i="1"/>
  <c r="H2276" i="1"/>
  <c r="G2276" i="1"/>
  <c r="F2276" i="1"/>
  <c r="D2276" i="1"/>
  <c r="B2276" i="1"/>
  <c r="S2275" i="1"/>
  <c r="L2275" i="1"/>
  <c r="K2275" i="1"/>
  <c r="J2275" i="1"/>
  <c r="H2275" i="1"/>
  <c r="G2275" i="1"/>
  <c r="F2275" i="1"/>
  <c r="D2275" i="1"/>
  <c r="B2275" i="1"/>
  <c r="S2274" i="1"/>
  <c r="Q2274" i="1"/>
  <c r="L2274" i="1"/>
  <c r="K2274" i="1"/>
  <c r="J2274" i="1"/>
  <c r="H2274" i="1"/>
  <c r="G2274" i="1"/>
  <c r="F2274" i="1"/>
  <c r="D2274" i="1"/>
  <c r="B2274" i="1"/>
  <c r="S2273" i="1"/>
  <c r="L2273" i="1"/>
  <c r="K2273" i="1"/>
  <c r="J2273" i="1"/>
  <c r="H2273" i="1"/>
  <c r="G2273" i="1"/>
  <c r="F2273" i="1"/>
  <c r="D2273" i="1"/>
  <c r="B2273" i="1"/>
  <c r="S2272" i="1"/>
  <c r="Q2272" i="1"/>
  <c r="L2272" i="1"/>
  <c r="K2272" i="1"/>
  <c r="J2272" i="1"/>
  <c r="I2272" i="1"/>
  <c r="H2272" i="1"/>
  <c r="G2272" i="1"/>
  <c r="F2272" i="1"/>
  <c r="D2272" i="1"/>
  <c r="B2272" i="1"/>
  <c r="S2271" i="1"/>
  <c r="Q2271" i="1"/>
  <c r="L2271" i="1"/>
  <c r="K2271" i="1"/>
  <c r="J2271" i="1"/>
  <c r="I2271" i="1"/>
  <c r="H2271" i="1"/>
  <c r="G2271" i="1"/>
  <c r="F2271" i="1"/>
  <c r="D2271" i="1"/>
  <c r="B2271" i="1"/>
  <c r="S2270" i="1"/>
  <c r="L2270" i="1"/>
  <c r="K2270" i="1"/>
  <c r="J2270" i="1"/>
  <c r="H2270" i="1"/>
  <c r="G2270" i="1"/>
  <c r="F2270" i="1"/>
  <c r="D2270" i="1"/>
  <c r="B2270" i="1"/>
  <c r="S2269" i="1"/>
  <c r="Q2269" i="1"/>
  <c r="L2269" i="1"/>
  <c r="K2269" i="1"/>
  <c r="J2269" i="1"/>
  <c r="I2269" i="1"/>
  <c r="H2269" i="1"/>
  <c r="G2269" i="1"/>
  <c r="F2269" i="1"/>
  <c r="D2269" i="1"/>
  <c r="B2269" i="1"/>
  <c r="S2268" i="1"/>
  <c r="L2268" i="1"/>
  <c r="K2268" i="1"/>
  <c r="J2268" i="1"/>
  <c r="H2268" i="1"/>
  <c r="G2268" i="1"/>
  <c r="F2268" i="1"/>
  <c r="D2268" i="1"/>
  <c r="B2268" i="1"/>
  <c r="S2267" i="1"/>
  <c r="L2267" i="1"/>
  <c r="K2267" i="1"/>
  <c r="J2267" i="1"/>
  <c r="H2267" i="1"/>
  <c r="G2267" i="1"/>
  <c r="F2267" i="1"/>
  <c r="D2267" i="1"/>
  <c r="B2267" i="1"/>
  <c r="S2266" i="1"/>
  <c r="L2266" i="1"/>
  <c r="K2266" i="1"/>
  <c r="J2266" i="1"/>
  <c r="H2266" i="1"/>
  <c r="G2266" i="1"/>
  <c r="F2266" i="1"/>
  <c r="D2266" i="1"/>
  <c r="B2266" i="1"/>
  <c r="S2265" i="1"/>
  <c r="L2265" i="1"/>
  <c r="K2265" i="1"/>
  <c r="J2265" i="1"/>
  <c r="H2265" i="1"/>
  <c r="G2265" i="1"/>
  <c r="F2265" i="1"/>
  <c r="D2265" i="1"/>
  <c r="B2265" i="1"/>
  <c r="S2264" i="1"/>
  <c r="L2264" i="1"/>
  <c r="K2264" i="1"/>
  <c r="J2264" i="1"/>
  <c r="H2264" i="1"/>
  <c r="G2264" i="1"/>
  <c r="F2264" i="1"/>
  <c r="D2264" i="1"/>
  <c r="B2264" i="1"/>
  <c r="S2263" i="1"/>
  <c r="L2263" i="1"/>
  <c r="K2263" i="1"/>
  <c r="J2263" i="1"/>
  <c r="H2263" i="1"/>
  <c r="G2263" i="1"/>
  <c r="F2263" i="1"/>
  <c r="D2263" i="1"/>
  <c r="B2263" i="1"/>
  <c r="S2262" i="1"/>
  <c r="L2262" i="1"/>
  <c r="K2262" i="1"/>
  <c r="J2262" i="1"/>
  <c r="H2262" i="1"/>
  <c r="G2262" i="1"/>
  <c r="F2262" i="1"/>
  <c r="D2262" i="1"/>
  <c r="B2262" i="1"/>
  <c r="S2261" i="1"/>
  <c r="L2261" i="1"/>
  <c r="K2261" i="1"/>
  <c r="J2261" i="1"/>
  <c r="H2261" i="1"/>
  <c r="G2261" i="1"/>
  <c r="F2261" i="1"/>
  <c r="D2261" i="1"/>
  <c r="B2261" i="1"/>
  <c r="S2260" i="1"/>
  <c r="L2260" i="1"/>
  <c r="K2260" i="1"/>
  <c r="J2260" i="1"/>
  <c r="I2260" i="1"/>
  <c r="H2260" i="1"/>
  <c r="F2260" i="1"/>
  <c r="D2260" i="1"/>
  <c r="B2260" i="1"/>
  <c r="S2259" i="1"/>
  <c r="L2259" i="1"/>
  <c r="K2259" i="1"/>
  <c r="J2259" i="1"/>
  <c r="H2259" i="1"/>
  <c r="G2259" i="1"/>
  <c r="F2259" i="1"/>
  <c r="D2259" i="1"/>
  <c r="B2259" i="1"/>
  <c r="S2258" i="1"/>
  <c r="L2258" i="1"/>
  <c r="K2258" i="1"/>
  <c r="J2258" i="1"/>
  <c r="H2258" i="1"/>
  <c r="G2258" i="1"/>
  <c r="F2258" i="1"/>
  <c r="D2258" i="1"/>
  <c r="B2258" i="1"/>
  <c r="S2257" i="1"/>
  <c r="L2257" i="1"/>
  <c r="K2257" i="1"/>
  <c r="J2257" i="1"/>
  <c r="H2257" i="1"/>
  <c r="G2257" i="1"/>
  <c r="F2257" i="1"/>
  <c r="D2257" i="1"/>
  <c r="B2257" i="1"/>
  <c r="S2256" i="1"/>
  <c r="L2256" i="1"/>
  <c r="K2256" i="1"/>
  <c r="J2256" i="1"/>
  <c r="H2256" i="1"/>
  <c r="G2256" i="1"/>
  <c r="F2256" i="1"/>
  <c r="D2256" i="1"/>
  <c r="B2256" i="1"/>
  <c r="S2255" i="1"/>
  <c r="L2255" i="1"/>
  <c r="K2255" i="1"/>
  <c r="J2255" i="1"/>
  <c r="H2255" i="1"/>
  <c r="G2255" i="1"/>
  <c r="F2255" i="1"/>
  <c r="D2255" i="1"/>
  <c r="B2255" i="1"/>
  <c r="S2254" i="1"/>
  <c r="Q2254" i="1"/>
  <c r="L2254" i="1"/>
  <c r="K2254" i="1"/>
  <c r="J2254" i="1"/>
  <c r="H2254" i="1"/>
  <c r="G2254" i="1"/>
  <c r="F2254" i="1"/>
  <c r="D2254" i="1"/>
  <c r="B2254" i="1"/>
  <c r="S2253" i="1"/>
  <c r="L2253" i="1"/>
  <c r="K2253" i="1"/>
  <c r="J2253" i="1"/>
  <c r="H2253" i="1"/>
  <c r="G2253" i="1"/>
  <c r="F2253" i="1"/>
  <c r="D2253" i="1"/>
  <c r="B2253" i="1"/>
  <c r="S2252" i="1"/>
  <c r="L2252" i="1"/>
  <c r="K2252" i="1"/>
  <c r="J2252" i="1"/>
  <c r="H2252" i="1"/>
  <c r="G2252" i="1"/>
  <c r="F2252" i="1"/>
  <c r="D2252" i="1"/>
  <c r="B2252" i="1"/>
  <c r="S2251" i="1"/>
  <c r="L2251" i="1"/>
  <c r="K2251" i="1"/>
  <c r="J2251" i="1"/>
  <c r="H2251" i="1"/>
  <c r="G2251" i="1"/>
  <c r="F2251" i="1"/>
  <c r="D2251" i="1"/>
  <c r="B2251" i="1"/>
  <c r="S2250" i="1"/>
  <c r="L2250" i="1"/>
  <c r="K2250" i="1"/>
  <c r="J2250" i="1"/>
  <c r="H2250" i="1"/>
  <c r="G2250" i="1"/>
  <c r="F2250" i="1"/>
  <c r="D2250" i="1"/>
  <c r="B2250" i="1"/>
  <c r="S2249" i="1"/>
  <c r="L2249" i="1"/>
  <c r="K2249" i="1"/>
  <c r="J2249" i="1"/>
  <c r="H2249" i="1"/>
  <c r="G2249" i="1"/>
  <c r="F2249" i="1"/>
  <c r="D2249" i="1"/>
  <c r="B2249" i="1"/>
  <c r="S2248" i="1"/>
  <c r="Q2248" i="1"/>
  <c r="L2248" i="1"/>
  <c r="K2248" i="1"/>
  <c r="J2248" i="1"/>
  <c r="I2248" i="1"/>
  <c r="H2248" i="1"/>
  <c r="G2248" i="1"/>
  <c r="F2248" i="1"/>
  <c r="D2248" i="1"/>
  <c r="B2248" i="1"/>
  <c r="S2247" i="1"/>
  <c r="L2247" i="1"/>
  <c r="K2247" i="1"/>
  <c r="J2247" i="1"/>
  <c r="H2247" i="1"/>
  <c r="G2247" i="1"/>
  <c r="F2247" i="1"/>
  <c r="D2247" i="1"/>
  <c r="B2247" i="1"/>
  <c r="S2246" i="1"/>
  <c r="L2246" i="1"/>
  <c r="K2246" i="1"/>
  <c r="J2246" i="1"/>
  <c r="H2246" i="1"/>
  <c r="G2246" i="1"/>
  <c r="F2246" i="1"/>
  <c r="D2246" i="1"/>
  <c r="B2246" i="1"/>
  <c r="S2245" i="1"/>
  <c r="L2245" i="1"/>
  <c r="K2245" i="1"/>
  <c r="J2245" i="1"/>
  <c r="H2245" i="1"/>
  <c r="G2245" i="1"/>
  <c r="F2245" i="1"/>
  <c r="D2245" i="1"/>
  <c r="B2245" i="1"/>
  <c r="S2244" i="1"/>
  <c r="L2244" i="1"/>
  <c r="K2244" i="1"/>
  <c r="J2244" i="1"/>
  <c r="H2244" i="1"/>
  <c r="G2244" i="1"/>
  <c r="F2244" i="1"/>
  <c r="D2244" i="1"/>
  <c r="B2244" i="1"/>
  <c r="S2243" i="1"/>
  <c r="Q2243" i="1"/>
  <c r="L2243" i="1"/>
  <c r="K2243" i="1"/>
  <c r="J2243" i="1"/>
  <c r="H2243" i="1"/>
  <c r="G2243" i="1"/>
  <c r="F2243" i="1"/>
  <c r="D2243" i="1"/>
  <c r="B2243" i="1"/>
  <c r="S2242" i="1"/>
  <c r="Q2242" i="1"/>
  <c r="L2242" i="1"/>
  <c r="K2242" i="1"/>
  <c r="J2242" i="1"/>
  <c r="H2242" i="1"/>
  <c r="G2242" i="1"/>
  <c r="F2242" i="1"/>
  <c r="D2242" i="1"/>
  <c r="B2242" i="1"/>
  <c r="S2241" i="1"/>
  <c r="Q2241" i="1"/>
  <c r="L2241" i="1"/>
  <c r="K2241" i="1"/>
  <c r="J2241" i="1"/>
  <c r="H2241" i="1"/>
  <c r="G2241" i="1"/>
  <c r="F2241" i="1"/>
  <c r="D2241" i="1"/>
  <c r="B2241" i="1"/>
  <c r="S2240" i="1"/>
  <c r="Q2240" i="1"/>
  <c r="L2240" i="1"/>
  <c r="K2240" i="1"/>
  <c r="J2240" i="1"/>
  <c r="H2240" i="1"/>
  <c r="G2240" i="1"/>
  <c r="F2240" i="1"/>
  <c r="D2240" i="1"/>
  <c r="B2240" i="1"/>
  <c r="S2239" i="1"/>
  <c r="Q2239" i="1"/>
  <c r="L2239" i="1"/>
  <c r="K2239" i="1"/>
  <c r="J2239" i="1"/>
  <c r="H2239" i="1"/>
  <c r="G2239" i="1"/>
  <c r="F2239" i="1"/>
  <c r="D2239" i="1"/>
  <c r="B2239" i="1"/>
  <c r="S2238" i="1"/>
  <c r="Q2238" i="1"/>
  <c r="L2238" i="1"/>
  <c r="K2238" i="1"/>
  <c r="J2238" i="1"/>
  <c r="H2238" i="1"/>
  <c r="G2238" i="1"/>
  <c r="F2238" i="1"/>
  <c r="D2238" i="1"/>
  <c r="B2238" i="1"/>
  <c r="S2237" i="1"/>
  <c r="Q2237" i="1"/>
  <c r="L2237" i="1"/>
  <c r="K2237" i="1"/>
  <c r="J2237" i="1"/>
  <c r="H2237" i="1"/>
  <c r="G2237" i="1"/>
  <c r="F2237" i="1"/>
  <c r="D2237" i="1"/>
  <c r="B2237" i="1"/>
  <c r="S2236" i="1"/>
  <c r="L2236" i="1"/>
  <c r="K2236" i="1"/>
  <c r="J2236" i="1"/>
  <c r="H2236" i="1"/>
  <c r="G2236" i="1"/>
  <c r="F2236" i="1"/>
  <c r="D2236" i="1"/>
  <c r="B2236" i="1"/>
  <c r="S2235" i="1"/>
  <c r="Q2235" i="1"/>
  <c r="L2235" i="1"/>
  <c r="K2235" i="1"/>
  <c r="J2235" i="1"/>
  <c r="H2235" i="1"/>
  <c r="G2235" i="1"/>
  <c r="F2235" i="1"/>
  <c r="D2235" i="1"/>
  <c r="B2235" i="1"/>
  <c r="S2234" i="1"/>
  <c r="Q2234" i="1"/>
  <c r="L2234" i="1"/>
  <c r="K2234" i="1"/>
  <c r="J2234" i="1"/>
  <c r="H2234" i="1"/>
  <c r="G2234" i="1"/>
  <c r="F2234" i="1"/>
  <c r="D2234" i="1"/>
  <c r="B2234" i="1"/>
  <c r="S2233" i="1"/>
  <c r="Q2233" i="1"/>
  <c r="L2233" i="1"/>
  <c r="K2233" i="1"/>
  <c r="J2233" i="1"/>
  <c r="H2233" i="1"/>
  <c r="G2233" i="1"/>
  <c r="F2233" i="1"/>
  <c r="D2233" i="1"/>
  <c r="B2233" i="1"/>
  <c r="S2232" i="1"/>
  <c r="Q2232" i="1"/>
  <c r="L2232" i="1"/>
  <c r="K2232" i="1"/>
  <c r="J2232" i="1"/>
  <c r="H2232" i="1"/>
  <c r="G2232" i="1"/>
  <c r="F2232" i="1"/>
  <c r="D2232" i="1"/>
  <c r="B2232" i="1"/>
  <c r="S2231" i="1"/>
  <c r="Q2231" i="1"/>
  <c r="L2231" i="1"/>
  <c r="K2231" i="1"/>
  <c r="J2231" i="1"/>
  <c r="H2231" i="1"/>
  <c r="G2231" i="1"/>
  <c r="F2231" i="1"/>
  <c r="D2231" i="1"/>
  <c r="B2231" i="1"/>
  <c r="S2230" i="1"/>
  <c r="Q2230" i="1"/>
  <c r="L2230" i="1"/>
  <c r="K2230" i="1"/>
  <c r="J2230" i="1"/>
  <c r="H2230" i="1"/>
  <c r="G2230" i="1"/>
  <c r="F2230" i="1"/>
  <c r="D2230" i="1"/>
  <c r="B2230" i="1"/>
  <c r="S2229" i="1"/>
  <c r="L2229" i="1"/>
  <c r="K2229" i="1"/>
  <c r="J2229" i="1"/>
  <c r="H2229" i="1"/>
  <c r="G2229" i="1"/>
  <c r="F2229" i="1"/>
  <c r="D2229" i="1"/>
  <c r="B2229" i="1"/>
  <c r="S2228" i="1"/>
  <c r="L2228" i="1"/>
  <c r="K2228" i="1"/>
  <c r="J2228" i="1"/>
  <c r="H2228" i="1"/>
  <c r="G2228" i="1"/>
  <c r="F2228" i="1"/>
  <c r="D2228" i="1"/>
  <c r="B2228" i="1"/>
  <c r="S2227" i="1"/>
  <c r="Q2227" i="1"/>
  <c r="L2227" i="1"/>
  <c r="K2227" i="1"/>
  <c r="J2227" i="1"/>
  <c r="I2227" i="1"/>
  <c r="H2227" i="1"/>
  <c r="G2227" i="1"/>
  <c r="F2227" i="1"/>
  <c r="D2227" i="1"/>
  <c r="B2227" i="1"/>
  <c r="S2226" i="1"/>
  <c r="L2226" i="1"/>
  <c r="K2226" i="1"/>
  <c r="J2226" i="1"/>
  <c r="H2226" i="1"/>
  <c r="G2226" i="1"/>
  <c r="F2226" i="1"/>
  <c r="D2226" i="1"/>
  <c r="B2226" i="1"/>
  <c r="S2225" i="1"/>
  <c r="L2225" i="1"/>
  <c r="K2225" i="1"/>
  <c r="J2225" i="1"/>
  <c r="H2225" i="1"/>
  <c r="G2225" i="1"/>
  <c r="F2225" i="1"/>
  <c r="D2225" i="1"/>
  <c r="B2225" i="1"/>
  <c r="S2224" i="1"/>
  <c r="L2224" i="1"/>
  <c r="K2224" i="1"/>
  <c r="J2224" i="1"/>
  <c r="H2224" i="1"/>
  <c r="G2224" i="1"/>
  <c r="F2224" i="1"/>
  <c r="D2224" i="1"/>
  <c r="B2224" i="1"/>
  <c r="S2223" i="1"/>
  <c r="L2223" i="1"/>
  <c r="K2223" i="1"/>
  <c r="J2223" i="1"/>
  <c r="H2223" i="1"/>
  <c r="G2223" i="1"/>
  <c r="F2223" i="1"/>
  <c r="D2223" i="1"/>
  <c r="B2223" i="1"/>
  <c r="S2222" i="1"/>
  <c r="Q2222" i="1"/>
  <c r="L2222" i="1"/>
  <c r="K2222" i="1"/>
  <c r="J2222" i="1"/>
  <c r="H2222" i="1"/>
  <c r="G2222" i="1"/>
  <c r="F2222" i="1"/>
  <c r="D2222" i="1"/>
  <c r="B2222" i="1"/>
  <c r="S2221" i="1"/>
  <c r="L2221" i="1"/>
  <c r="K2221" i="1"/>
  <c r="J2221" i="1"/>
  <c r="H2221" i="1"/>
  <c r="G2221" i="1"/>
  <c r="F2221" i="1"/>
  <c r="D2221" i="1"/>
  <c r="B2221" i="1"/>
  <c r="S2220" i="1"/>
  <c r="L2220" i="1"/>
  <c r="K2220" i="1"/>
  <c r="J2220" i="1"/>
  <c r="H2220" i="1"/>
  <c r="G2220" i="1"/>
  <c r="F2220" i="1"/>
  <c r="D2220" i="1"/>
  <c r="B2220" i="1"/>
  <c r="S2219" i="1"/>
  <c r="L2219" i="1"/>
  <c r="K2219" i="1"/>
  <c r="J2219" i="1"/>
  <c r="H2219" i="1"/>
  <c r="G2219" i="1"/>
  <c r="F2219" i="1"/>
  <c r="D2219" i="1"/>
  <c r="B2219" i="1"/>
  <c r="S2218" i="1"/>
  <c r="L2218" i="1"/>
  <c r="K2218" i="1"/>
  <c r="J2218" i="1"/>
  <c r="I2218" i="1"/>
  <c r="H2218" i="1"/>
  <c r="G2218" i="1"/>
  <c r="F2218" i="1"/>
  <c r="D2218" i="1"/>
  <c r="B2218" i="1"/>
  <c r="S2217" i="1"/>
  <c r="Q2217" i="1"/>
  <c r="L2217" i="1"/>
  <c r="K2217" i="1"/>
  <c r="J2217" i="1"/>
  <c r="I2217" i="1"/>
  <c r="H2217" i="1"/>
  <c r="G2217" i="1"/>
  <c r="F2217" i="1"/>
  <c r="E2217" i="1"/>
  <c r="D2217" i="1"/>
  <c r="B2217" i="1"/>
  <c r="S2216" i="1"/>
  <c r="L2216" i="1"/>
  <c r="K2216" i="1"/>
  <c r="J2216" i="1"/>
  <c r="H2216" i="1"/>
  <c r="G2216" i="1"/>
  <c r="F2216" i="1"/>
  <c r="D2216" i="1"/>
  <c r="B2216" i="1"/>
  <c r="S2215" i="1"/>
  <c r="L2215" i="1"/>
  <c r="K2215" i="1"/>
  <c r="J2215" i="1"/>
  <c r="H2215" i="1"/>
  <c r="G2215" i="1"/>
  <c r="F2215" i="1"/>
  <c r="D2215" i="1"/>
  <c r="B2215" i="1"/>
  <c r="S2214" i="1"/>
  <c r="L2214" i="1"/>
  <c r="K2214" i="1"/>
  <c r="J2214" i="1"/>
  <c r="H2214" i="1"/>
  <c r="G2214" i="1"/>
  <c r="F2214" i="1"/>
  <c r="D2214" i="1"/>
  <c r="B2214" i="1"/>
  <c r="S2213" i="1"/>
  <c r="L2213" i="1"/>
  <c r="K2213" i="1"/>
  <c r="J2213" i="1"/>
  <c r="H2213" i="1"/>
  <c r="G2213" i="1"/>
  <c r="F2213" i="1"/>
  <c r="D2213" i="1"/>
  <c r="B2213" i="1"/>
  <c r="S2212" i="1"/>
  <c r="L2212" i="1"/>
  <c r="K2212" i="1"/>
  <c r="J2212" i="1"/>
  <c r="H2212" i="1"/>
  <c r="G2212" i="1"/>
  <c r="F2212" i="1"/>
  <c r="D2212" i="1"/>
  <c r="B2212" i="1"/>
  <c r="S2211" i="1"/>
  <c r="L2211" i="1"/>
  <c r="K2211" i="1"/>
  <c r="J2211" i="1"/>
  <c r="H2211" i="1"/>
  <c r="G2211" i="1"/>
  <c r="F2211" i="1"/>
  <c r="D2211" i="1"/>
  <c r="B2211" i="1"/>
  <c r="S2210" i="1"/>
  <c r="Q2210" i="1"/>
  <c r="L2210" i="1"/>
  <c r="K2210" i="1"/>
  <c r="J2210" i="1"/>
  <c r="H2210" i="1"/>
  <c r="G2210" i="1"/>
  <c r="F2210" i="1"/>
  <c r="D2210" i="1"/>
  <c r="B2210" i="1"/>
  <c r="S2209" i="1"/>
  <c r="L2209" i="1"/>
  <c r="K2209" i="1"/>
  <c r="J2209" i="1"/>
  <c r="H2209" i="1"/>
  <c r="G2209" i="1"/>
  <c r="F2209" i="1"/>
  <c r="D2209" i="1"/>
  <c r="B2209" i="1"/>
  <c r="S2208" i="1"/>
  <c r="L2208" i="1"/>
  <c r="K2208" i="1"/>
  <c r="J2208" i="1"/>
  <c r="H2208" i="1"/>
  <c r="G2208" i="1"/>
  <c r="F2208" i="1"/>
  <c r="D2208" i="1"/>
  <c r="B2208" i="1"/>
  <c r="S2207" i="1"/>
  <c r="L2207" i="1"/>
  <c r="K2207" i="1"/>
  <c r="J2207" i="1"/>
  <c r="H2207" i="1"/>
  <c r="G2207" i="1"/>
  <c r="F2207" i="1"/>
  <c r="D2207" i="1"/>
  <c r="B2207" i="1"/>
  <c r="S2206" i="1"/>
  <c r="Q2206" i="1"/>
  <c r="L2206" i="1"/>
  <c r="K2206" i="1"/>
  <c r="J2206" i="1"/>
  <c r="H2206" i="1"/>
  <c r="G2206" i="1"/>
  <c r="F2206" i="1"/>
  <c r="D2206" i="1"/>
  <c r="B2206" i="1"/>
  <c r="S2205" i="1"/>
  <c r="L2205" i="1"/>
  <c r="K2205" i="1"/>
  <c r="J2205" i="1"/>
  <c r="H2205" i="1"/>
  <c r="G2205" i="1"/>
  <c r="F2205" i="1"/>
  <c r="D2205" i="1"/>
  <c r="B2205" i="1"/>
  <c r="S2204" i="1"/>
  <c r="L2204" i="1"/>
  <c r="K2204" i="1"/>
  <c r="J2204" i="1"/>
  <c r="H2204" i="1"/>
  <c r="G2204" i="1"/>
  <c r="F2204" i="1"/>
  <c r="D2204" i="1"/>
  <c r="B2204" i="1"/>
  <c r="S2203" i="1"/>
  <c r="L2203" i="1"/>
  <c r="K2203" i="1"/>
  <c r="J2203" i="1"/>
  <c r="H2203" i="1"/>
  <c r="G2203" i="1"/>
  <c r="F2203" i="1"/>
  <c r="D2203" i="1"/>
  <c r="B2203" i="1"/>
  <c r="S2202" i="1"/>
  <c r="L2202" i="1"/>
  <c r="K2202" i="1"/>
  <c r="J2202" i="1"/>
  <c r="H2202" i="1"/>
  <c r="G2202" i="1"/>
  <c r="F2202" i="1"/>
  <c r="D2202" i="1"/>
  <c r="B2202" i="1"/>
  <c r="S2201" i="1"/>
  <c r="L2201" i="1"/>
  <c r="K2201" i="1"/>
  <c r="J2201" i="1"/>
  <c r="H2201" i="1"/>
  <c r="G2201" i="1"/>
  <c r="F2201" i="1"/>
  <c r="D2201" i="1"/>
  <c r="B2201" i="1"/>
  <c r="S2200" i="1"/>
  <c r="L2200" i="1"/>
  <c r="K2200" i="1"/>
  <c r="J2200" i="1"/>
  <c r="H2200" i="1"/>
  <c r="G2200" i="1"/>
  <c r="F2200" i="1"/>
  <c r="D2200" i="1"/>
  <c r="B2200" i="1"/>
  <c r="S2199" i="1"/>
  <c r="Q2199" i="1"/>
  <c r="L2199" i="1"/>
  <c r="K2199" i="1"/>
  <c r="J2199" i="1"/>
  <c r="H2199" i="1"/>
  <c r="G2199" i="1"/>
  <c r="F2199" i="1"/>
  <c r="D2199" i="1"/>
  <c r="B2199" i="1"/>
  <c r="S2198" i="1"/>
  <c r="L2198" i="1"/>
  <c r="K2198" i="1"/>
  <c r="J2198" i="1"/>
  <c r="H2198" i="1"/>
  <c r="G2198" i="1"/>
  <c r="F2198" i="1"/>
  <c r="D2198" i="1"/>
  <c r="B2198" i="1"/>
  <c r="S2197" i="1"/>
  <c r="L2197" i="1"/>
  <c r="K2197" i="1"/>
  <c r="J2197" i="1"/>
  <c r="H2197" i="1"/>
  <c r="G2197" i="1"/>
  <c r="F2197" i="1"/>
  <c r="D2197" i="1"/>
  <c r="B2197" i="1"/>
  <c r="S2196" i="1"/>
  <c r="L2196" i="1"/>
  <c r="K2196" i="1"/>
  <c r="J2196" i="1"/>
  <c r="H2196" i="1"/>
  <c r="G2196" i="1"/>
  <c r="F2196" i="1"/>
  <c r="D2196" i="1"/>
  <c r="B2196" i="1"/>
  <c r="S2195" i="1"/>
  <c r="L2195" i="1"/>
  <c r="K2195" i="1"/>
  <c r="J2195" i="1"/>
  <c r="H2195" i="1"/>
  <c r="G2195" i="1"/>
  <c r="F2195" i="1"/>
  <c r="D2195" i="1"/>
  <c r="B2195" i="1"/>
  <c r="S2194" i="1"/>
  <c r="L2194" i="1"/>
  <c r="K2194" i="1"/>
  <c r="J2194" i="1"/>
  <c r="H2194" i="1"/>
  <c r="G2194" i="1"/>
  <c r="F2194" i="1"/>
  <c r="D2194" i="1"/>
  <c r="B2194" i="1"/>
  <c r="S2193" i="1"/>
  <c r="L2193" i="1"/>
  <c r="K2193" i="1"/>
  <c r="J2193" i="1"/>
  <c r="H2193" i="1"/>
  <c r="G2193" i="1"/>
  <c r="F2193" i="1"/>
  <c r="D2193" i="1"/>
  <c r="B2193" i="1"/>
  <c r="S2192" i="1"/>
  <c r="L2192" i="1"/>
  <c r="K2192" i="1"/>
  <c r="J2192" i="1"/>
  <c r="H2192" i="1"/>
  <c r="G2192" i="1"/>
  <c r="F2192" i="1"/>
  <c r="D2192" i="1"/>
  <c r="B2192" i="1"/>
  <c r="S2191" i="1"/>
  <c r="L2191" i="1"/>
  <c r="K2191" i="1"/>
  <c r="J2191" i="1"/>
  <c r="H2191" i="1"/>
  <c r="G2191" i="1"/>
  <c r="F2191" i="1"/>
  <c r="D2191" i="1"/>
  <c r="B2191" i="1"/>
  <c r="S2190" i="1"/>
  <c r="Q2190" i="1"/>
  <c r="L2190" i="1"/>
  <c r="K2190" i="1"/>
  <c r="J2190" i="1"/>
  <c r="H2190" i="1"/>
  <c r="G2190" i="1"/>
  <c r="F2190" i="1"/>
  <c r="D2190" i="1"/>
  <c r="B2190" i="1"/>
  <c r="S2189" i="1"/>
  <c r="Q2189" i="1"/>
  <c r="L2189" i="1"/>
  <c r="K2189" i="1"/>
  <c r="J2189" i="1"/>
  <c r="H2189" i="1"/>
  <c r="G2189" i="1"/>
  <c r="F2189" i="1"/>
  <c r="D2189" i="1"/>
  <c r="B2189" i="1"/>
  <c r="S2188" i="1"/>
  <c r="Q2188" i="1"/>
  <c r="L2188" i="1"/>
  <c r="K2188" i="1"/>
  <c r="J2188" i="1"/>
  <c r="H2188" i="1"/>
  <c r="G2188" i="1"/>
  <c r="F2188" i="1"/>
  <c r="D2188" i="1"/>
  <c r="B2188" i="1"/>
  <c r="S2187" i="1"/>
  <c r="Q2187" i="1"/>
  <c r="L2187" i="1"/>
  <c r="K2187" i="1"/>
  <c r="J2187" i="1"/>
  <c r="H2187" i="1"/>
  <c r="G2187" i="1"/>
  <c r="F2187" i="1"/>
  <c r="D2187" i="1"/>
  <c r="B2187" i="1"/>
  <c r="S2186" i="1"/>
  <c r="Q2186" i="1"/>
  <c r="L2186" i="1"/>
  <c r="K2186" i="1"/>
  <c r="J2186" i="1"/>
  <c r="H2186" i="1"/>
  <c r="G2186" i="1"/>
  <c r="F2186" i="1"/>
  <c r="D2186" i="1"/>
  <c r="B2186" i="1"/>
  <c r="S2185" i="1"/>
  <c r="Q2185" i="1"/>
  <c r="L2185" i="1"/>
  <c r="K2185" i="1"/>
  <c r="J2185" i="1"/>
  <c r="H2185" i="1"/>
  <c r="G2185" i="1"/>
  <c r="F2185" i="1"/>
  <c r="D2185" i="1"/>
  <c r="B2185" i="1"/>
  <c r="S2184" i="1"/>
  <c r="Q2184" i="1"/>
  <c r="L2184" i="1"/>
  <c r="K2184" i="1"/>
  <c r="J2184" i="1"/>
  <c r="H2184" i="1"/>
  <c r="G2184" i="1"/>
  <c r="F2184" i="1"/>
  <c r="D2184" i="1"/>
  <c r="B2184" i="1"/>
  <c r="S2183" i="1"/>
  <c r="Q2183" i="1"/>
  <c r="L2183" i="1"/>
  <c r="K2183" i="1"/>
  <c r="J2183" i="1"/>
  <c r="H2183" i="1"/>
  <c r="G2183" i="1"/>
  <c r="F2183" i="1"/>
  <c r="D2183" i="1"/>
  <c r="B2183" i="1"/>
  <c r="S2182" i="1"/>
  <c r="Q2182" i="1"/>
  <c r="L2182" i="1"/>
  <c r="K2182" i="1"/>
  <c r="J2182" i="1"/>
  <c r="H2182" i="1"/>
  <c r="G2182" i="1"/>
  <c r="F2182" i="1"/>
  <c r="D2182" i="1"/>
  <c r="B2182" i="1"/>
  <c r="S2181" i="1"/>
  <c r="Q2181" i="1"/>
  <c r="L2181" i="1"/>
  <c r="K2181" i="1"/>
  <c r="J2181" i="1"/>
  <c r="H2181" i="1"/>
  <c r="G2181" i="1"/>
  <c r="F2181" i="1"/>
  <c r="D2181" i="1"/>
  <c r="B2181" i="1"/>
  <c r="S2180" i="1"/>
  <c r="Q2180" i="1"/>
  <c r="L2180" i="1"/>
  <c r="K2180" i="1"/>
  <c r="J2180" i="1"/>
  <c r="H2180" i="1"/>
  <c r="G2180" i="1"/>
  <c r="F2180" i="1"/>
  <c r="D2180" i="1"/>
  <c r="B2180" i="1"/>
  <c r="S2179" i="1"/>
  <c r="Q2179" i="1"/>
  <c r="L2179" i="1"/>
  <c r="K2179" i="1"/>
  <c r="J2179" i="1"/>
  <c r="H2179" i="1"/>
  <c r="G2179" i="1"/>
  <c r="F2179" i="1"/>
  <c r="D2179" i="1"/>
  <c r="B2179" i="1"/>
  <c r="S2178" i="1"/>
  <c r="Q2178" i="1"/>
  <c r="L2178" i="1"/>
  <c r="K2178" i="1"/>
  <c r="J2178" i="1"/>
  <c r="H2178" i="1"/>
  <c r="G2178" i="1"/>
  <c r="F2178" i="1"/>
  <c r="D2178" i="1"/>
  <c r="B2178" i="1"/>
  <c r="S2177" i="1"/>
  <c r="L2177" i="1"/>
  <c r="K2177" i="1"/>
  <c r="J2177" i="1"/>
  <c r="H2177" i="1"/>
  <c r="G2177" i="1"/>
  <c r="F2177" i="1"/>
  <c r="D2177" i="1"/>
  <c r="B2177" i="1"/>
  <c r="S2176" i="1"/>
  <c r="Q2176" i="1"/>
  <c r="L2176" i="1"/>
  <c r="K2176" i="1"/>
  <c r="J2176" i="1"/>
  <c r="H2176" i="1"/>
  <c r="G2176" i="1"/>
  <c r="F2176" i="1"/>
  <c r="D2176" i="1"/>
  <c r="B2176" i="1"/>
  <c r="S2175" i="1"/>
  <c r="Q2175" i="1"/>
  <c r="L2175" i="1"/>
  <c r="K2175" i="1"/>
  <c r="J2175" i="1"/>
  <c r="H2175" i="1"/>
  <c r="G2175" i="1"/>
  <c r="F2175" i="1"/>
  <c r="D2175" i="1"/>
  <c r="B2175" i="1"/>
  <c r="S2174" i="1"/>
  <c r="Q2174" i="1"/>
  <c r="L2174" i="1"/>
  <c r="K2174" i="1"/>
  <c r="J2174" i="1"/>
  <c r="H2174" i="1"/>
  <c r="G2174" i="1"/>
  <c r="F2174" i="1"/>
  <c r="D2174" i="1"/>
  <c r="B2174" i="1"/>
  <c r="S2173" i="1"/>
  <c r="L2173" i="1"/>
  <c r="K2173" i="1"/>
  <c r="J2173" i="1"/>
  <c r="H2173" i="1"/>
  <c r="G2173" i="1"/>
  <c r="F2173" i="1"/>
  <c r="D2173" i="1"/>
  <c r="B2173" i="1"/>
  <c r="S2172" i="1"/>
  <c r="Q2172" i="1"/>
  <c r="L2172" i="1"/>
  <c r="K2172" i="1"/>
  <c r="J2172" i="1"/>
  <c r="H2172" i="1"/>
  <c r="G2172" i="1"/>
  <c r="F2172" i="1"/>
  <c r="D2172" i="1"/>
  <c r="B2172" i="1"/>
  <c r="S2171" i="1"/>
  <c r="Q2171" i="1"/>
  <c r="L2171" i="1"/>
  <c r="K2171" i="1"/>
  <c r="J2171" i="1"/>
  <c r="H2171" i="1"/>
  <c r="G2171" i="1"/>
  <c r="F2171" i="1"/>
  <c r="D2171" i="1"/>
  <c r="B2171" i="1"/>
  <c r="S2170" i="1"/>
  <c r="Q2170" i="1"/>
  <c r="L2170" i="1"/>
  <c r="K2170" i="1"/>
  <c r="J2170" i="1"/>
  <c r="H2170" i="1"/>
  <c r="G2170" i="1"/>
  <c r="F2170" i="1"/>
  <c r="D2170" i="1"/>
  <c r="B2170" i="1"/>
  <c r="S2169" i="1"/>
  <c r="Q2169" i="1"/>
  <c r="L2169" i="1"/>
  <c r="K2169" i="1"/>
  <c r="J2169" i="1"/>
  <c r="H2169" i="1"/>
  <c r="G2169" i="1"/>
  <c r="F2169" i="1"/>
  <c r="D2169" i="1"/>
  <c r="B2169" i="1"/>
  <c r="S2168" i="1"/>
  <c r="L2168" i="1"/>
  <c r="K2168" i="1"/>
  <c r="J2168" i="1"/>
  <c r="H2168" i="1"/>
  <c r="G2168" i="1"/>
  <c r="F2168" i="1"/>
  <c r="D2168" i="1"/>
  <c r="B2168" i="1"/>
  <c r="S2167" i="1"/>
  <c r="L2167" i="1"/>
  <c r="K2167" i="1"/>
  <c r="J2167" i="1"/>
  <c r="H2167" i="1"/>
  <c r="G2167" i="1"/>
  <c r="F2167" i="1"/>
  <c r="D2167" i="1"/>
  <c r="B2167" i="1"/>
  <c r="S2166" i="1"/>
  <c r="L2166" i="1"/>
  <c r="K2166" i="1"/>
  <c r="J2166" i="1"/>
  <c r="H2166" i="1"/>
  <c r="G2166" i="1"/>
  <c r="F2166" i="1"/>
  <c r="D2166" i="1"/>
  <c r="B2166" i="1"/>
  <c r="S2165" i="1"/>
  <c r="L2165" i="1"/>
  <c r="K2165" i="1"/>
  <c r="J2165" i="1"/>
  <c r="H2165" i="1"/>
  <c r="G2165" i="1"/>
  <c r="F2165" i="1"/>
  <c r="D2165" i="1"/>
  <c r="B2165" i="1"/>
  <c r="S2164" i="1"/>
  <c r="L2164" i="1"/>
  <c r="K2164" i="1"/>
  <c r="J2164" i="1"/>
  <c r="H2164" i="1"/>
  <c r="G2164" i="1"/>
  <c r="F2164" i="1"/>
  <c r="D2164" i="1"/>
  <c r="B2164" i="1"/>
  <c r="S2163" i="1"/>
  <c r="Q2163" i="1"/>
  <c r="L2163" i="1"/>
  <c r="K2163" i="1"/>
  <c r="J2163" i="1"/>
  <c r="H2163" i="1"/>
  <c r="G2163" i="1"/>
  <c r="F2163" i="1"/>
  <c r="D2163" i="1"/>
  <c r="B2163" i="1"/>
  <c r="S2162" i="1"/>
  <c r="L2162" i="1"/>
  <c r="K2162" i="1"/>
  <c r="J2162" i="1"/>
  <c r="H2162" i="1"/>
  <c r="G2162" i="1"/>
  <c r="F2162" i="1"/>
  <c r="D2162" i="1"/>
  <c r="B2162" i="1"/>
  <c r="S2161" i="1"/>
  <c r="L2161" i="1"/>
  <c r="K2161" i="1"/>
  <c r="J2161" i="1"/>
  <c r="H2161" i="1"/>
  <c r="G2161" i="1"/>
  <c r="F2161" i="1"/>
  <c r="D2161" i="1"/>
  <c r="B2161" i="1"/>
  <c r="S2160" i="1"/>
  <c r="L2160" i="1"/>
  <c r="K2160" i="1"/>
  <c r="J2160" i="1"/>
  <c r="H2160" i="1"/>
  <c r="G2160" i="1"/>
  <c r="F2160" i="1"/>
  <c r="D2160" i="1"/>
  <c r="B2160" i="1"/>
  <c r="S2159" i="1"/>
  <c r="Q2159" i="1"/>
  <c r="L2159" i="1"/>
  <c r="K2159" i="1"/>
  <c r="J2159" i="1"/>
  <c r="H2159" i="1"/>
  <c r="G2159" i="1"/>
  <c r="F2159" i="1"/>
  <c r="D2159" i="1"/>
  <c r="B2159" i="1"/>
  <c r="S2158" i="1"/>
  <c r="Q2158" i="1"/>
  <c r="L2158" i="1"/>
  <c r="K2158" i="1"/>
  <c r="J2158" i="1"/>
  <c r="H2158" i="1"/>
  <c r="G2158" i="1"/>
  <c r="F2158" i="1"/>
  <c r="D2158" i="1"/>
  <c r="B2158" i="1"/>
  <c r="S2157" i="1"/>
  <c r="L2157" i="1"/>
  <c r="K2157" i="1"/>
  <c r="J2157" i="1"/>
  <c r="H2157" i="1"/>
  <c r="G2157" i="1"/>
  <c r="F2157" i="1"/>
  <c r="D2157" i="1"/>
  <c r="B2157" i="1"/>
  <c r="S2156" i="1"/>
  <c r="L2156" i="1"/>
  <c r="K2156" i="1"/>
  <c r="J2156" i="1"/>
  <c r="H2156" i="1"/>
  <c r="G2156" i="1"/>
  <c r="F2156" i="1"/>
  <c r="D2156" i="1"/>
  <c r="B2156" i="1"/>
  <c r="S2155" i="1"/>
  <c r="L2155" i="1"/>
  <c r="K2155" i="1"/>
  <c r="J2155" i="1"/>
  <c r="H2155" i="1"/>
  <c r="G2155" i="1"/>
  <c r="F2155" i="1"/>
  <c r="D2155" i="1"/>
  <c r="B2155" i="1"/>
  <c r="S2154" i="1"/>
  <c r="Q2154" i="1"/>
  <c r="L2154" i="1"/>
  <c r="K2154" i="1"/>
  <c r="J2154" i="1"/>
  <c r="H2154" i="1"/>
  <c r="G2154" i="1"/>
  <c r="F2154" i="1"/>
  <c r="D2154" i="1"/>
  <c r="B2154" i="1"/>
  <c r="S2153" i="1"/>
  <c r="L2153" i="1"/>
  <c r="K2153" i="1"/>
  <c r="J2153" i="1"/>
  <c r="H2153" i="1"/>
  <c r="G2153" i="1"/>
  <c r="F2153" i="1"/>
  <c r="D2153" i="1"/>
  <c r="B2153" i="1"/>
  <c r="S2152" i="1"/>
  <c r="Q2152" i="1"/>
  <c r="L2152" i="1"/>
  <c r="K2152" i="1"/>
  <c r="J2152" i="1"/>
  <c r="I2152" i="1"/>
  <c r="H2152" i="1"/>
  <c r="G2152" i="1"/>
  <c r="F2152" i="1"/>
  <c r="E2152" i="1"/>
  <c r="D2152" i="1"/>
  <c r="B2152" i="1"/>
  <c r="S2151" i="1"/>
  <c r="L2151" i="1"/>
  <c r="K2151" i="1"/>
  <c r="J2151" i="1"/>
  <c r="H2151" i="1"/>
  <c r="G2151" i="1"/>
  <c r="F2151" i="1"/>
  <c r="D2151" i="1"/>
  <c r="B2151" i="1"/>
  <c r="S2150" i="1"/>
  <c r="L2150" i="1"/>
  <c r="K2150" i="1"/>
  <c r="J2150" i="1"/>
  <c r="H2150" i="1"/>
  <c r="G2150" i="1"/>
  <c r="F2150" i="1"/>
  <c r="D2150" i="1"/>
  <c r="B2150" i="1"/>
  <c r="S2149" i="1"/>
  <c r="L2149" i="1"/>
  <c r="K2149" i="1"/>
  <c r="J2149" i="1"/>
  <c r="H2149" i="1"/>
  <c r="G2149" i="1"/>
  <c r="F2149" i="1"/>
  <c r="D2149" i="1"/>
  <c r="B2149" i="1"/>
  <c r="S2148" i="1"/>
  <c r="L2148" i="1"/>
  <c r="K2148" i="1"/>
  <c r="J2148" i="1"/>
  <c r="H2148" i="1"/>
  <c r="G2148" i="1"/>
  <c r="F2148" i="1"/>
  <c r="D2148" i="1"/>
  <c r="B2148" i="1"/>
  <c r="S2147" i="1"/>
  <c r="L2147" i="1"/>
  <c r="K2147" i="1"/>
  <c r="J2147" i="1"/>
  <c r="H2147" i="1"/>
  <c r="G2147" i="1"/>
  <c r="F2147" i="1"/>
  <c r="D2147" i="1"/>
  <c r="B2147" i="1"/>
  <c r="S2146" i="1"/>
  <c r="L2146" i="1"/>
  <c r="K2146" i="1"/>
  <c r="J2146" i="1"/>
  <c r="H2146" i="1"/>
  <c r="G2146" i="1"/>
  <c r="F2146" i="1"/>
  <c r="D2146" i="1"/>
  <c r="B2146" i="1"/>
  <c r="S2145" i="1"/>
  <c r="L2145" i="1"/>
  <c r="K2145" i="1"/>
  <c r="J2145" i="1"/>
  <c r="H2145" i="1"/>
  <c r="G2145" i="1"/>
  <c r="F2145" i="1"/>
  <c r="D2145" i="1"/>
  <c r="B2145" i="1"/>
  <c r="S2144" i="1"/>
  <c r="L2144" i="1"/>
  <c r="K2144" i="1"/>
  <c r="J2144" i="1"/>
  <c r="H2144" i="1"/>
  <c r="G2144" i="1"/>
  <c r="F2144" i="1"/>
  <c r="D2144" i="1"/>
  <c r="B2144" i="1"/>
  <c r="S2143" i="1"/>
  <c r="L2143" i="1"/>
  <c r="K2143" i="1"/>
  <c r="J2143" i="1"/>
  <c r="H2143" i="1"/>
  <c r="G2143" i="1"/>
  <c r="F2143" i="1"/>
  <c r="D2143" i="1"/>
  <c r="B2143" i="1"/>
  <c r="S2142" i="1"/>
  <c r="L2142" i="1"/>
  <c r="K2142" i="1"/>
  <c r="J2142" i="1"/>
  <c r="H2142" i="1"/>
  <c r="G2142" i="1"/>
  <c r="F2142" i="1"/>
  <c r="D2142" i="1"/>
  <c r="B2142" i="1"/>
  <c r="S2141" i="1"/>
  <c r="L2141" i="1"/>
  <c r="K2141" i="1"/>
  <c r="J2141" i="1"/>
  <c r="H2141" i="1"/>
  <c r="G2141" i="1"/>
  <c r="F2141" i="1"/>
  <c r="D2141" i="1"/>
  <c r="B2141" i="1"/>
  <c r="S2140" i="1"/>
  <c r="L2140" i="1"/>
  <c r="K2140" i="1"/>
  <c r="J2140" i="1"/>
  <c r="H2140" i="1"/>
  <c r="G2140" i="1"/>
  <c r="F2140" i="1"/>
  <c r="D2140" i="1"/>
  <c r="B2140" i="1"/>
  <c r="S2139" i="1"/>
  <c r="L2139" i="1"/>
  <c r="K2139" i="1"/>
  <c r="J2139" i="1"/>
  <c r="H2139" i="1"/>
  <c r="G2139" i="1"/>
  <c r="F2139" i="1"/>
  <c r="D2139" i="1"/>
  <c r="B2139" i="1"/>
  <c r="S2138" i="1"/>
  <c r="L2138" i="1"/>
  <c r="K2138" i="1"/>
  <c r="J2138" i="1"/>
  <c r="H2138" i="1"/>
  <c r="G2138" i="1"/>
  <c r="F2138" i="1"/>
  <c r="D2138" i="1"/>
  <c r="B2138" i="1"/>
  <c r="S2137" i="1"/>
  <c r="Q2137" i="1"/>
  <c r="L2137" i="1"/>
  <c r="K2137" i="1"/>
  <c r="J2137" i="1"/>
  <c r="H2137" i="1"/>
  <c r="G2137" i="1"/>
  <c r="F2137" i="1"/>
  <c r="D2137" i="1"/>
  <c r="B2137" i="1"/>
  <c r="S2136" i="1"/>
  <c r="Q2136" i="1"/>
  <c r="L2136" i="1"/>
  <c r="K2136" i="1"/>
  <c r="J2136" i="1"/>
  <c r="H2136" i="1"/>
  <c r="G2136" i="1"/>
  <c r="F2136" i="1"/>
  <c r="D2136" i="1"/>
  <c r="B2136" i="1"/>
  <c r="S2135" i="1"/>
  <c r="Q2135" i="1"/>
  <c r="L2135" i="1"/>
  <c r="K2135" i="1"/>
  <c r="J2135" i="1"/>
  <c r="H2135" i="1"/>
  <c r="G2135" i="1"/>
  <c r="F2135" i="1"/>
  <c r="D2135" i="1"/>
  <c r="B2135" i="1"/>
  <c r="S2134" i="1"/>
  <c r="L2134" i="1"/>
  <c r="K2134" i="1"/>
  <c r="J2134" i="1"/>
  <c r="H2134" i="1"/>
  <c r="G2134" i="1"/>
  <c r="F2134" i="1"/>
  <c r="D2134" i="1"/>
  <c r="B2134" i="1"/>
  <c r="S2133" i="1"/>
  <c r="Q2133" i="1"/>
  <c r="L2133" i="1"/>
  <c r="K2133" i="1"/>
  <c r="J2133" i="1"/>
  <c r="H2133" i="1"/>
  <c r="G2133" i="1"/>
  <c r="F2133" i="1"/>
  <c r="D2133" i="1"/>
  <c r="B2133" i="1"/>
  <c r="S2132" i="1"/>
  <c r="Q2132" i="1"/>
  <c r="L2132" i="1"/>
  <c r="K2132" i="1"/>
  <c r="J2132" i="1"/>
  <c r="H2132" i="1"/>
  <c r="G2132" i="1"/>
  <c r="F2132" i="1"/>
  <c r="D2132" i="1"/>
  <c r="B2132" i="1"/>
  <c r="S2131" i="1"/>
  <c r="Q2131" i="1"/>
  <c r="L2131" i="1"/>
  <c r="K2131" i="1"/>
  <c r="J2131" i="1"/>
  <c r="H2131" i="1"/>
  <c r="G2131" i="1"/>
  <c r="F2131" i="1"/>
  <c r="D2131" i="1"/>
  <c r="B2131" i="1"/>
  <c r="S2130" i="1"/>
  <c r="Q2130" i="1"/>
  <c r="L2130" i="1"/>
  <c r="K2130" i="1"/>
  <c r="J2130" i="1"/>
  <c r="H2130" i="1"/>
  <c r="G2130" i="1"/>
  <c r="F2130" i="1"/>
  <c r="D2130" i="1"/>
  <c r="B2130" i="1"/>
  <c r="S2129" i="1"/>
  <c r="Q2129" i="1"/>
  <c r="L2129" i="1"/>
  <c r="K2129" i="1"/>
  <c r="J2129" i="1"/>
  <c r="H2129" i="1"/>
  <c r="G2129" i="1"/>
  <c r="F2129" i="1"/>
  <c r="D2129" i="1"/>
  <c r="B2129" i="1"/>
  <c r="S2128" i="1"/>
  <c r="Q2128" i="1"/>
  <c r="L2128" i="1"/>
  <c r="K2128" i="1"/>
  <c r="J2128" i="1"/>
  <c r="H2128" i="1"/>
  <c r="G2128" i="1"/>
  <c r="F2128" i="1"/>
  <c r="D2128" i="1"/>
  <c r="B2128" i="1"/>
  <c r="S2127" i="1"/>
  <c r="Q2127" i="1"/>
  <c r="L2127" i="1"/>
  <c r="K2127" i="1"/>
  <c r="J2127" i="1"/>
  <c r="H2127" i="1"/>
  <c r="G2127" i="1"/>
  <c r="F2127" i="1"/>
  <c r="D2127" i="1"/>
  <c r="B2127" i="1"/>
  <c r="S2126" i="1"/>
  <c r="Q2126" i="1"/>
  <c r="L2126" i="1"/>
  <c r="K2126" i="1"/>
  <c r="J2126" i="1"/>
  <c r="H2126" i="1"/>
  <c r="G2126" i="1"/>
  <c r="F2126" i="1"/>
  <c r="D2126" i="1"/>
  <c r="B2126" i="1"/>
  <c r="S2125" i="1"/>
  <c r="Q2125" i="1"/>
  <c r="L2125" i="1"/>
  <c r="K2125" i="1"/>
  <c r="J2125" i="1"/>
  <c r="H2125" i="1"/>
  <c r="G2125" i="1"/>
  <c r="F2125" i="1"/>
  <c r="D2125" i="1"/>
  <c r="B2125" i="1"/>
  <c r="S2124" i="1"/>
  <c r="Q2124" i="1"/>
  <c r="L2124" i="1"/>
  <c r="K2124" i="1"/>
  <c r="J2124" i="1"/>
  <c r="H2124" i="1"/>
  <c r="G2124" i="1"/>
  <c r="F2124" i="1"/>
  <c r="D2124" i="1"/>
  <c r="B2124" i="1"/>
  <c r="S2123" i="1"/>
  <c r="L2123" i="1"/>
  <c r="K2123" i="1"/>
  <c r="J2123" i="1"/>
  <c r="H2123" i="1"/>
  <c r="G2123" i="1"/>
  <c r="F2123" i="1"/>
  <c r="D2123" i="1"/>
  <c r="B2123" i="1"/>
  <c r="S2122" i="1"/>
  <c r="Q2122" i="1"/>
  <c r="L2122" i="1"/>
  <c r="K2122" i="1"/>
  <c r="J2122" i="1"/>
  <c r="H2122" i="1"/>
  <c r="G2122" i="1"/>
  <c r="F2122" i="1"/>
  <c r="D2122" i="1"/>
  <c r="B2122" i="1"/>
  <c r="S2121" i="1"/>
  <c r="Q2121" i="1"/>
  <c r="L2121" i="1"/>
  <c r="K2121" i="1"/>
  <c r="J2121" i="1"/>
  <c r="H2121" i="1"/>
  <c r="G2121" i="1"/>
  <c r="F2121" i="1"/>
  <c r="D2121" i="1"/>
  <c r="B2121" i="1"/>
  <c r="S2120" i="1"/>
  <c r="L2120" i="1"/>
  <c r="K2120" i="1"/>
  <c r="J2120" i="1"/>
  <c r="H2120" i="1"/>
  <c r="G2120" i="1"/>
  <c r="F2120" i="1"/>
  <c r="D2120" i="1"/>
  <c r="B2120" i="1"/>
  <c r="S2119" i="1"/>
  <c r="Q2119" i="1"/>
  <c r="L2119" i="1"/>
  <c r="K2119" i="1"/>
  <c r="J2119" i="1"/>
  <c r="H2119" i="1"/>
  <c r="G2119" i="1"/>
  <c r="F2119" i="1"/>
  <c r="D2119" i="1"/>
  <c r="B2119" i="1"/>
  <c r="S2118" i="1"/>
  <c r="Q2118" i="1"/>
  <c r="L2118" i="1"/>
  <c r="K2118" i="1"/>
  <c r="J2118" i="1"/>
  <c r="H2118" i="1"/>
  <c r="G2118" i="1"/>
  <c r="F2118" i="1"/>
  <c r="D2118" i="1"/>
  <c r="B2118" i="1"/>
  <c r="S2117" i="1"/>
  <c r="Q2117" i="1"/>
  <c r="L2117" i="1"/>
  <c r="K2117" i="1"/>
  <c r="J2117" i="1"/>
  <c r="H2117" i="1"/>
  <c r="G2117" i="1"/>
  <c r="F2117" i="1"/>
  <c r="D2117" i="1"/>
  <c r="B2117" i="1"/>
  <c r="S2116" i="1"/>
  <c r="Q2116" i="1"/>
  <c r="L2116" i="1"/>
  <c r="K2116" i="1"/>
  <c r="J2116" i="1"/>
  <c r="H2116" i="1"/>
  <c r="G2116" i="1"/>
  <c r="F2116" i="1"/>
  <c r="D2116" i="1"/>
  <c r="B2116" i="1"/>
  <c r="S2115" i="1"/>
  <c r="Q2115" i="1"/>
  <c r="L2115" i="1"/>
  <c r="K2115" i="1"/>
  <c r="J2115" i="1"/>
  <c r="H2115" i="1"/>
  <c r="G2115" i="1"/>
  <c r="F2115" i="1"/>
  <c r="D2115" i="1"/>
  <c r="B2115" i="1"/>
  <c r="S2114" i="1"/>
  <c r="Q2114" i="1"/>
  <c r="L2114" i="1"/>
  <c r="K2114" i="1"/>
  <c r="J2114" i="1"/>
  <c r="H2114" i="1"/>
  <c r="G2114" i="1"/>
  <c r="F2114" i="1"/>
  <c r="D2114" i="1"/>
  <c r="B2114" i="1"/>
  <c r="S2113" i="1"/>
  <c r="Q2113" i="1"/>
  <c r="L2113" i="1"/>
  <c r="K2113" i="1"/>
  <c r="J2113" i="1"/>
  <c r="H2113" i="1"/>
  <c r="G2113" i="1"/>
  <c r="F2113" i="1"/>
  <c r="D2113" i="1"/>
  <c r="B2113" i="1"/>
  <c r="S2112" i="1"/>
  <c r="Q2112" i="1"/>
  <c r="L2112" i="1"/>
  <c r="K2112" i="1"/>
  <c r="J2112" i="1"/>
  <c r="H2112" i="1"/>
  <c r="G2112" i="1"/>
  <c r="F2112" i="1"/>
  <c r="D2112" i="1"/>
  <c r="B2112" i="1"/>
  <c r="S2111" i="1"/>
  <c r="Q2111" i="1"/>
  <c r="L2111" i="1"/>
  <c r="K2111" i="1"/>
  <c r="J2111" i="1"/>
  <c r="H2111" i="1"/>
  <c r="G2111" i="1"/>
  <c r="F2111" i="1"/>
  <c r="D2111" i="1"/>
  <c r="B2111" i="1"/>
  <c r="S2110" i="1"/>
  <c r="L2110" i="1"/>
  <c r="K2110" i="1"/>
  <c r="J2110" i="1"/>
  <c r="H2110" i="1"/>
  <c r="G2110" i="1"/>
  <c r="F2110" i="1"/>
  <c r="D2110" i="1"/>
  <c r="B2110" i="1"/>
  <c r="S2109" i="1"/>
  <c r="L2109" i="1"/>
  <c r="K2109" i="1"/>
  <c r="J2109" i="1"/>
  <c r="H2109" i="1"/>
  <c r="G2109" i="1"/>
  <c r="F2109" i="1"/>
  <c r="D2109" i="1"/>
  <c r="B2109" i="1"/>
  <c r="S2108" i="1"/>
  <c r="L2108" i="1"/>
  <c r="K2108" i="1"/>
  <c r="J2108" i="1"/>
  <c r="H2108" i="1"/>
  <c r="G2108" i="1"/>
  <c r="F2108" i="1"/>
  <c r="D2108" i="1"/>
  <c r="B2108" i="1"/>
  <c r="S2107" i="1"/>
  <c r="L2107" i="1"/>
  <c r="K2107" i="1"/>
  <c r="J2107" i="1"/>
  <c r="H2107" i="1"/>
  <c r="G2107" i="1"/>
  <c r="F2107" i="1"/>
  <c r="D2107" i="1"/>
  <c r="B2107" i="1"/>
  <c r="S2106" i="1"/>
  <c r="L2106" i="1"/>
  <c r="K2106" i="1"/>
  <c r="J2106" i="1"/>
  <c r="H2106" i="1"/>
  <c r="G2106" i="1"/>
  <c r="F2106" i="1"/>
  <c r="D2106" i="1"/>
  <c r="B2106" i="1"/>
  <c r="S2105" i="1"/>
  <c r="Q2105" i="1"/>
  <c r="L2105" i="1"/>
  <c r="K2105" i="1"/>
  <c r="J2105" i="1"/>
  <c r="I2105" i="1"/>
  <c r="H2105" i="1"/>
  <c r="G2105" i="1"/>
  <c r="F2105" i="1"/>
  <c r="D2105" i="1"/>
  <c r="B2105" i="1"/>
  <c r="S2104" i="1"/>
  <c r="Q2104" i="1"/>
  <c r="L2104" i="1"/>
  <c r="K2104" i="1"/>
  <c r="J2104" i="1"/>
  <c r="I2104" i="1"/>
  <c r="H2104" i="1"/>
  <c r="G2104" i="1"/>
  <c r="F2104" i="1"/>
  <c r="D2104" i="1"/>
  <c r="B2104" i="1"/>
  <c r="S2103" i="1"/>
  <c r="L2103" i="1"/>
  <c r="K2103" i="1"/>
  <c r="J2103" i="1"/>
  <c r="H2103" i="1"/>
  <c r="G2103" i="1"/>
  <c r="F2103" i="1"/>
  <c r="D2103" i="1"/>
  <c r="B2103" i="1"/>
  <c r="S2102" i="1"/>
  <c r="Q2102" i="1"/>
  <c r="L2102" i="1"/>
  <c r="K2102" i="1"/>
  <c r="J2102" i="1"/>
  <c r="I2102" i="1"/>
  <c r="H2102" i="1"/>
  <c r="G2102" i="1"/>
  <c r="F2102" i="1"/>
  <c r="D2102" i="1"/>
  <c r="B2102" i="1"/>
  <c r="S2101" i="1"/>
  <c r="L2101" i="1"/>
  <c r="K2101" i="1"/>
  <c r="J2101" i="1"/>
  <c r="H2101" i="1"/>
  <c r="G2101" i="1"/>
  <c r="F2101" i="1"/>
  <c r="D2101" i="1"/>
  <c r="B2101" i="1"/>
  <c r="S2100" i="1"/>
  <c r="L2100" i="1"/>
  <c r="K2100" i="1"/>
  <c r="J2100" i="1"/>
  <c r="H2100" i="1"/>
  <c r="G2100" i="1"/>
  <c r="F2100" i="1"/>
  <c r="D2100" i="1"/>
  <c r="B2100" i="1"/>
  <c r="S2099" i="1"/>
  <c r="L2099" i="1"/>
  <c r="K2099" i="1"/>
  <c r="J2099" i="1"/>
  <c r="I2099" i="1"/>
  <c r="H2099" i="1"/>
  <c r="G2099" i="1"/>
  <c r="F2099" i="1"/>
  <c r="D2099" i="1"/>
  <c r="B2099" i="1"/>
  <c r="S2098" i="1"/>
  <c r="Q2098" i="1"/>
  <c r="L2098" i="1"/>
  <c r="K2098" i="1"/>
  <c r="J2098" i="1"/>
  <c r="I2098" i="1"/>
  <c r="H2098" i="1"/>
  <c r="G2098" i="1"/>
  <c r="F2098" i="1"/>
  <c r="D2098" i="1"/>
  <c r="B2098" i="1"/>
  <c r="S2097" i="1"/>
  <c r="Q2097" i="1"/>
  <c r="L2097" i="1"/>
  <c r="K2097" i="1"/>
  <c r="J2097" i="1"/>
  <c r="I2097" i="1"/>
  <c r="H2097" i="1"/>
  <c r="G2097" i="1"/>
  <c r="F2097" i="1"/>
  <c r="D2097" i="1"/>
  <c r="B2097" i="1"/>
  <c r="S2096" i="1"/>
  <c r="L2096" i="1"/>
  <c r="K2096" i="1"/>
  <c r="J2096" i="1"/>
  <c r="H2096" i="1"/>
  <c r="G2096" i="1"/>
  <c r="F2096" i="1"/>
  <c r="D2096" i="1"/>
  <c r="B2096" i="1"/>
  <c r="S2095" i="1"/>
  <c r="L2095" i="1"/>
  <c r="K2095" i="1"/>
  <c r="J2095" i="1"/>
  <c r="H2095" i="1"/>
  <c r="G2095" i="1"/>
  <c r="F2095" i="1"/>
  <c r="D2095" i="1"/>
  <c r="B2095" i="1"/>
  <c r="S2094" i="1"/>
  <c r="L2094" i="1"/>
  <c r="K2094" i="1"/>
  <c r="J2094" i="1"/>
  <c r="H2094" i="1"/>
  <c r="G2094" i="1"/>
  <c r="F2094" i="1"/>
  <c r="D2094" i="1"/>
  <c r="B2094" i="1"/>
  <c r="S2093" i="1"/>
  <c r="Q2093" i="1"/>
  <c r="L2093" i="1"/>
  <c r="K2093" i="1"/>
  <c r="J2093" i="1"/>
  <c r="H2093" i="1"/>
  <c r="G2093" i="1"/>
  <c r="F2093" i="1"/>
  <c r="D2093" i="1"/>
  <c r="B2093" i="1"/>
  <c r="S2092" i="1"/>
  <c r="Q2092" i="1"/>
  <c r="L2092" i="1"/>
  <c r="K2092" i="1"/>
  <c r="J2092" i="1"/>
  <c r="H2092" i="1"/>
  <c r="G2092" i="1"/>
  <c r="F2092" i="1"/>
  <c r="D2092" i="1"/>
  <c r="B2092" i="1"/>
  <c r="S2091" i="1"/>
  <c r="L2091" i="1"/>
  <c r="K2091" i="1"/>
  <c r="J2091" i="1"/>
  <c r="H2091" i="1"/>
  <c r="G2091" i="1"/>
  <c r="F2091" i="1"/>
  <c r="D2091" i="1"/>
  <c r="B2091" i="1"/>
  <c r="S2090" i="1"/>
  <c r="Q2090" i="1"/>
  <c r="L2090" i="1"/>
  <c r="K2090" i="1"/>
  <c r="J2090" i="1"/>
  <c r="H2090" i="1"/>
  <c r="G2090" i="1"/>
  <c r="F2090" i="1"/>
  <c r="D2090" i="1"/>
  <c r="B2090" i="1"/>
  <c r="S2089" i="1"/>
  <c r="L2089" i="1"/>
  <c r="K2089" i="1"/>
  <c r="J2089" i="1"/>
  <c r="H2089" i="1"/>
  <c r="G2089" i="1"/>
  <c r="F2089" i="1"/>
  <c r="D2089" i="1"/>
  <c r="B2089" i="1"/>
  <c r="S2088" i="1"/>
  <c r="L2088" i="1"/>
  <c r="K2088" i="1"/>
  <c r="J2088" i="1"/>
  <c r="H2088" i="1"/>
  <c r="G2088" i="1"/>
  <c r="F2088" i="1"/>
  <c r="D2088" i="1"/>
  <c r="B2088" i="1"/>
  <c r="S2087" i="1"/>
  <c r="L2087" i="1"/>
  <c r="K2087" i="1"/>
  <c r="J2087" i="1"/>
  <c r="H2087" i="1"/>
  <c r="G2087" i="1"/>
  <c r="F2087" i="1"/>
  <c r="D2087" i="1"/>
  <c r="B2087" i="1"/>
  <c r="S2086" i="1"/>
  <c r="L2086" i="1"/>
  <c r="K2086" i="1"/>
  <c r="J2086" i="1"/>
  <c r="H2086" i="1"/>
  <c r="G2086" i="1"/>
  <c r="F2086" i="1"/>
  <c r="D2086" i="1"/>
  <c r="B2086" i="1"/>
  <c r="S2085" i="1"/>
  <c r="L2085" i="1"/>
  <c r="K2085" i="1"/>
  <c r="J2085" i="1"/>
  <c r="H2085" i="1"/>
  <c r="G2085" i="1"/>
  <c r="F2085" i="1"/>
  <c r="D2085" i="1"/>
  <c r="B2085" i="1"/>
  <c r="S2084" i="1"/>
  <c r="L2084" i="1"/>
  <c r="K2084" i="1"/>
  <c r="J2084" i="1"/>
  <c r="H2084" i="1"/>
  <c r="G2084" i="1"/>
  <c r="F2084" i="1"/>
  <c r="D2084" i="1"/>
  <c r="B2084" i="1"/>
  <c r="S2083" i="1"/>
  <c r="L2083" i="1"/>
  <c r="K2083" i="1"/>
  <c r="J2083" i="1"/>
  <c r="H2083" i="1"/>
  <c r="G2083" i="1"/>
  <c r="F2083" i="1"/>
  <c r="D2083" i="1"/>
  <c r="B2083" i="1"/>
  <c r="S2082" i="1"/>
  <c r="L2082" i="1"/>
  <c r="K2082" i="1"/>
  <c r="J2082" i="1"/>
  <c r="H2082" i="1"/>
  <c r="G2082" i="1"/>
  <c r="F2082" i="1"/>
  <c r="D2082" i="1"/>
  <c r="B2082" i="1"/>
  <c r="S2081" i="1"/>
  <c r="L2081" i="1"/>
  <c r="K2081" i="1"/>
  <c r="J2081" i="1"/>
  <c r="H2081" i="1"/>
  <c r="G2081" i="1"/>
  <c r="F2081" i="1"/>
  <c r="D2081" i="1"/>
  <c r="B2081" i="1"/>
  <c r="S2080" i="1"/>
  <c r="L2080" i="1"/>
  <c r="K2080" i="1"/>
  <c r="J2080" i="1"/>
  <c r="H2080" i="1"/>
  <c r="G2080" i="1"/>
  <c r="F2080" i="1"/>
  <c r="D2080" i="1"/>
  <c r="B2080" i="1"/>
  <c r="S2079" i="1"/>
  <c r="Q2079" i="1"/>
  <c r="L2079" i="1"/>
  <c r="K2079" i="1"/>
  <c r="J2079" i="1"/>
  <c r="H2079" i="1"/>
  <c r="G2079" i="1"/>
  <c r="F2079" i="1"/>
  <c r="D2079" i="1"/>
  <c r="B2079" i="1"/>
  <c r="S2078" i="1"/>
  <c r="L2078" i="1"/>
  <c r="K2078" i="1"/>
  <c r="J2078" i="1"/>
  <c r="H2078" i="1"/>
  <c r="G2078" i="1"/>
  <c r="F2078" i="1"/>
  <c r="D2078" i="1"/>
  <c r="B2078" i="1"/>
  <c r="S2077" i="1"/>
  <c r="Q2077" i="1"/>
  <c r="L2077" i="1"/>
  <c r="K2077" i="1"/>
  <c r="J2077" i="1"/>
  <c r="H2077" i="1"/>
  <c r="G2077" i="1"/>
  <c r="F2077" i="1"/>
  <c r="D2077" i="1"/>
  <c r="B2077" i="1"/>
  <c r="S2076" i="1"/>
  <c r="Q2076" i="1"/>
  <c r="L2076" i="1"/>
  <c r="K2076" i="1"/>
  <c r="J2076" i="1"/>
  <c r="H2076" i="1"/>
  <c r="G2076" i="1"/>
  <c r="F2076" i="1"/>
  <c r="D2076" i="1"/>
  <c r="B2076" i="1"/>
  <c r="S2075" i="1"/>
  <c r="Q2075" i="1"/>
  <c r="L2075" i="1"/>
  <c r="K2075" i="1"/>
  <c r="J2075" i="1"/>
  <c r="H2075" i="1"/>
  <c r="G2075" i="1"/>
  <c r="F2075" i="1"/>
  <c r="D2075" i="1"/>
  <c r="B2075" i="1"/>
  <c r="S2074" i="1"/>
  <c r="Q2074" i="1"/>
  <c r="L2074" i="1"/>
  <c r="K2074" i="1"/>
  <c r="J2074" i="1"/>
  <c r="H2074" i="1"/>
  <c r="G2074" i="1"/>
  <c r="F2074" i="1"/>
  <c r="D2074" i="1"/>
  <c r="B2074" i="1"/>
  <c r="S2073" i="1"/>
  <c r="Q2073" i="1"/>
  <c r="L2073" i="1"/>
  <c r="K2073" i="1"/>
  <c r="J2073" i="1"/>
  <c r="H2073" i="1"/>
  <c r="G2073" i="1"/>
  <c r="F2073" i="1"/>
  <c r="D2073" i="1"/>
  <c r="B2073" i="1"/>
  <c r="S2072" i="1"/>
  <c r="Q2072" i="1"/>
  <c r="L2072" i="1"/>
  <c r="K2072" i="1"/>
  <c r="J2072" i="1"/>
  <c r="H2072" i="1"/>
  <c r="G2072" i="1"/>
  <c r="F2072" i="1"/>
  <c r="D2072" i="1"/>
  <c r="B2072" i="1"/>
  <c r="S2071" i="1"/>
  <c r="Q2071" i="1"/>
  <c r="L2071" i="1"/>
  <c r="K2071" i="1"/>
  <c r="J2071" i="1"/>
  <c r="H2071" i="1"/>
  <c r="G2071" i="1"/>
  <c r="F2071" i="1"/>
  <c r="D2071" i="1"/>
  <c r="B2071" i="1"/>
  <c r="S2070" i="1"/>
  <c r="Q2070" i="1"/>
  <c r="L2070" i="1"/>
  <c r="K2070" i="1"/>
  <c r="J2070" i="1"/>
  <c r="H2070" i="1"/>
  <c r="G2070" i="1"/>
  <c r="F2070" i="1"/>
  <c r="D2070" i="1"/>
  <c r="B2070" i="1"/>
  <c r="S2069" i="1"/>
  <c r="Q2069" i="1"/>
  <c r="L2069" i="1"/>
  <c r="K2069" i="1"/>
  <c r="J2069" i="1"/>
  <c r="H2069" i="1"/>
  <c r="G2069" i="1"/>
  <c r="F2069" i="1"/>
  <c r="D2069" i="1"/>
  <c r="B2069" i="1"/>
  <c r="S2068" i="1"/>
  <c r="L2068" i="1"/>
  <c r="K2068" i="1"/>
  <c r="J2068" i="1"/>
  <c r="H2068" i="1"/>
  <c r="G2068" i="1"/>
  <c r="F2068" i="1"/>
  <c r="D2068" i="1"/>
  <c r="B2068" i="1"/>
  <c r="S2067" i="1"/>
  <c r="L2067" i="1"/>
  <c r="K2067" i="1"/>
  <c r="J2067" i="1"/>
  <c r="H2067" i="1"/>
  <c r="G2067" i="1"/>
  <c r="F2067" i="1"/>
  <c r="D2067" i="1"/>
  <c r="B2067" i="1"/>
  <c r="S2066" i="1"/>
  <c r="L2066" i="1"/>
  <c r="K2066" i="1"/>
  <c r="J2066" i="1"/>
  <c r="H2066" i="1"/>
  <c r="G2066" i="1"/>
  <c r="F2066" i="1"/>
  <c r="D2066" i="1"/>
  <c r="B2066" i="1"/>
  <c r="S2065" i="1"/>
  <c r="L2065" i="1"/>
  <c r="K2065" i="1"/>
  <c r="J2065" i="1"/>
  <c r="H2065" i="1"/>
  <c r="G2065" i="1"/>
  <c r="F2065" i="1"/>
  <c r="D2065" i="1"/>
  <c r="B2065" i="1"/>
  <c r="S2064" i="1"/>
  <c r="L2064" i="1"/>
  <c r="K2064" i="1"/>
  <c r="J2064" i="1"/>
  <c r="H2064" i="1"/>
  <c r="G2064" i="1"/>
  <c r="F2064" i="1"/>
  <c r="D2064" i="1"/>
  <c r="B2064" i="1"/>
  <c r="S2063" i="1"/>
  <c r="L2063" i="1"/>
  <c r="K2063" i="1"/>
  <c r="J2063" i="1"/>
  <c r="H2063" i="1"/>
  <c r="G2063" i="1"/>
  <c r="F2063" i="1"/>
  <c r="D2063" i="1"/>
  <c r="B2063" i="1"/>
  <c r="S2062" i="1"/>
  <c r="L2062" i="1"/>
  <c r="K2062" i="1"/>
  <c r="J2062" i="1"/>
  <c r="H2062" i="1"/>
  <c r="G2062" i="1"/>
  <c r="F2062" i="1"/>
  <c r="D2062" i="1"/>
  <c r="B2062" i="1"/>
  <c r="S2061" i="1"/>
  <c r="L2061" i="1"/>
  <c r="K2061" i="1"/>
  <c r="J2061" i="1"/>
  <c r="H2061" i="1"/>
  <c r="G2061" i="1"/>
  <c r="F2061" i="1"/>
  <c r="D2061" i="1"/>
  <c r="B2061" i="1"/>
  <c r="S2060" i="1"/>
  <c r="Q2060" i="1"/>
  <c r="L2060" i="1"/>
  <c r="K2060" i="1"/>
  <c r="J2060" i="1"/>
  <c r="I2060" i="1"/>
  <c r="H2060" i="1"/>
  <c r="G2060" i="1"/>
  <c r="F2060" i="1"/>
  <c r="D2060" i="1"/>
  <c r="B2060" i="1"/>
  <c r="S2059" i="1"/>
  <c r="Q2059" i="1"/>
  <c r="L2059" i="1"/>
  <c r="K2059" i="1"/>
  <c r="J2059" i="1"/>
  <c r="I2059" i="1"/>
  <c r="H2059" i="1"/>
  <c r="G2059" i="1"/>
  <c r="F2059" i="1"/>
  <c r="D2059" i="1"/>
  <c r="B2059" i="1"/>
  <c r="S2058" i="1"/>
  <c r="L2058" i="1"/>
  <c r="K2058" i="1"/>
  <c r="J2058" i="1"/>
  <c r="H2058" i="1"/>
  <c r="G2058" i="1"/>
  <c r="F2058" i="1"/>
  <c r="D2058" i="1"/>
  <c r="B2058" i="1"/>
  <c r="S2057" i="1"/>
  <c r="Q2057" i="1"/>
  <c r="L2057" i="1"/>
  <c r="K2057" i="1"/>
  <c r="J2057" i="1"/>
  <c r="H2057" i="1"/>
  <c r="G2057" i="1"/>
  <c r="F2057" i="1"/>
  <c r="D2057" i="1"/>
  <c r="B2057" i="1"/>
  <c r="S2056" i="1"/>
  <c r="L2056" i="1"/>
  <c r="K2056" i="1"/>
  <c r="J2056" i="1"/>
  <c r="H2056" i="1"/>
  <c r="G2056" i="1"/>
  <c r="F2056" i="1"/>
  <c r="D2056" i="1"/>
  <c r="B2056" i="1"/>
  <c r="S2055" i="1"/>
  <c r="L2055" i="1"/>
  <c r="K2055" i="1"/>
  <c r="J2055" i="1"/>
  <c r="H2055" i="1"/>
  <c r="G2055" i="1"/>
  <c r="F2055" i="1"/>
  <c r="D2055" i="1"/>
  <c r="B2055" i="1"/>
  <c r="S2054" i="1"/>
  <c r="Q2054" i="1"/>
  <c r="L2054" i="1"/>
  <c r="K2054" i="1"/>
  <c r="J2054" i="1"/>
  <c r="H2054" i="1"/>
  <c r="G2054" i="1"/>
  <c r="F2054" i="1"/>
  <c r="D2054" i="1"/>
  <c r="B2054" i="1"/>
  <c r="S2053" i="1"/>
  <c r="L2053" i="1"/>
  <c r="K2053" i="1"/>
  <c r="J2053" i="1"/>
  <c r="H2053" i="1"/>
  <c r="G2053" i="1"/>
  <c r="F2053" i="1"/>
  <c r="D2053" i="1"/>
  <c r="B2053" i="1"/>
  <c r="S2052" i="1"/>
  <c r="L2052" i="1"/>
  <c r="K2052" i="1"/>
  <c r="J2052" i="1"/>
  <c r="H2052" i="1"/>
  <c r="G2052" i="1"/>
  <c r="F2052" i="1"/>
  <c r="D2052" i="1"/>
  <c r="B2052" i="1"/>
  <c r="S2051" i="1"/>
  <c r="Q2051" i="1"/>
  <c r="L2051" i="1"/>
  <c r="K2051" i="1"/>
  <c r="J2051" i="1"/>
  <c r="H2051" i="1"/>
  <c r="G2051" i="1"/>
  <c r="F2051" i="1"/>
  <c r="D2051" i="1"/>
  <c r="B2051" i="1"/>
  <c r="S2050" i="1"/>
  <c r="L2050" i="1"/>
  <c r="K2050" i="1"/>
  <c r="J2050" i="1"/>
  <c r="H2050" i="1"/>
  <c r="G2050" i="1"/>
  <c r="F2050" i="1"/>
  <c r="D2050" i="1"/>
  <c r="B2050" i="1"/>
  <c r="S2049" i="1"/>
  <c r="L2049" i="1"/>
  <c r="K2049" i="1"/>
  <c r="J2049" i="1"/>
  <c r="H2049" i="1"/>
  <c r="G2049" i="1"/>
  <c r="F2049" i="1"/>
  <c r="D2049" i="1"/>
  <c r="B2049" i="1"/>
  <c r="S2048" i="1"/>
  <c r="Q2048" i="1"/>
  <c r="L2048" i="1"/>
  <c r="K2048" i="1"/>
  <c r="J2048" i="1"/>
  <c r="H2048" i="1"/>
  <c r="G2048" i="1"/>
  <c r="F2048" i="1"/>
  <c r="D2048" i="1"/>
  <c r="B2048" i="1"/>
  <c r="S2047" i="1"/>
  <c r="L2047" i="1"/>
  <c r="K2047" i="1"/>
  <c r="J2047" i="1"/>
  <c r="H2047" i="1"/>
  <c r="G2047" i="1"/>
  <c r="F2047" i="1"/>
  <c r="D2047" i="1"/>
  <c r="B2047" i="1"/>
  <c r="S2046" i="1"/>
  <c r="L2046" i="1"/>
  <c r="K2046" i="1"/>
  <c r="J2046" i="1"/>
  <c r="H2046" i="1"/>
  <c r="G2046" i="1"/>
  <c r="F2046" i="1"/>
  <c r="D2046" i="1"/>
  <c r="B2046" i="1"/>
  <c r="S2045" i="1"/>
  <c r="L2045" i="1"/>
  <c r="K2045" i="1"/>
  <c r="J2045" i="1"/>
  <c r="H2045" i="1"/>
  <c r="G2045" i="1"/>
  <c r="F2045" i="1"/>
  <c r="D2045" i="1"/>
  <c r="B2045" i="1"/>
  <c r="S2044" i="1"/>
  <c r="L2044" i="1"/>
  <c r="K2044" i="1"/>
  <c r="J2044" i="1"/>
  <c r="I2044" i="1"/>
  <c r="H2044" i="1"/>
  <c r="F2044" i="1"/>
  <c r="D2044" i="1"/>
  <c r="B2044" i="1"/>
  <c r="S2043" i="1"/>
  <c r="L2043" i="1"/>
  <c r="K2043" i="1"/>
  <c r="J2043" i="1"/>
  <c r="H2043" i="1"/>
  <c r="G2043" i="1"/>
  <c r="F2043" i="1"/>
  <c r="D2043" i="1"/>
  <c r="B2043" i="1"/>
  <c r="S2042" i="1"/>
  <c r="L2042" i="1"/>
  <c r="K2042" i="1"/>
  <c r="J2042" i="1"/>
  <c r="H2042" i="1"/>
  <c r="G2042" i="1"/>
  <c r="F2042" i="1"/>
  <c r="D2042" i="1"/>
  <c r="B2042" i="1"/>
  <c r="S2041" i="1"/>
  <c r="Q2041" i="1"/>
  <c r="L2041" i="1"/>
  <c r="K2041" i="1"/>
  <c r="J2041" i="1"/>
  <c r="H2041" i="1"/>
  <c r="G2041" i="1"/>
  <c r="F2041" i="1"/>
  <c r="D2041" i="1"/>
  <c r="B2041" i="1"/>
  <c r="S2040" i="1"/>
  <c r="Q2040" i="1"/>
  <c r="L2040" i="1"/>
  <c r="K2040" i="1"/>
  <c r="J2040" i="1"/>
  <c r="H2040" i="1"/>
  <c r="G2040" i="1"/>
  <c r="F2040" i="1"/>
  <c r="D2040" i="1"/>
  <c r="B2040" i="1"/>
  <c r="S2039" i="1"/>
  <c r="Q2039" i="1"/>
  <c r="L2039" i="1"/>
  <c r="K2039" i="1"/>
  <c r="J2039" i="1"/>
  <c r="H2039" i="1"/>
  <c r="G2039" i="1"/>
  <c r="F2039" i="1"/>
  <c r="D2039" i="1"/>
  <c r="B2039" i="1"/>
  <c r="S2038" i="1"/>
  <c r="L2038" i="1"/>
  <c r="K2038" i="1"/>
  <c r="J2038" i="1"/>
  <c r="H2038" i="1"/>
  <c r="G2038" i="1"/>
  <c r="F2038" i="1"/>
  <c r="D2038" i="1"/>
  <c r="B2038" i="1"/>
  <c r="S2037" i="1"/>
  <c r="Q2037" i="1"/>
  <c r="L2037" i="1"/>
  <c r="K2037" i="1"/>
  <c r="J2037" i="1"/>
  <c r="H2037" i="1"/>
  <c r="G2037" i="1"/>
  <c r="F2037" i="1"/>
  <c r="D2037" i="1"/>
  <c r="B2037" i="1"/>
  <c r="S2036" i="1"/>
  <c r="L2036" i="1"/>
  <c r="K2036" i="1"/>
  <c r="J2036" i="1"/>
  <c r="H2036" i="1"/>
  <c r="G2036" i="1"/>
  <c r="F2036" i="1"/>
  <c r="D2036" i="1"/>
  <c r="B2036" i="1"/>
  <c r="S2035" i="1"/>
  <c r="Q2035" i="1"/>
  <c r="L2035" i="1"/>
  <c r="K2035" i="1"/>
  <c r="J2035" i="1"/>
  <c r="H2035" i="1"/>
  <c r="G2035" i="1"/>
  <c r="F2035" i="1"/>
  <c r="D2035" i="1"/>
  <c r="B2035" i="1"/>
  <c r="S2034" i="1"/>
  <c r="Q2034" i="1"/>
  <c r="L2034" i="1"/>
  <c r="K2034" i="1"/>
  <c r="J2034" i="1"/>
  <c r="H2034" i="1"/>
  <c r="G2034" i="1"/>
  <c r="F2034" i="1"/>
  <c r="D2034" i="1"/>
  <c r="B2034" i="1"/>
  <c r="S2033" i="1"/>
  <c r="L2033" i="1"/>
  <c r="K2033" i="1"/>
  <c r="J2033" i="1"/>
  <c r="H2033" i="1"/>
  <c r="G2033" i="1"/>
  <c r="F2033" i="1"/>
  <c r="D2033" i="1"/>
  <c r="B2033" i="1"/>
  <c r="S2032" i="1"/>
  <c r="Q2032" i="1"/>
  <c r="L2032" i="1"/>
  <c r="K2032" i="1"/>
  <c r="J2032" i="1"/>
  <c r="I2032" i="1"/>
  <c r="H2032" i="1"/>
  <c r="G2032" i="1"/>
  <c r="F2032" i="1"/>
  <c r="D2032" i="1"/>
  <c r="B2032" i="1"/>
  <c r="S2031" i="1"/>
  <c r="Q2031" i="1"/>
  <c r="L2031" i="1"/>
  <c r="K2031" i="1"/>
  <c r="J2031" i="1"/>
  <c r="H2031" i="1"/>
  <c r="G2031" i="1"/>
  <c r="F2031" i="1"/>
  <c r="D2031" i="1"/>
  <c r="B2031" i="1"/>
  <c r="S2030" i="1"/>
  <c r="L2030" i="1"/>
  <c r="K2030" i="1"/>
  <c r="J2030" i="1"/>
  <c r="H2030" i="1"/>
  <c r="G2030" i="1"/>
  <c r="F2030" i="1"/>
  <c r="D2030" i="1"/>
  <c r="B2030" i="1"/>
  <c r="S2029" i="1"/>
  <c r="L2029" i="1"/>
  <c r="K2029" i="1"/>
  <c r="J2029" i="1"/>
  <c r="I2029" i="1"/>
  <c r="H2029" i="1"/>
  <c r="G2029" i="1"/>
  <c r="F2029" i="1"/>
  <c r="D2029" i="1"/>
  <c r="B2029" i="1"/>
  <c r="S2028" i="1"/>
  <c r="Q2028" i="1"/>
  <c r="L2028" i="1"/>
  <c r="K2028" i="1"/>
  <c r="J2028" i="1"/>
  <c r="I2028" i="1"/>
  <c r="H2028" i="1"/>
  <c r="G2028" i="1"/>
  <c r="F2028" i="1"/>
  <c r="D2028" i="1"/>
  <c r="B2028" i="1"/>
  <c r="S2027" i="1"/>
  <c r="Q2027" i="1"/>
  <c r="L2027" i="1"/>
  <c r="K2027" i="1"/>
  <c r="J2027" i="1"/>
  <c r="H2027" i="1"/>
  <c r="G2027" i="1"/>
  <c r="F2027" i="1"/>
  <c r="D2027" i="1"/>
  <c r="B2027" i="1"/>
  <c r="S2026" i="1"/>
  <c r="L2026" i="1"/>
  <c r="K2026" i="1"/>
  <c r="J2026" i="1"/>
  <c r="H2026" i="1"/>
  <c r="G2026" i="1"/>
  <c r="F2026" i="1"/>
  <c r="D2026" i="1"/>
  <c r="B2026" i="1"/>
  <c r="S2025" i="1"/>
  <c r="L2025" i="1"/>
  <c r="K2025" i="1"/>
  <c r="J2025" i="1"/>
  <c r="H2025" i="1"/>
  <c r="G2025" i="1"/>
  <c r="F2025" i="1"/>
  <c r="D2025" i="1"/>
  <c r="B2025" i="1"/>
  <c r="S2024" i="1"/>
  <c r="L2024" i="1"/>
  <c r="K2024" i="1"/>
  <c r="J2024" i="1"/>
  <c r="H2024" i="1"/>
  <c r="G2024" i="1"/>
  <c r="F2024" i="1"/>
  <c r="D2024" i="1"/>
  <c r="B2024" i="1"/>
  <c r="S2023" i="1"/>
  <c r="L2023" i="1"/>
  <c r="K2023" i="1"/>
  <c r="J2023" i="1"/>
  <c r="H2023" i="1"/>
  <c r="G2023" i="1"/>
  <c r="F2023" i="1"/>
  <c r="D2023" i="1"/>
  <c r="B2023" i="1"/>
  <c r="S2022" i="1"/>
  <c r="L2022" i="1"/>
  <c r="K2022" i="1"/>
  <c r="J2022" i="1"/>
  <c r="H2022" i="1"/>
  <c r="G2022" i="1"/>
  <c r="F2022" i="1"/>
  <c r="D2022" i="1"/>
  <c r="B2022" i="1"/>
  <c r="S2021" i="1"/>
  <c r="Q2021" i="1"/>
  <c r="L2021" i="1"/>
  <c r="K2021" i="1"/>
  <c r="J2021" i="1"/>
  <c r="H2021" i="1"/>
  <c r="G2021" i="1"/>
  <c r="F2021" i="1"/>
  <c r="D2021" i="1"/>
  <c r="B2021" i="1"/>
  <c r="S2020" i="1"/>
  <c r="L2020" i="1"/>
  <c r="K2020" i="1"/>
  <c r="J2020" i="1"/>
  <c r="H2020" i="1"/>
  <c r="G2020" i="1"/>
  <c r="F2020" i="1"/>
  <c r="D2020" i="1"/>
  <c r="B2020" i="1"/>
  <c r="S2019" i="1"/>
  <c r="L2019" i="1"/>
  <c r="K2019" i="1"/>
  <c r="J2019" i="1"/>
  <c r="H2019" i="1"/>
  <c r="G2019" i="1"/>
  <c r="F2019" i="1"/>
  <c r="D2019" i="1"/>
  <c r="B2019" i="1"/>
  <c r="S2018" i="1"/>
  <c r="L2018" i="1"/>
  <c r="K2018" i="1"/>
  <c r="J2018" i="1"/>
  <c r="H2018" i="1"/>
  <c r="G2018" i="1"/>
  <c r="F2018" i="1"/>
  <c r="D2018" i="1"/>
  <c r="B2018" i="1"/>
  <c r="S2017" i="1"/>
  <c r="L2017" i="1"/>
  <c r="K2017" i="1"/>
  <c r="J2017" i="1"/>
  <c r="H2017" i="1"/>
  <c r="G2017" i="1"/>
  <c r="F2017" i="1"/>
  <c r="D2017" i="1"/>
  <c r="B2017" i="1"/>
  <c r="S2016" i="1"/>
  <c r="L2016" i="1"/>
  <c r="K2016" i="1"/>
  <c r="J2016" i="1"/>
  <c r="H2016" i="1"/>
  <c r="G2016" i="1"/>
  <c r="F2016" i="1"/>
  <c r="D2016" i="1"/>
  <c r="B2016" i="1"/>
  <c r="S2015" i="1"/>
  <c r="L2015" i="1"/>
  <c r="K2015" i="1"/>
  <c r="J2015" i="1"/>
  <c r="H2015" i="1"/>
  <c r="G2015" i="1"/>
  <c r="F2015" i="1"/>
  <c r="D2015" i="1"/>
  <c r="B2015" i="1"/>
  <c r="S2014" i="1"/>
  <c r="L2014" i="1"/>
  <c r="K2014" i="1"/>
  <c r="J2014" i="1"/>
  <c r="H2014" i="1"/>
  <c r="G2014" i="1"/>
  <c r="F2014" i="1"/>
  <c r="D2014" i="1"/>
  <c r="B2014" i="1"/>
  <c r="S2013" i="1"/>
  <c r="Q2013" i="1"/>
  <c r="L2013" i="1"/>
  <c r="K2013" i="1"/>
  <c r="J2013" i="1"/>
  <c r="H2013" i="1"/>
  <c r="G2013" i="1"/>
  <c r="F2013" i="1"/>
  <c r="D2013" i="1"/>
  <c r="B2013" i="1"/>
  <c r="S2012" i="1"/>
  <c r="Q2012" i="1"/>
  <c r="L2012" i="1"/>
  <c r="K2012" i="1"/>
  <c r="J2012" i="1"/>
  <c r="H2012" i="1"/>
  <c r="G2012" i="1"/>
  <c r="F2012" i="1"/>
  <c r="D2012" i="1"/>
  <c r="B2012" i="1"/>
  <c r="S2011" i="1"/>
  <c r="Q2011" i="1"/>
  <c r="L2011" i="1"/>
  <c r="K2011" i="1"/>
  <c r="J2011" i="1"/>
  <c r="H2011" i="1"/>
  <c r="G2011" i="1"/>
  <c r="F2011" i="1"/>
  <c r="D2011" i="1"/>
  <c r="B2011" i="1"/>
  <c r="S2010" i="1"/>
  <c r="Q2010" i="1"/>
  <c r="L2010" i="1"/>
  <c r="K2010" i="1"/>
  <c r="J2010" i="1"/>
  <c r="H2010" i="1"/>
  <c r="G2010" i="1"/>
  <c r="F2010" i="1"/>
  <c r="D2010" i="1"/>
  <c r="B2010" i="1"/>
  <c r="S2009" i="1"/>
  <c r="Q2009" i="1"/>
  <c r="L2009" i="1"/>
  <c r="K2009" i="1"/>
  <c r="J2009" i="1"/>
  <c r="H2009" i="1"/>
  <c r="G2009" i="1"/>
  <c r="F2009" i="1"/>
  <c r="D2009" i="1"/>
  <c r="B2009" i="1"/>
  <c r="S2008" i="1"/>
  <c r="Q2008" i="1"/>
  <c r="L2008" i="1"/>
  <c r="K2008" i="1"/>
  <c r="J2008" i="1"/>
  <c r="H2008" i="1"/>
  <c r="G2008" i="1"/>
  <c r="F2008" i="1"/>
  <c r="D2008" i="1"/>
  <c r="B2008" i="1"/>
  <c r="S2007" i="1"/>
  <c r="Q2007" i="1"/>
  <c r="L2007" i="1"/>
  <c r="K2007" i="1"/>
  <c r="J2007" i="1"/>
  <c r="H2007" i="1"/>
  <c r="G2007" i="1"/>
  <c r="F2007" i="1"/>
  <c r="D2007" i="1"/>
  <c r="B2007" i="1"/>
  <c r="S2006" i="1"/>
  <c r="Q2006" i="1"/>
  <c r="L2006" i="1"/>
  <c r="K2006" i="1"/>
  <c r="J2006" i="1"/>
  <c r="H2006" i="1"/>
  <c r="G2006" i="1"/>
  <c r="F2006" i="1"/>
  <c r="D2006" i="1"/>
  <c r="B2006" i="1"/>
  <c r="S2005" i="1"/>
  <c r="Q2005" i="1"/>
  <c r="L2005" i="1"/>
  <c r="K2005" i="1"/>
  <c r="J2005" i="1"/>
  <c r="H2005" i="1"/>
  <c r="G2005" i="1"/>
  <c r="F2005" i="1"/>
  <c r="D2005" i="1"/>
  <c r="B2005" i="1"/>
  <c r="S2004" i="1"/>
  <c r="L2004" i="1"/>
  <c r="K2004" i="1"/>
  <c r="J2004" i="1"/>
  <c r="H2004" i="1"/>
  <c r="G2004" i="1"/>
  <c r="F2004" i="1"/>
  <c r="D2004" i="1"/>
  <c r="B2004" i="1"/>
  <c r="S2003" i="1"/>
  <c r="L2003" i="1"/>
  <c r="K2003" i="1"/>
  <c r="J2003" i="1"/>
  <c r="H2003" i="1"/>
  <c r="G2003" i="1"/>
  <c r="F2003" i="1"/>
  <c r="D2003" i="1"/>
  <c r="B2003" i="1"/>
  <c r="S2002" i="1"/>
  <c r="L2002" i="1"/>
  <c r="K2002" i="1"/>
  <c r="J2002" i="1"/>
  <c r="H2002" i="1"/>
  <c r="G2002" i="1"/>
  <c r="F2002" i="1"/>
  <c r="D2002" i="1"/>
  <c r="B2002" i="1"/>
  <c r="S2001" i="1"/>
  <c r="L2001" i="1"/>
  <c r="K2001" i="1"/>
  <c r="J2001" i="1"/>
  <c r="H2001" i="1"/>
  <c r="G2001" i="1"/>
  <c r="F2001" i="1"/>
  <c r="D2001" i="1"/>
  <c r="B2001" i="1"/>
  <c r="S2000" i="1"/>
  <c r="L2000" i="1"/>
  <c r="K2000" i="1"/>
  <c r="J2000" i="1"/>
  <c r="H2000" i="1"/>
  <c r="G2000" i="1"/>
  <c r="F2000" i="1"/>
  <c r="D2000" i="1"/>
  <c r="B2000" i="1"/>
  <c r="S1999" i="1"/>
  <c r="L1999" i="1"/>
  <c r="K1999" i="1"/>
  <c r="J1999" i="1"/>
  <c r="H1999" i="1"/>
  <c r="G1999" i="1"/>
  <c r="F1999" i="1"/>
  <c r="D1999" i="1"/>
  <c r="B1999" i="1"/>
  <c r="S1998" i="1"/>
  <c r="L1998" i="1"/>
  <c r="K1998" i="1"/>
  <c r="J1998" i="1"/>
  <c r="H1998" i="1"/>
  <c r="G1998" i="1"/>
  <c r="F1998" i="1"/>
  <c r="D1998" i="1"/>
  <c r="B1998" i="1"/>
  <c r="S1997" i="1"/>
  <c r="L1997" i="1"/>
  <c r="K1997" i="1"/>
  <c r="J1997" i="1"/>
  <c r="H1997" i="1"/>
  <c r="G1997" i="1"/>
  <c r="F1997" i="1"/>
  <c r="D1997" i="1"/>
  <c r="B1997" i="1"/>
  <c r="S1996" i="1"/>
  <c r="L1996" i="1"/>
  <c r="K1996" i="1"/>
  <c r="J1996" i="1"/>
  <c r="H1996" i="1"/>
  <c r="G1996" i="1"/>
  <c r="F1996" i="1"/>
  <c r="D1996" i="1"/>
  <c r="B1996" i="1"/>
  <c r="S1995" i="1"/>
  <c r="L1995" i="1"/>
  <c r="K1995" i="1"/>
  <c r="J1995" i="1"/>
  <c r="H1995" i="1"/>
  <c r="G1995" i="1"/>
  <c r="F1995" i="1"/>
  <c r="D1995" i="1"/>
  <c r="B1995" i="1"/>
  <c r="S1994" i="1"/>
  <c r="Q1994" i="1"/>
  <c r="L1994" i="1"/>
  <c r="K1994" i="1"/>
  <c r="J1994" i="1"/>
  <c r="H1994" i="1"/>
  <c r="G1994" i="1"/>
  <c r="F1994" i="1"/>
  <c r="D1994" i="1"/>
  <c r="B1994" i="1"/>
  <c r="S1993" i="1"/>
  <c r="Q1993" i="1"/>
  <c r="L1993" i="1"/>
  <c r="K1993" i="1"/>
  <c r="J1993" i="1"/>
  <c r="I1993" i="1"/>
  <c r="H1993" i="1"/>
  <c r="G1993" i="1"/>
  <c r="F1993" i="1"/>
  <c r="E1993" i="1"/>
  <c r="D1993" i="1"/>
  <c r="B1993" i="1"/>
  <c r="S1992" i="1"/>
  <c r="L1992" i="1"/>
  <c r="K1992" i="1"/>
  <c r="J1992" i="1"/>
  <c r="H1992" i="1"/>
  <c r="G1992" i="1"/>
  <c r="F1992" i="1"/>
  <c r="D1992" i="1"/>
  <c r="B1992" i="1"/>
  <c r="S1991" i="1"/>
  <c r="L1991" i="1"/>
  <c r="K1991" i="1"/>
  <c r="J1991" i="1"/>
  <c r="H1991" i="1"/>
  <c r="G1991" i="1"/>
  <c r="F1991" i="1"/>
  <c r="D1991" i="1"/>
  <c r="B1991" i="1"/>
  <c r="S1990" i="1"/>
  <c r="Q1990" i="1"/>
  <c r="L1990" i="1"/>
  <c r="K1990" i="1"/>
  <c r="J1990" i="1"/>
  <c r="H1990" i="1"/>
  <c r="G1990" i="1"/>
  <c r="F1990" i="1"/>
  <c r="D1990" i="1"/>
  <c r="B1990" i="1"/>
  <c r="S1989" i="1"/>
  <c r="L1989" i="1"/>
  <c r="K1989" i="1"/>
  <c r="J1989" i="1"/>
  <c r="H1989" i="1"/>
  <c r="G1989" i="1"/>
  <c r="F1989" i="1"/>
  <c r="D1989" i="1"/>
  <c r="B1989" i="1"/>
  <c r="S1988" i="1"/>
  <c r="Q1988" i="1"/>
  <c r="L1988" i="1"/>
  <c r="K1988" i="1"/>
  <c r="J1988" i="1"/>
  <c r="H1988" i="1"/>
  <c r="G1988" i="1"/>
  <c r="F1988" i="1"/>
  <c r="D1988" i="1"/>
  <c r="B1988" i="1"/>
  <c r="S1987" i="1"/>
  <c r="L1987" i="1"/>
  <c r="K1987" i="1"/>
  <c r="J1987" i="1"/>
  <c r="H1987" i="1"/>
  <c r="G1987" i="1"/>
  <c r="F1987" i="1"/>
  <c r="D1987" i="1"/>
  <c r="B1987" i="1"/>
  <c r="S1986" i="1"/>
  <c r="L1986" i="1"/>
  <c r="K1986" i="1"/>
  <c r="J1986" i="1"/>
  <c r="H1986" i="1"/>
  <c r="G1986" i="1"/>
  <c r="F1986" i="1"/>
  <c r="D1986" i="1"/>
  <c r="B1986" i="1"/>
  <c r="S1985" i="1"/>
  <c r="L1985" i="1"/>
  <c r="K1985" i="1"/>
  <c r="J1985" i="1"/>
  <c r="H1985" i="1"/>
  <c r="G1985" i="1"/>
  <c r="F1985" i="1"/>
  <c r="D1985" i="1"/>
  <c r="B1985" i="1"/>
  <c r="S1984" i="1"/>
  <c r="L1984" i="1"/>
  <c r="K1984" i="1"/>
  <c r="J1984" i="1"/>
  <c r="H1984" i="1"/>
  <c r="G1984" i="1"/>
  <c r="F1984" i="1"/>
  <c r="D1984" i="1"/>
  <c r="B1984" i="1"/>
  <c r="S1983" i="1"/>
  <c r="L1983" i="1"/>
  <c r="K1983" i="1"/>
  <c r="J1983" i="1"/>
  <c r="H1983" i="1"/>
  <c r="G1983" i="1"/>
  <c r="F1983" i="1"/>
  <c r="D1983" i="1"/>
  <c r="B1983" i="1"/>
  <c r="S1982" i="1"/>
  <c r="Q1982" i="1"/>
  <c r="L1982" i="1"/>
  <c r="K1982" i="1"/>
  <c r="J1982" i="1"/>
  <c r="H1982" i="1"/>
  <c r="G1982" i="1"/>
  <c r="F1982" i="1"/>
  <c r="D1982" i="1"/>
  <c r="B1982" i="1"/>
  <c r="S1981" i="1"/>
  <c r="L1981" i="1"/>
  <c r="K1981" i="1"/>
  <c r="J1981" i="1"/>
  <c r="H1981" i="1"/>
  <c r="G1981" i="1"/>
  <c r="F1981" i="1"/>
  <c r="D1981" i="1"/>
  <c r="B1981" i="1"/>
  <c r="S1980" i="1"/>
  <c r="L1980" i="1"/>
  <c r="K1980" i="1"/>
  <c r="J1980" i="1"/>
  <c r="H1980" i="1"/>
  <c r="G1980" i="1"/>
  <c r="F1980" i="1"/>
  <c r="D1980" i="1"/>
  <c r="B1980" i="1"/>
  <c r="S1979" i="1"/>
  <c r="Q1979" i="1"/>
  <c r="L1979" i="1"/>
  <c r="K1979" i="1"/>
  <c r="J1979" i="1"/>
  <c r="I1979" i="1"/>
  <c r="H1979" i="1"/>
  <c r="G1979" i="1"/>
  <c r="F1979" i="1"/>
  <c r="D1979" i="1"/>
  <c r="B1979" i="1"/>
  <c r="S1978" i="1"/>
  <c r="L1978" i="1"/>
  <c r="K1978" i="1"/>
  <c r="J1978" i="1"/>
  <c r="H1978" i="1"/>
  <c r="G1978" i="1"/>
  <c r="F1978" i="1"/>
  <c r="D1978" i="1"/>
  <c r="B1978" i="1"/>
  <c r="S1977" i="1"/>
  <c r="L1977" i="1"/>
  <c r="K1977" i="1"/>
  <c r="J1977" i="1"/>
  <c r="H1977" i="1"/>
  <c r="G1977" i="1"/>
  <c r="F1977" i="1"/>
  <c r="D1977" i="1"/>
  <c r="B1977" i="1"/>
  <c r="S1976" i="1"/>
  <c r="L1976" i="1"/>
  <c r="K1976" i="1"/>
  <c r="J1976" i="1"/>
  <c r="H1976" i="1"/>
  <c r="G1976" i="1"/>
  <c r="F1976" i="1"/>
  <c r="D1976" i="1"/>
  <c r="B1976" i="1"/>
  <c r="S1975" i="1"/>
  <c r="L1975" i="1"/>
  <c r="K1975" i="1"/>
  <c r="J1975" i="1"/>
  <c r="H1975" i="1"/>
  <c r="G1975" i="1"/>
  <c r="F1975" i="1"/>
  <c r="D1975" i="1"/>
  <c r="B1975" i="1"/>
  <c r="S1974" i="1"/>
  <c r="L1974" i="1"/>
  <c r="K1974" i="1"/>
  <c r="J1974" i="1"/>
  <c r="H1974" i="1"/>
  <c r="G1974" i="1"/>
  <c r="F1974" i="1"/>
  <c r="D1974" i="1"/>
  <c r="B1974" i="1"/>
  <c r="S1973" i="1"/>
  <c r="L1973" i="1"/>
  <c r="K1973" i="1"/>
  <c r="J1973" i="1"/>
  <c r="H1973" i="1"/>
  <c r="G1973" i="1"/>
  <c r="F1973" i="1"/>
  <c r="D1973" i="1"/>
  <c r="B1973" i="1"/>
  <c r="S1972" i="1"/>
  <c r="L1972" i="1"/>
  <c r="K1972" i="1"/>
  <c r="J1972" i="1"/>
  <c r="H1972" i="1"/>
  <c r="G1972" i="1"/>
  <c r="F1972" i="1"/>
  <c r="D1972" i="1"/>
  <c r="B1972" i="1"/>
  <c r="S1971" i="1"/>
  <c r="L1971" i="1"/>
  <c r="K1971" i="1"/>
  <c r="J1971" i="1"/>
  <c r="H1971" i="1"/>
  <c r="G1971" i="1"/>
  <c r="F1971" i="1"/>
  <c r="D1971" i="1"/>
  <c r="B1971" i="1"/>
  <c r="S1970" i="1"/>
  <c r="L1970" i="1"/>
  <c r="K1970" i="1"/>
  <c r="J1970" i="1"/>
  <c r="H1970" i="1"/>
  <c r="G1970" i="1"/>
  <c r="F1970" i="1"/>
  <c r="D1970" i="1"/>
  <c r="B1970" i="1"/>
  <c r="S1969" i="1"/>
  <c r="L1969" i="1"/>
  <c r="K1969" i="1"/>
  <c r="J1969" i="1"/>
  <c r="H1969" i="1"/>
  <c r="G1969" i="1"/>
  <c r="F1969" i="1"/>
  <c r="D1969" i="1"/>
  <c r="B1969" i="1"/>
  <c r="S1968" i="1"/>
  <c r="L1968" i="1"/>
  <c r="K1968" i="1"/>
  <c r="J1968" i="1"/>
  <c r="H1968" i="1"/>
  <c r="G1968" i="1"/>
  <c r="F1968" i="1"/>
  <c r="D1968" i="1"/>
  <c r="B1968" i="1"/>
  <c r="S1967" i="1"/>
  <c r="L1967" i="1"/>
  <c r="K1967" i="1"/>
  <c r="J1967" i="1"/>
  <c r="H1967" i="1"/>
  <c r="G1967" i="1"/>
  <c r="F1967" i="1"/>
  <c r="D1967" i="1"/>
  <c r="B1967" i="1"/>
  <c r="S1966" i="1"/>
  <c r="L1966" i="1"/>
  <c r="K1966" i="1"/>
  <c r="J1966" i="1"/>
  <c r="H1966" i="1"/>
  <c r="G1966" i="1"/>
  <c r="F1966" i="1"/>
  <c r="D1966" i="1"/>
  <c r="B1966" i="1"/>
  <c r="S1965" i="1"/>
  <c r="L1965" i="1"/>
  <c r="K1965" i="1"/>
  <c r="J1965" i="1"/>
  <c r="H1965" i="1"/>
  <c r="G1965" i="1"/>
  <c r="F1965" i="1"/>
  <c r="D1965" i="1"/>
  <c r="B1965" i="1"/>
  <c r="S1964" i="1"/>
  <c r="L1964" i="1"/>
  <c r="K1964" i="1"/>
  <c r="J1964" i="1"/>
  <c r="H1964" i="1"/>
  <c r="G1964" i="1"/>
  <c r="F1964" i="1"/>
  <c r="D1964" i="1"/>
  <c r="B1964" i="1"/>
  <c r="S1963" i="1"/>
  <c r="L1963" i="1"/>
  <c r="K1963" i="1"/>
  <c r="J1963" i="1"/>
  <c r="H1963" i="1"/>
  <c r="G1963" i="1"/>
  <c r="F1963" i="1"/>
  <c r="D1963" i="1"/>
  <c r="B1963" i="1"/>
  <c r="S1962" i="1"/>
  <c r="L1962" i="1"/>
  <c r="K1962" i="1"/>
  <c r="J1962" i="1"/>
  <c r="H1962" i="1"/>
  <c r="G1962" i="1"/>
  <c r="F1962" i="1"/>
  <c r="D1962" i="1"/>
  <c r="B1962" i="1"/>
  <c r="S1961" i="1"/>
  <c r="L1961" i="1"/>
  <c r="K1961" i="1"/>
  <c r="J1961" i="1"/>
  <c r="H1961" i="1"/>
  <c r="G1961" i="1"/>
  <c r="F1961" i="1"/>
  <c r="D1961" i="1"/>
  <c r="B1961" i="1"/>
  <c r="S1960" i="1"/>
  <c r="L1960" i="1"/>
  <c r="K1960" i="1"/>
  <c r="J1960" i="1"/>
  <c r="H1960" i="1"/>
  <c r="G1960" i="1"/>
  <c r="F1960" i="1"/>
  <c r="D1960" i="1"/>
  <c r="B1960" i="1"/>
  <c r="S1959" i="1"/>
  <c r="L1959" i="1"/>
  <c r="K1959" i="1"/>
  <c r="J1959" i="1"/>
  <c r="H1959" i="1"/>
  <c r="G1959" i="1"/>
  <c r="F1959" i="1"/>
  <c r="D1959" i="1"/>
  <c r="B1959" i="1"/>
  <c r="S1958" i="1"/>
  <c r="L1958" i="1"/>
  <c r="K1958" i="1"/>
  <c r="J1958" i="1"/>
  <c r="H1958" i="1"/>
  <c r="G1958" i="1"/>
  <c r="F1958" i="1"/>
  <c r="D1958" i="1"/>
  <c r="B1958" i="1"/>
  <c r="S1957" i="1"/>
  <c r="L1957" i="1"/>
  <c r="K1957" i="1"/>
  <c r="J1957" i="1"/>
  <c r="H1957" i="1"/>
  <c r="G1957" i="1"/>
  <c r="F1957" i="1"/>
  <c r="D1957" i="1"/>
  <c r="B1957" i="1"/>
  <c r="S1956" i="1"/>
  <c r="L1956" i="1"/>
  <c r="K1956" i="1"/>
  <c r="J1956" i="1"/>
  <c r="H1956" i="1"/>
  <c r="G1956" i="1"/>
  <c r="F1956" i="1"/>
  <c r="D1956" i="1"/>
  <c r="B1956" i="1"/>
  <c r="S1955" i="1"/>
  <c r="L1955" i="1"/>
  <c r="K1955" i="1"/>
  <c r="J1955" i="1"/>
  <c r="H1955" i="1"/>
  <c r="G1955" i="1"/>
  <c r="F1955" i="1"/>
  <c r="D1955" i="1"/>
  <c r="B1955" i="1"/>
  <c r="S1954" i="1"/>
  <c r="L1954" i="1"/>
  <c r="K1954" i="1"/>
  <c r="J1954" i="1"/>
  <c r="H1954" i="1"/>
  <c r="G1954" i="1"/>
  <c r="F1954" i="1"/>
  <c r="D1954" i="1"/>
  <c r="B1954" i="1"/>
  <c r="S1953" i="1"/>
  <c r="L1953" i="1"/>
  <c r="K1953" i="1"/>
  <c r="J1953" i="1"/>
  <c r="H1953" i="1"/>
  <c r="G1953" i="1"/>
  <c r="F1953" i="1"/>
  <c r="D1953" i="1"/>
  <c r="B1953" i="1"/>
  <c r="S1952" i="1"/>
  <c r="L1952" i="1"/>
  <c r="K1952" i="1"/>
  <c r="J1952" i="1"/>
  <c r="H1952" i="1"/>
  <c r="G1952" i="1"/>
  <c r="F1952" i="1"/>
  <c r="D1952" i="1"/>
  <c r="B1952" i="1"/>
  <c r="S1951" i="1"/>
  <c r="L1951" i="1"/>
  <c r="K1951" i="1"/>
  <c r="J1951" i="1"/>
  <c r="H1951" i="1"/>
  <c r="G1951" i="1"/>
  <c r="F1951" i="1"/>
  <c r="D1951" i="1"/>
  <c r="B1951" i="1"/>
  <c r="S1950" i="1"/>
  <c r="Q1950" i="1"/>
  <c r="L1950" i="1"/>
  <c r="K1950" i="1"/>
  <c r="J1950" i="1"/>
  <c r="H1950" i="1"/>
  <c r="G1950" i="1"/>
  <c r="F1950" i="1"/>
  <c r="D1950" i="1"/>
  <c r="B1950" i="1"/>
  <c r="S1949" i="1"/>
  <c r="L1949" i="1"/>
  <c r="K1949" i="1"/>
  <c r="J1949" i="1"/>
  <c r="H1949" i="1"/>
  <c r="G1949" i="1"/>
  <c r="F1949" i="1"/>
  <c r="D1949" i="1"/>
  <c r="B1949" i="1"/>
  <c r="S1948" i="1"/>
  <c r="L1948" i="1"/>
  <c r="K1948" i="1"/>
  <c r="J1948" i="1"/>
  <c r="H1948" i="1"/>
  <c r="G1948" i="1"/>
  <c r="F1948" i="1"/>
  <c r="D1948" i="1"/>
  <c r="B1948" i="1"/>
  <c r="S1947" i="1"/>
  <c r="L1947" i="1"/>
  <c r="K1947" i="1"/>
  <c r="J1947" i="1"/>
  <c r="H1947" i="1"/>
  <c r="G1947" i="1"/>
  <c r="F1947" i="1"/>
  <c r="D1947" i="1"/>
  <c r="B1947" i="1"/>
  <c r="S1946" i="1"/>
  <c r="L1946" i="1"/>
  <c r="K1946" i="1"/>
  <c r="J1946" i="1"/>
  <c r="H1946" i="1"/>
  <c r="G1946" i="1"/>
  <c r="F1946" i="1"/>
  <c r="D1946" i="1"/>
  <c r="B1946" i="1"/>
  <c r="S1945" i="1"/>
  <c r="L1945" i="1"/>
  <c r="K1945" i="1"/>
  <c r="J1945" i="1"/>
  <c r="H1945" i="1"/>
  <c r="G1945" i="1"/>
  <c r="F1945" i="1"/>
  <c r="D1945" i="1"/>
  <c r="B1945" i="1"/>
  <c r="S1944" i="1"/>
  <c r="L1944" i="1"/>
  <c r="K1944" i="1"/>
  <c r="J1944" i="1"/>
  <c r="H1944" i="1"/>
  <c r="G1944" i="1"/>
  <c r="F1944" i="1"/>
  <c r="D1944" i="1"/>
  <c r="B1944" i="1"/>
  <c r="S1943" i="1"/>
  <c r="L1943" i="1"/>
  <c r="K1943" i="1"/>
  <c r="J1943" i="1"/>
  <c r="H1943" i="1"/>
  <c r="G1943" i="1"/>
  <c r="F1943" i="1"/>
  <c r="D1943" i="1"/>
  <c r="B1943" i="1"/>
  <c r="S1942" i="1"/>
  <c r="L1942" i="1"/>
  <c r="K1942" i="1"/>
  <c r="J1942" i="1"/>
  <c r="H1942" i="1"/>
  <c r="G1942" i="1"/>
  <c r="F1942" i="1"/>
  <c r="D1942" i="1"/>
  <c r="B1942" i="1"/>
  <c r="S1941" i="1"/>
  <c r="Q1941" i="1"/>
  <c r="L1941" i="1"/>
  <c r="K1941" i="1"/>
  <c r="J1941" i="1"/>
  <c r="H1941" i="1"/>
  <c r="G1941" i="1"/>
  <c r="F1941" i="1"/>
  <c r="D1941" i="1"/>
  <c r="B1941" i="1"/>
  <c r="S1940" i="1"/>
  <c r="Q1940" i="1"/>
  <c r="L1940" i="1"/>
  <c r="K1940" i="1"/>
  <c r="J1940" i="1"/>
  <c r="H1940" i="1"/>
  <c r="G1940" i="1"/>
  <c r="F1940" i="1"/>
  <c r="D1940" i="1"/>
  <c r="B1940" i="1"/>
  <c r="S1939" i="1"/>
  <c r="Q1939" i="1"/>
  <c r="L1939" i="1"/>
  <c r="K1939" i="1"/>
  <c r="J1939" i="1"/>
  <c r="H1939" i="1"/>
  <c r="G1939" i="1"/>
  <c r="F1939" i="1"/>
  <c r="D1939" i="1"/>
  <c r="B1939" i="1"/>
  <c r="S1938" i="1"/>
  <c r="Q1938" i="1"/>
  <c r="L1938" i="1"/>
  <c r="K1938" i="1"/>
  <c r="J1938" i="1"/>
  <c r="H1938" i="1"/>
  <c r="G1938" i="1"/>
  <c r="F1938" i="1"/>
  <c r="D1938" i="1"/>
  <c r="B1938" i="1"/>
  <c r="S1937" i="1"/>
  <c r="L1937" i="1"/>
  <c r="K1937" i="1"/>
  <c r="J1937" i="1"/>
  <c r="H1937" i="1"/>
  <c r="G1937" i="1"/>
  <c r="F1937" i="1"/>
  <c r="D1937" i="1"/>
  <c r="B1937" i="1"/>
  <c r="S1936" i="1"/>
  <c r="Q1936" i="1"/>
  <c r="L1936" i="1"/>
  <c r="K1936" i="1"/>
  <c r="J1936" i="1"/>
  <c r="H1936" i="1"/>
  <c r="G1936" i="1"/>
  <c r="F1936" i="1"/>
  <c r="D1936" i="1"/>
  <c r="B1936" i="1"/>
  <c r="S1935" i="1"/>
  <c r="Q1935" i="1"/>
  <c r="L1935" i="1"/>
  <c r="K1935" i="1"/>
  <c r="J1935" i="1"/>
  <c r="H1935" i="1"/>
  <c r="G1935" i="1"/>
  <c r="F1935" i="1"/>
  <c r="D1935" i="1"/>
  <c r="B1935" i="1"/>
  <c r="S1934" i="1"/>
  <c r="Q1934" i="1"/>
  <c r="L1934" i="1"/>
  <c r="K1934" i="1"/>
  <c r="J1934" i="1"/>
  <c r="H1934" i="1"/>
  <c r="G1934" i="1"/>
  <c r="F1934" i="1"/>
  <c r="D1934" i="1"/>
  <c r="B1934" i="1"/>
  <c r="S1933" i="1"/>
  <c r="Q1933" i="1"/>
  <c r="L1933" i="1"/>
  <c r="K1933" i="1"/>
  <c r="J1933" i="1"/>
  <c r="H1933" i="1"/>
  <c r="G1933" i="1"/>
  <c r="F1933" i="1"/>
  <c r="D1933" i="1"/>
  <c r="B1933" i="1"/>
  <c r="S1932" i="1"/>
  <c r="Q1932" i="1"/>
  <c r="L1932" i="1"/>
  <c r="K1932" i="1"/>
  <c r="J1932" i="1"/>
  <c r="H1932" i="1"/>
  <c r="G1932" i="1"/>
  <c r="F1932" i="1"/>
  <c r="D1932" i="1"/>
  <c r="B1932" i="1"/>
  <c r="S1931" i="1"/>
  <c r="Q1931" i="1"/>
  <c r="L1931" i="1"/>
  <c r="K1931" i="1"/>
  <c r="J1931" i="1"/>
  <c r="H1931" i="1"/>
  <c r="G1931" i="1"/>
  <c r="F1931" i="1"/>
  <c r="D1931" i="1"/>
  <c r="B1931" i="1"/>
  <c r="S1930" i="1"/>
  <c r="Q1930" i="1"/>
  <c r="L1930" i="1"/>
  <c r="K1930" i="1"/>
  <c r="J1930" i="1"/>
  <c r="H1930" i="1"/>
  <c r="G1930" i="1"/>
  <c r="F1930" i="1"/>
  <c r="D1930" i="1"/>
  <c r="B1930" i="1"/>
  <c r="S1929" i="1"/>
  <c r="Q1929" i="1"/>
  <c r="L1929" i="1"/>
  <c r="K1929" i="1"/>
  <c r="J1929" i="1"/>
  <c r="H1929" i="1"/>
  <c r="G1929" i="1"/>
  <c r="F1929" i="1"/>
  <c r="D1929" i="1"/>
  <c r="B1929" i="1"/>
  <c r="S1928" i="1"/>
  <c r="Q1928" i="1"/>
  <c r="L1928" i="1"/>
  <c r="K1928" i="1"/>
  <c r="J1928" i="1"/>
  <c r="H1928" i="1"/>
  <c r="G1928" i="1"/>
  <c r="F1928" i="1"/>
  <c r="D1928" i="1"/>
  <c r="B1928" i="1"/>
  <c r="S1927" i="1"/>
  <c r="Q1927" i="1"/>
  <c r="L1927" i="1"/>
  <c r="K1927" i="1"/>
  <c r="J1927" i="1"/>
  <c r="H1927" i="1"/>
  <c r="G1927" i="1"/>
  <c r="F1927" i="1"/>
  <c r="D1927" i="1"/>
  <c r="B1927" i="1"/>
  <c r="S1926" i="1"/>
  <c r="Q1926" i="1"/>
  <c r="L1926" i="1"/>
  <c r="K1926" i="1"/>
  <c r="J1926" i="1"/>
  <c r="H1926" i="1"/>
  <c r="G1926" i="1"/>
  <c r="F1926" i="1"/>
  <c r="D1926" i="1"/>
  <c r="B1926" i="1"/>
  <c r="S1925" i="1"/>
  <c r="Q1925" i="1"/>
  <c r="L1925" i="1"/>
  <c r="K1925" i="1"/>
  <c r="J1925" i="1"/>
  <c r="H1925" i="1"/>
  <c r="G1925" i="1"/>
  <c r="F1925" i="1"/>
  <c r="D1925" i="1"/>
  <c r="B1925" i="1"/>
  <c r="S1924" i="1"/>
  <c r="Q1924" i="1"/>
  <c r="L1924" i="1"/>
  <c r="K1924" i="1"/>
  <c r="J1924" i="1"/>
  <c r="H1924" i="1"/>
  <c r="G1924" i="1"/>
  <c r="F1924" i="1"/>
  <c r="D1924" i="1"/>
  <c r="B1924" i="1"/>
  <c r="S1923" i="1"/>
  <c r="Q1923" i="1"/>
  <c r="L1923" i="1"/>
  <c r="K1923" i="1"/>
  <c r="J1923" i="1"/>
  <c r="H1923" i="1"/>
  <c r="G1923" i="1"/>
  <c r="F1923" i="1"/>
  <c r="D1923" i="1"/>
  <c r="B1923" i="1"/>
  <c r="S1922" i="1"/>
  <c r="Q1922" i="1"/>
  <c r="L1922" i="1"/>
  <c r="K1922" i="1"/>
  <c r="J1922" i="1"/>
  <c r="H1922" i="1"/>
  <c r="G1922" i="1"/>
  <c r="F1922" i="1"/>
  <c r="D1922" i="1"/>
  <c r="B1922" i="1"/>
  <c r="S1921" i="1"/>
  <c r="Q1921" i="1"/>
  <c r="L1921" i="1"/>
  <c r="K1921" i="1"/>
  <c r="J1921" i="1"/>
  <c r="H1921" i="1"/>
  <c r="G1921" i="1"/>
  <c r="F1921" i="1"/>
  <c r="D1921" i="1"/>
  <c r="B1921" i="1"/>
  <c r="S1920" i="1"/>
  <c r="L1920" i="1"/>
  <c r="K1920" i="1"/>
  <c r="J1920" i="1"/>
  <c r="H1920" i="1"/>
  <c r="G1920" i="1"/>
  <c r="F1920" i="1"/>
  <c r="D1920" i="1"/>
  <c r="B1920" i="1"/>
  <c r="S1919" i="1"/>
  <c r="Q1919" i="1"/>
  <c r="L1919" i="1"/>
  <c r="K1919" i="1"/>
  <c r="J1919" i="1"/>
  <c r="I1919" i="1"/>
  <c r="H1919" i="1"/>
  <c r="G1919" i="1"/>
  <c r="F1919" i="1"/>
  <c r="E1919" i="1"/>
  <c r="D1919" i="1"/>
  <c r="B1919" i="1"/>
  <c r="S1918" i="1"/>
  <c r="Q1918" i="1"/>
  <c r="L1918" i="1"/>
  <c r="K1918" i="1"/>
  <c r="J1918" i="1"/>
  <c r="H1918" i="1"/>
  <c r="G1918" i="1"/>
  <c r="F1918" i="1"/>
  <c r="D1918" i="1"/>
  <c r="B1918" i="1"/>
  <c r="S1917" i="1"/>
  <c r="L1917" i="1"/>
  <c r="K1917" i="1"/>
  <c r="J1917" i="1"/>
  <c r="H1917" i="1"/>
  <c r="G1917" i="1"/>
  <c r="F1917" i="1"/>
  <c r="D1917" i="1"/>
  <c r="B1917" i="1"/>
  <c r="S1916" i="1"/>
  <c r="Q1916" i="1"/>
  <c r="L1916" i="1"/>
  <c r="K1916" i="1"/>
  <c r="J1916" i="1"/>
  <c r="H1916" i="1"/>
  <c r="G1916" i="1"/>
  <c r="F1916" i="1"/>
  <c r="D1916" i="1"/>
  <c r="B1916" i="1"/>
  <c r="S1915" i="1"/>
  <c r="Q1915" i="1"/>
  <c r="L1915" i="1"/>
  <c r="K1915" i="1"/>
  <c r="J1915" i="1"/>
  <c r="H1915" i="1"/>
  <c r="G1915" i="1"/>
  <c r="F1915" i="1"/>
  <c r="D1915" i="1"/>
  <c r="B1915" i="1"/>
  <c r="S1914" i="1"/>
  <c r="Q1914" i="1"/>
  <c r="L1914" i="1"/>
  <c r="K1914" i="1"/>
  <c r="J1914" i="1"/>
  <c r="H1914" i="1"/>
  <c r="G1914" i="1"/>
  <c r="F1914" i="1"/>
  <c r="D1914" i="1"/>
  <c r="B1914" i="1"/>
  <c r="S1913" i="1"/>
  <c r="Q1913" i="1"/>
  <c r="L1913" i="1"/>
  <c r="K1913" i="1"/>
  <c r="J1913" i="1"/>
  <c r="H1913" i="1"/>
  <c r="G1913" i="1"/>
  <c r="F1913" i="1"/>
  <c r="D1913" i="1"/>
  <c r="B1913" i="1"/>
  <c r="S1912" i="1"/>
  <c r="Q1912" i="1"/>
  <c r="L1912" i="1"/>
  <c r="K1912" i="1"/>
  <c r="J1912" i="1"/>
  <c r="H1912" i="1"/>
  <c r="G1912" i="1"/>
  <c r="F1912" i="1"/>
  <c r="D1912" i="1"/>
  <c r="B1912" i="1"/>
  <c r="S1911" i="1"/>
  <c r="L1911" i="1"/>
  <c r="K1911" i="1"/>
  <c r="J1911" i="1"/>
  <c r="H1911" i="1"/>
  <c r="G1911" i="1"/>
  <c r="F1911" i="1"/>
  <c r="D1911" i="1"/>
  <c r="B1911" i="1"/>
  <c r="S1910" i="1"/>
  <c r="L1910" i="1"/>
  <c r="K1910" i="1"/>
  <c r="J1910" i="1"/>
  <c r="H1910" i="1"/>
  <c r="G1910" i="1"/>
  <c r="F1910" i="1"/>
  <c r="D1910" i="1"/>
  <c r="B1910" i="1"/>
  <c r="S1909" i="1"/>
  <c r="L1909" i="1"/>
  <c r="K1909" i="1"/>
  <c r="J1909" i="1"/>
  <c r="H1909" i="1"/>
  <c r="G1909" i="1"/>
  <c r="F1909" i="1"/>
  <c r="D1909" i="1"/>
  <c r="B1909" i="1"/>
  <c r="S1908" i="1"/>
  <c r="L1908" i="1"/>
  <c r="K1908" i="1"/>
  <c r="J1908" i="1"/>
  <c r="H1908" i="1"/>
  <c r="G1908" i="1"/>
  <c r="F1908" i="1"/>
  <c r="D1908" i="1"/>
  <c r="B1908" i="1"/>
  <c r="S1907" i="1"/>
  <c r="L1907" i="1"/>
  <c r="K1907" i="1"/>
  <c r="J1907" i="1"/>
  <c r="H1907" i="1"/>
  <c r="G1907" i="1"/>
  <c r="F1907" i="1"/>
  <c r="D1907" i="1"/>
  <c r="B1907" i="1"/>
  <c r="S1906" i="1"/>
  <c r="L1906" i="1"/>
  <c r="K1906" i="1"/>
  <c r="J1906" i="1"/>
  <c r="H1906" i="1"/>
  <c r="G1906" i="1"/>
  <c r="F1906" i="1"/>
  <c r="D1906" i="1"/>
  <c r="B1906" i="1"/>
  <c r="S1905" i="1"/>
  <c r="L1905" i="1"/>
  <c r="K1905" i="1"/>
  <c r="J1905" i="1"/>
  <c r="H1905" i="1"/>
  <c r="G1905" i="1"/>
  <c r="F1905" i="1"/>
  <c r="D1905" i="1"/>
  <c r="B1905" i="1"/>
  <c r="S1904" i="1"/>
  <c r="L1904" i="1"/>
  <c r="K1904" i="1"/>
  <c r="J1904" i="1"/>
  <c r="H1904" i="1"/>
  <c r="G1904" i="1"/>
  <c r="F1904" i="1"/>
  <c r="D1904" i="1"/>
  <c r="B1904" i="1"/>
  <c r="S1903" i="1"/>
  <c r="Q1903" i="1"/>
  <c r="L1903" i="1"/>
  <c r="K1903" i="1"/>
  <c r="J1903" i="1"/>
  <c r="H1903" i="1"/>
  <c r="G1903" i="1"/>
  <c r="F1903" i="1"/>
  <c r="D1903" i="1"/>
  <c r="B1903" i="1"/>
  <c r="S1902" i="1"/>
  <c r="L1902" i="1"/>
  <c r="K1902" i="1"/>
  <c r="J1902" i="1"/>
  <c r="H1902" i="1"/>
  <c r="G1902" i="1"/>
  <c r="F1902" i="1"/>
  <c r="D1902" i="1"/>
  <c r="B1902" i="1"/>
  <c r="S1901" i="1"/>
  <c r="L1901" i="1"/>
  <c r="K1901" i="1"/>
  <c r="J1901" i="1"/>
  <c r="H1901" i="1"/>
  <c r="G1901" i="1"/>
  <c r="F1901" i="1"/>
  <c r="D1901" i="1"/>
  <c r="B1901" i="1"/>
  <c r="S1900" i="1"/>
  <c r="L1900" i="1"/>
  <c r="K1900" i="1"/>
  <c r="J1900" i="1"/>
  <c r="H1900" i="1"/>
  <c r="G1900" i="1"/>
  <c r="F1900" i="1"/>
  <c r="D1900" i="1"/>
  <c r="B1900" i="1"/>
  <c r="S1899" i="1"/>
  <c r="L1899" i="1"/>
  <c r="K1899" i="1"/>
  <c r="J1899" i="1"/>
  <c r="H1899" i="1"/>
  <c r="G1899" i="1"/>
  <c r="F1899" i="1"/>
  <c r="D1899" i="1"/>
  <c r="B1899" i="1"/>
  <c r="S1898" i="1"/>
  <c r="Q1898" i="1"/>
  <c r="L1898" i="1"/>
  <c r="K1898" i="1"/>
  <c r="J1898" i="1"/>
  <c r="H1898" i="1"/>
  <c r="G1898" i="1"/>
  <c r="F1898" i="1"/>
  <c r="D1898" i="1"/>
  <c r="B1898" i="1"/>
  <c r="S1897" i="1"/>
  <c r="L1897" i="1"/>
  <c r="K1897" i="1"/>
  <c r="J1897" i="1"/>
  <c r="H1897" i="1"/>
  <c r="G1897" i="1"/>
  <c r="F1897" i="1"/>
  <c r="D1897" i="1"/>
  <c r="B1897" i="1"/>
  <c r="S1896" i="1"/>
  <c r="L1896" i="1"/>
  <c r="K1896" i="1"/>
  <c r="J1896" i="1"/>
  <c r="H1896" i="1"/>
  <c r="G1896" i="1"/>
  <c r="F1896" i="1"/>
  <c r="D1896" i="1"/>
  <c r="B1896" i="1"/>
  <c r="S1895" i="1"/>
  <c r="L1895" i="1"/>
  <c r="K1895" i="1"/>
  <c r="J1895" i="1"/>
  <c r="H1895" i="1"/>
  <c r="G1895" i="1"/>
  <c r="F1895" i="1"/>
  <c r="D1895" i="1"/>
  <c r="B1895" i="1"/>
  <c r="S1894" i="1"/>
  <c r="L1894" i="1"/>
  <c r="K1894" i="1"/>
  <c r="J1894" i="1"/>
  <c r="H1894" i="1"/>
  <c r="G1894" i="1"/>
  <c r="F1894" i="1"/>
  <c r="D1894" i="1"/>
  <c r="B1894" i="1"/>
  <c r="S1893" i="1"/>
  <c r="L1893" i="1"/>
  <c r="K1893" i="1"/>
  <c r="J1893" i="1"/>
  <c r="H1893" i="1"/>
  <c r="G1893" i="1"/>
  <c r="F1893" i="1"/>
  <c r="D1893" i="1"/>
  <c r="B1893" i="1"/>
  <c r="S1892" i="1"/>
  <c r="L1892" i="1"/>
  <c r="K1892" i="1"/>
  <c r="J1892" i="1"/>
  <c r="H1892" i="1"/>
  <c r="G1892" i="1"/>
  <c r="F1892" i="1"/>
  <c r="D1892" i="1"/>
  <c r="B1892" i="1"/>
  <c r="S1891" i="1"/>
  <c r="L1891" i="1"/>
  <c r="K1891" i="1"/>
  <c r="J1891" i="1"/>
  <c r="H1891" i="1"/>
  <c r="G1891" i="1"/>
  <c r="F1891" i="1"/>
  <c r="D1891" i="1"/>
  <c r="B1891" i="1"/>
  <c r="S1890" i="1"/>
  <c r="Q1890" i="1"/>
  <c r="L1890" i="1"/>
  <c r="K1890" i="1"/>
  <c r="J1890" i="1"/>
  <c r="I1890" i="1"/>
  <c r="H1890" i="1"/>
  <c r="G1890" i="1"/>
  <c r="F1890" i="1"/>
  <c r="D1890" i="1"/>
  <c r="B1890" i="1"/>
  <c r="S1889" i="1"/>
  <c r="Q1889" i="1"/>
  <c r="L1889" i="1"/>
  <c r="K1889" i="1"/>
  <c r="J1889" i="1"/>
  <c r="I1889" i="1"/>
  <c r="H1889" i="1"/>
  <c r="G1889" i="1"/>
  <c r="F1889" i="1"/>
  <c r="D1889" i="1"/>
  <c r="B1889" i="1"/>
  <c r="S1888" i="1"/>
  <c r="L1888" i="1"/>
  <c r="K1888" i="1"/>
  <c r="J1888" i="1"/>
  <c r="H1888" i="1"/>
  <c r="G1888" i="1"/>
  <c r="F1888" i="1"/>
  <c r="D1888" i="1"/>
  <c r="B1888" i="1"/>
  <c r="S1887" i="1"/>
  <c r="L1887" i="1"/>
  <c r="K1887" i="1"/>
  <c r="J1887" i="1"/>
  <c r="H1887" i="1"/>
  <c r="G1887" i="1"/>
  <c r="F1887" i="1"/>
  <c r="D1887" i="1"/>
  <c r="B1887" i="1"/>
  <c r="S1886" i="1"/>
  <c r="L1886" i="1"/>
  <c r="K1886" i="1"/>
  <c r="J1886" i="1"/>
  <c r="H1886" i="1"/>
  <c r="G1886" i="1"/>
  <c r="F1886" i="1"/>
  <c r="D1886" i="1"/>
  <c r="B1886" i="1"/>
  <c r="S1885" i="1"/>
  <c r="Q1885" i="1"/>
  <c r="L1885" i="1"/>
  <c r="K1885" i="1"/>
  <c r="J1885" i="1"/>
  <c r="H1885" i="1"/>
  <c r="G1885" i="1"/>
  <c r="F1885" i="1"/>
  <c r="D1885" i="1"/>
  <c r="B1885" i="1"/>
  <c r="S1884" i="1"/>
  <c r="Q1884" i="1"/>
  <c r="L1884" i="1"/>
  <c r="K1884" i="1"/>
  <c r="J1884" i="1"/>
  <c r="H1884" i="1"/>
  <c r="G1884" i="1"/>
  <c r="F1884" i="1"/>
  <c r="D1884" i="1"/>
  <c r="B1884" i="1"/>
  <c r="S1883" i="1"/>
  <c r="Q1883" i="1"/>
  <c r="L1883" i="1"/>
  <c r="K1883" i="1"/>
  <c r="J1883" i="1"/>
  <c r="H1883" i="1"/>
  <c r="G1883" i="1"/>
  <c r="F1883" i="1"/>
  <c r="D1883" i="1"/>
  <c r="B1883" i="1"/>
  <c r="S1882" i="1"/>
  <c r="Q1882" i="1"/>
  <c r="L1882" i="1"/>
  <c r="K1882" i="1"/>
  <c r="J1882" i="1"/>
  <c r="H1882" i="1"/>
  <c r="G1882" i="1"/>
  <c r="F1882" i="1"/>
  <c r="D1882" i="1"/>
  <c r="B1882" i="1"/>
  <c r="S1881" i="1"/>
  <c r="Q1881" i="1"/>
  <c r="L1881" i="1"/>
  <c r="K1881" i="1"/>
  <c r="J1881" i="1"/>
  <c r="I1881" i="1"/>
  <c r="H1881" i="1"/>
  <c r="G1881" i="1"/>
  <c r="F1881" i="1"/>
  <c r="E1881" i="1"/>
  <c r="D1881" i="1"/>
  <c r="B1881" i="1"/>
  <c r="S1880" i="1"/>
  <c r="Q1880" i="1"/>
  <c r="L1880" i="1"/>
  <c r="K1880" i="1"/>
  <c r="J1880" i="1"/>
  <c r="H1880" i="1"/>
  <c r="G1880" i="1"/>
  <c r="F1880" i="1"/>
  <c r="D1880" i="1"/>
  <c r="B1880" i="1"/>
  <c r="S1879" i="1"/>
  <c r="Q1879" i="1"/>
  <c r="L1879" i="1"/>
  <c r="K1879" i="1"/>
  <c r="J1879" i="1"/>
  <c r="H1879" i="1"/>
  <c r="G1879" i="1"/>
  <c r="F1879" i="1"/>
  <c r="D1879" i="1"/>
  <c r="B1879" i="1"/>
  <c r="S1878" i="1"/>
  <c r="Q1878" i="1"/>
  <c r="L1878" i="1"/>
  <c r="K1878" i="1"/>
  <c r="J1878" i="1"/>
  <c r="H1878" i="1"/>
  <c r="G1878" i="1"/>
  <c r="F1878" i="1"/>
  <c r="D1878" i="1"/>
  <c r="B1878" i="1"/>
  <c r="S1877" i="1"/>
  <c r="Q1877" i="1"/>
  <c r="L1877" i="1"/>
  <c r="K1877" i="1"/>
  <c r="J1877" i="1"/>
  <c r="H1877" i="1"/>
  <c r="G1877" i="1"/>
  <c r="F1877" i="1"/>
  <c r="D1877" i="1"/>
  <c r="B1877" i="1"/>
  <c r="S1876" i="1"/>
  <c r="Q1876" i="1"/>
  <c r="L1876" i="1"/>
  <c r="K1876" i="1"/>
  <c r="J1876" i="1"/>
  <c r="H1876" i="1"/>
  <c r="G1876" i="1"/>
  <c r="F1876" i="1"/>
  <c r="D1876" i="1"/>
  <c r="B1876" i="1"/>
  <c r="S1875" i="1"/>
  <c r="Q1875" i="1"/>
  <c r="L1875" i="1"/>
  <c r="K1875" i="1"/>
  <c r="J1875" i="1"/>
  <c r="H1875" i="1"/>
  <c r="G1875" i="1"/>
  <c r="F1875" i="1"/>
  <c r="D1875" i="1"/>
  <c r="B1875" i="1"/>
  <c r="S1874" i="1"/>
  <c r="Q1874" i="1"/>
  <c r="L1874" i="1"/>
  <c r="K1874" i="1"/>
  <c r="J1874" i="1"/>
  <c r="H1874" i="1"/>
  <c r="G1874" i="1"/>
  <c r="F1874" i="1"/>
  <c r="D1874" i="1"/>
  <c r="B1874" i="1"/>
  <c r="S1873" i="1"/>
  <c r="Q1873" i="1"/>
  <c r="L1873" i="1"/>
  <c r="K1873" i="1"/>
  <c r="J1873" i="1"/>
  <c r="H1873" i="1"/>
  <c r="G1873" i="1"/>
  <c r="F1873" i="1"/>
  <c r="D1873" i="1"/>
  <c r="B1873" i="1"/>
  <c r="S1872" i="1"/>
  <c r="L1872" i="1"/>
  <c r="K1872" i="1"/>
  <c r="J1872" i="1"/>
  <c r="H1872" i="1"/>
  <c r="G1872" i="1"/>
  <c r="F1872" i="1"/>
  <c r="D1872" i="1"/>
  <c r="B1872" i="1"/>
  <c r="S1871" i="1"/>
  <c r="Q1871" i="1"/>
  <c r="L1871" i="1"/>
  <c r="K1871" i="1"/>
  <c r="J1871" i="1"/>
  <c r="H1871" i="1"/>
  <c r="G1871" i="1"/>
  <c r="F1871" i="1"/>
  <c r="D1871" i="1"/>
  <c r="B1871" i="1"/>
  <c r="S1870" i="1"/>
  <c r="Q1870" i="1"/>
  <c r="L1870" i="1"/>
  <c r="K1870" i="1"/>
  <c r="J1870" i="1"/>
  <c r="H1870" i="1"/>
  <c r="G1870" i="1"/>
  <c r="F1870" i="1"/>
  <c r="D1870" i="1"/>
  <c r="B1870" i="1"/>
  <c r="S1869" i="1"/>
  <c r="Q1869" i="1"/>
  <c r="L1869" i="1"/>
  <c r="K1869" i="1"/>
  <c r="J1869" i="1"/>
  <c r="H1869" i="1"/>
  <c r="G1869" i="1"/>
  <c r="F1869" i="1"/>
  <c r="D1869" i="1"/>
  <c r="B1869" i="1"/>
  <c r="S1868" i="1"/>
  <c r="Q1868" i="1"/>
  <c r="L1868" i="1"/>
  <c r="K1868" i="1"/>
  <c r="J1868" i="1"/>
  <c r="H1868" i="1"/>
  <c r="G1868" i="1"/>
  <c r="F1868" i="1"/>
  <c r="D1868" i="1"/>
  <c r="B1868" i="1"/>
  <c r="S1867" i="1"/>
  <c r="Q1867" i="1"/>
  <c r="L1867" i="1"/>
  <c r="K1867" i="1"/>
  <c r="J1867" i="1"/>
  <c r="H1867" i="1"/>
  <c r="G1867" i="1"/>
  <c r="F1867" i="1"/>
  <c r="D1867" i="1"/>
  <c r="B1867" i="1"/>
  <c r="S1866" i="1"/>
  <c r="Q1866" i="1"/>
  <c r="L1866" i="1"/>
  <c r="K1866" i="1"/>
  <c r="J1866" i="1"/>
  <c r="H1866" i="1"/>
  <c r="G1866" i="1"/>
  <c r="F1866" i="1"/>
  <c r="D1866" i="1"/>
  <c r="B1866" i="1"/>
  <c r="S1865" i="1"/>
  <c r="Q1865" i="1"/>
  <c r="L1865" i="1"/>
  <c r="K1865" i="1"/>
  <c r="J1865" i="1"/>
  <c r="H1865" i="1"/>
  <c r="G1865" i="1"/>
  <c r="F1865" i="1"/>
  <c r="D1865" i="1"/>
  <c r="B1865" i="1"/>
  <c r="S1864" i="1"/>
  <c r="Q1864" i="1"/>
  <c r="L1864" i="1"/>
  <c r="K1864" i="1"/>
  <c r="J1864" i="1"/>
  <c r="H1864" i="1"/>
  <c r="G1864" i="1"/>
  <c r="F1864" i="1"/>
  <c r="D1864" i="1"/>
  <c r="B1864" i="1"/>
  <c r="S1863" i="1"/>
  <c r="Q1863" i="1"/>
  <c r="L1863" i="1"/>
  <c r="K1863" i="1"/>
  <c r="J1863" i="1"/>
  <c r="H1863" i="1"/>
  <c r="G1863" i="1"/>
  <c r="F1863" i="1"/>
  <c r="D1863" i="1"/>
  <c r="B1863" i="1"/>
  <c r="S1862" i="1"/>
  <c r="Q1862" i="1"/>
  <c r="L1862" i="1"/>
  <c r="K1862" i="1"/>
  <c r="J1862" i="1"/>
  <c r="H1862" i="1"/>
  <c r="G1862" i="1"/>
  <c r="F1862" i="1"/>
  <c r="D1862" i="1"/>
  <c r="B1862" i="1"/>
  <c r="S1861" i="1"/>
  <c r="L1861" i="1"/>
  <c r="K1861" i="1"/>
  <c r="J1861" i="1"/>
  <c r="H1861" i="1"/>
  <c r="G1861" i="1"/>
  <c r="F1861" i="1"/>
  <c r="D1861" i="1"/>
  <c r="B1861" i="1"/>
  <c r="S1860" i="1"/>
  <c r="L1860" i="1"/>
  <c r="K1860" i="1"/>
  <c r="J1860" i="1"/>
  <c r="H1860" i="1"/>
  <c r="G1860" i="1"/>
  <c r="F1860" i="1"/>
  <c r="D1860" i="1"/>
  <c r="B1860" i="1"/>
  <c r="S1859" i="1"/>
  <c r="L1859" i="1"/>
  <c r="K1859" i="1"/>
  <c r="J1859" i="1"/>
  <c r="H1859" i="1"/>
  <c r="G1859" i="1"/>
  <c r="F1859" i="1"/>
  <c r="D1859" i="1"/>
  <c r="B1859" i="1"/>
  <c r="S1858" i="1"/>
  <c r="L1858" i="1"/>
  <c r="K1858" i="1"/>
  <c r="J1858" i="1"/>
  <c r="H1858" i="1"/>
  <c r="G1858" i="1"/>
  <c r="F1858" i="1"/>
  <c r="D1858" i="1"/>
  <c r="B1858" i="1"/>
  <c r="S1857" i="1"/>
  <c r="L1857" i="1"/>
  <c r="K1857" i="1"/>
  <c r="J1857" i="1"/>
  <c r="H1857" i="1"/>
  <c r="G1857" i="1"/>
  <c r="F1857" i="1"/>
  <c r="D1857" i="1"/>
  <c r="B1857" i="1"/>
  <c r="S1856" i="1"/>
  <c r="L1856" i="1"/>
  <c r="K1856" i="1"/>
  <c r="J1856" i="1"/>
  <c r="H1856" i="1"/>
  <c r="G1856" i="1"/>
  <c r="F1856" i="1"/>
  <c r="D1856" i="1"/>
  <c r="B1856" i="1"/>
  <c r="S1855" i="1"/>
  <c r="L1855" i="1"/>
  <c r="K1855" i="1"/>
  <c r="J1855" i="1"/>
  <c r="H1855" i="1"/>
  <c r="G1855" i="1"/>
  <c r="F1855" i="1"/>
  <c r="D1855" i="1"/>
  <c r="B1855" i="1"/>
  <c r="S1854" i="1"/>
  <c r="Q1854" i="1"/>
  <c r="L1854" i="1"/>
  <c r="K1854" i="1"/>
  <c r="J1854" i="1"/>
  <c r="H1854" i="1"/>
  <c r="G1854" i="1"/>
  <c r="F1854" i="1"/>
  <c r="D1854" i="1"/>
  <c r="B1854" i="1"/>
  <c r="S1853" i="1"/>
  <c r="L1853" i="1"/>
  <c r="K1853" i="1"/>
  <c r="J1853" i="1"/>
  <c r="H1853" i="1"/>
  <c r="G1853" i="1"/>
  <c r="F1853" i="1"/>
  <c r="D1853" i="1"/>
  <c r="B1853" i="1"/>
  <c r="S1852" i="1"/>
  <c r="L1852" i="1"/>
  <c r="K1852" i="1"/>
  <c r="J1852" i="1"/>
  <c r="H1852" i="1"/>
  <c r="G1852" i="1"/>
  <c r="F1852" i="1"/>
  <c r="D1852" i="1"/>
  <c r="B1852" i="1"/>
  <c r="S1851" i="1"/>
  <c r="L1851" i="1"/>
  <c r="K1851" i="1"/>
  <c r="J1851" i="1"/>
  <c r="H1851" i="1"/>
  <c r="G1851" i="1"/>
  <c r="F1851" i="1"/>
  <c r="D1851" i="1"/>
  <c r="B1851" i="1"/>
  <c r="S1850" i="1"/>
  <c r="L1850" i="1"/>
  <c r="K1850" i="1"/>
  <c r="J1850" i="1"/>
  <c r="H1850" i="1"/>
  <c r="G1850" i="1"/>
  <c r="F1850" i="1"/>
  <c r="D1850" i="1"/>
  <c r="B1850" i="1"/>
  <c r="S1849" i="1"/>
  <c r="L1849" i="1"/>
  <c r="K1849" i="1"/>
  <c r="J1849" i="1"/>
  <c r="H1849" i="1"/>
  <c r="G1849" i="1"/>
  <c r="F1849" i="1"/>
  <c r="D1849" i="1"/>
  <c r="B1849" i="1"/>
  <c r="S1848" i="1"/>
  <c r="L1848" i="1"/>
  <c r="K1848" i="1"/>
  <c r="J1848" i="1"/>
  <c r="H1848" i="1"/>
  <c r="G1848" i="1"/>
  <c r="F1848" i="1"/>
  <c r="D1848" i="1"/>
  <c r="B1848" i="1"/>
  <c r="S1847" i="1"/>
  <c r="L1847" i="1"/>
  <c r="K1847" i="1"/>
  <c r="J1847" i="1"/>
  <c r="H1847" i="1"/>
  <c r="G1847" i="1"/>
  <c r="F1847" i="1"/>
  <c r="D1847" i="1"/>
  <c r="B1847" i="1"/>
  <c r="S1846" i="1"/>
  <c r="Q1846" i="1"/>
  <c r="L1846" i="1"/>
  <c r="K1846" i="1"/>
  <c r="J1846" i="1"/>
  <c r="I1846" i="1"/>
  <c r="H1846" i="1"/>
  <c r="G1846" i="1"/>
  <c r="F1846" i="1"/>
  <c r="D1846" i="1"/>
  <c r="B1846" i="1"/>
  <c r="S1845" i="1"/>
  <c r="L1845" i="1"/>
  <c r="K1845" i="1"/>
  <c r="J1845" i="1"/>
  <c r="H1845" i="1"/>
  <c r="G1845" i="1"/>
  <c r="F1845" i="1"/>
  <c r="D1845" i="1"/>
  <c r="B1845" i="1"/>
  <c r="S1844" i="1"/>
  <c r="L1844" i="1"/>
  <c r="K1844" i="1"/>
  <c r="J1844" i="1"/>
  <c r="H1844" i="1"/>
  <c r="G1844" i="1"/>
  <c r="F1844" i="1"/>
  <c r="D1844" i="1"/>
  <c r="B1844" i="1"/>
  <c r="S1843" i="1"/>
  <c r="L1843" i="1"/>
  <c r="K1843" i="1"/>
  <c r="J1843" i="1"/>
  <c r="H1843" i="1"/>
  <c r="G1843" i="1"/>
  <c r="F1843" i="1"/>
  <c r="D1843" i="1"/>
  <c r="B1843" i="1"/>
  <c r="S1842" i="1"/>
  <c r="L1842" i="1"/>
  <c r="K1842" i="1"/>
  <c r="J1842" i="1"/>
  <c r="H1842" i="1"/>
  <c r="G1842" i="1"/>
  <c r="F1842" i="1"/>
  <c r="D1842" i="1"/>
  <c r="B1842" i="1"/>
  <c r="S1841" i="1"/>
  <c r="L1841" i="1"/>
  <c r="K1841" i="1"/>
  <c r="J1841" i="1"/>
  <c r="H1841" i="1"/>
  <c r="G1841" i="1"/>
  <c r="F1841" i="1"/>
  <c r="D1841" i="1"/>
  <c r="B1841" i="1"/>
  <c r="S1840" i="1"/>
  <c r="L1840" i="1"/>
  <c r="K1840" i="1"/>
  <c r="J1840" i="1"/>
  <c r="H1840" i="1"/>
  <c r="G1840" i="1"/>
  <c r="F1840" i="1"/>
  <c r="D1840" i="1"/>
  <c r="B1840" i="1"/>
  <c r="S1839" i="1"/>
  <c r="Q1839" i="1"/>
  <c r="L1839" i="1"/>
  <c r="K1839" i="1"/>
  <c r="J1839" i="1"/>
  <c r="I1839" i="1"/>
  <c r="H1839" i="1"/>
  <c r="G1839" i="1"/>
  <c r="F1839" i="1"/>
  <c r="D1839" i="1"/>
  <c r="B1839" i="1"/>
  <c r="S1838" i="1"/>
  <c r="L1838" i="1"/>
  <c r="K1838" i="1"/>
  <c r="J1838" i="1"/>
  <c r="H1838" i="1"/>
  <c r="G1838" i="1"/>
  <c r="F1838" i="1"/>
  <c r="D1838" i="1"/>
  <c r="B1838" i="1"/>
  <c r="S1837" i="1"/>
  <c r="L1837" i="1"/>
  <c r="K1837" i="1"/>
  <c r="J1837" i="1"/>
  <c r="H1837" i="1"/>
  <c r="G1837" i="1"/>
  <c r="F1837" i="1"/>
  <c r="D1837" i="1"/>
  <c r="B1837" i="1"/>
  <c r="S1836" i="1"/>
  <c r="L1836" i="1"/>
  <c r="K1836" i="1"/>
  <c r="J1836" i="1"/>
  <c r="H1836" i="1"/>
  <c r="G1836" i="1"/>
  <c r="F1836" i="1"/>
  <c r="D1836" i="1"/>
  <c r="B1836" i="1"/>
  <c r="S1835" i="1"/>
  <c r="L1835" i="1"/>
  <c r="K1835" i="1"/>
  <c r="J1835" i="1"/>
  <c r="H1835" i="1"/>
  <c r="G1835" i="1"/>
  <c r="F1835" i="1"/>
  <c r="D1835" i="1"/>
  <c r="B1835" i="1"/>
  <c r="S1834" i="1"/>
  <c r="L1834" i="1"/>
  <c r="K1834" i="1"/>
  <c r="J1834" i="1"/>
  <c r="H1834" i="1"/>
  <c r="G1834" i="1"/>
  <c r="F1834" i="1"/>
  <c r="D1834" i="1"/>
  <c r="B1834" i="1"/>
  <c r="S1833" i="1"/>
  <c r="L1833" i="1"/>
  <c r="K1833" i="1"/>
  <c r="J1833" i="1"/>
  <c r="H1833" i="1"/>
  <c r="G1833" i="1"/>
  <c r="F1833" i="1"/>
  <c r="D1833" i="1"/>
  <c r="B1833" i="1"/>
  <c r="S1832" i="1"/>
  <c r="L1832" i="1"/>
  <c r="K1832" i="1"/>
  <c r="J1832" i="1"/>
  <c r="H1832" i="1"/>
  <c r="G1832" i="1"/>
  <c r="F1832" i="1"/>
  <c r="D1832" i="1"/>
  <c r="B1832" i="1"/>
  <c r="S1831" i="1"/>
  <c r="L1831" i="1"/>
  <c r="K1831" i="1"/>
  <c r="J1831" i="1"/>
  <c r="H1831" i="1"/>
  <c r="G1831" i="1"/>
  <c r="F1831" i="1"/>
  <c r="D1831" i="1"/>
  <c r="B1831" i="1"/>
  <c r="S1830" i="1"/>
  <c r="L1830" i="1"/>
  <c r="K1830" i="1"/>
  <c r="J1830" i="1"/>
  <c r="H1830" i="1"/>
  <c r="G1830" i="1"/>
  <c r="F1830" i="1"/>
  <c r="D1830" i="1"/>
  <c r="B1830" i="1"/>
  <c r="S1829" i="1"/>
  <c r="Q1829" i="1"/>
  <c r="L1829" i="1"/>
  <c r="K1829" i="1"/>
  <c r="J1829" i="1"/>
  <c r="H1829" i="1"/>
  <c r="G1829" i="1"/>
  <c r="F1829" i="1"/>
  <c r="D1829" i="1"/>
  <c r="B1829" i="1"/>
  <c r="S1828" i="1"/>
  <c r="L1828" i="1"/>
  <c r="K1828" i="1"/>
  <c r="J1828" i="1"/>
  <c r="H1828" i="1"/>
  <c r="G1828" i="1"/>
  <c r="F1828" i="1"/>
  <c r="D1828" i="1"/>
  <c r="B1828" i="1"/>
  <c r="S1827" i="1"/>
  <c r="L1827" i="1"/>
  <c r="K1827" i="1"/>
  <c r="J1827" i="1"/>
  <c r="H1827" i="1"/>
  <c r="G1827" i="1"/>
  <c r="F1827" i="1"/>
  <c r="D1827" i="1"/>
  <c r="B1827" i="1"/>
  <c r="S1826" i="1"/>
  <c r="L1826" i="1"/>
  <c r="K1826" i="1"/>
  <c r="J1826" i="1"/>
  <c r="H1826" i="1"/>
  <c r="G1826" i="1"/>
  <c r="F1826" i="1"/>
  <c r="D1826" i="1"/>
  <c r="B1826" i="1"/>
  <c r="S1825" i="1"/>
  <c r="L1825" i="1"/>
  <c r="K1825" i="1"/>
  <c r="J1825" i="1"/>
  <c r="H1825" i="1"/>
  <c r="G1825" i="1"/>
  <c r="F1825" i="1"/>
  <c r="D1825" i="1"/>
  <c r="B1825" i="1"/>
  <c r="S1824" i="1"/>
  <c r="L1824" i="1"/>
  <c r="K1824" i="1"/>
  <c r="J1824" i="1"/>
  <c r="H1824" i="1"/>
  <c r="G1824" i="1"/>
  <c r="F1824" i="1"/>
  <c r="D1824" i="1"/>
  <c r="B1824" i="1"/>
  <c r="S1823" i="1"/>
  <c r="L1823" i="1"/>
  <c r="K1823" i="1"/>
  <c r="J1823" i="1"/>
  <c r="H1823" i="1"/>
  <c r="G1823" i="1"/>
  <c r="F1823" i="1"/>
  <c r="D1823" i="1"/>
  <c r="B1823" i="1"/>
  <c r="S1822" i="1"/>
  <c r="L1822" i="1"/>
  <c r="K1822" i="1"/>
  <c r="J1822" i="1"/>
  <c r="H1822" i="1"/>
  <c r="G1822" i="1"/>
  <c r="F1822" i="1"/>
  <c r="D1822" i="1"/>
  <c r="B1822" i="1"/>
  <c r="S1821" i="1"/>
  <c r="L1821" i="1"/>
  <c r="K1821" i="1"/>
  <c r="J1821" i="1"/>
  <c r="H1821" i="1"/>
  <c r="G1821" i="1"/>
  <c r="F1821" i="1"/>
  <c r="D1821" i="1"/>
  <c r="B1821" i="1"/>
  <c r="S1820" i="1"/>
  <c r="L1820" i="1"/>
  <c r="K1820" i="1"/>
  <c r="J1820" i="1"/>
  <c r="H1820" i="1"/>
  <c r="G1820" i="1"/>
  <c r="F1820" i="1"/>
  <c r="D1820" i="1"/>
  <c r="B1820" i="1"/>
  <c r="S1819" i="1"/>
  <c r="L1819" i="1"/>
  <c r="K1819" i="1"/>
  <c r="J1819" i="1"/>
  <c r="H1819" i="1"/>
  <c r="G1819" i="1"/>
  <c r="F1819" i="1"/>
  <c r="D1819" i="1"/>
  <c r="B1819" i="1"/>
  <c r="S1818" i="1"/>
  <c r="Q1818" i="1"/>
  <c r="L1818" i="1"/>
  <c r="K1818" i="1"/>
  <c r="J1818" i="1"/>
  <c r="I1818" i="1"/>
  <c r="H1818" i="1"/>
  <c r="G1818" i="1"/>
  <c r="F1818" i="1"/>
  <c r="D1818" i="1"/>
  <c r="B1818" i="1"/>
  <c r="S1817" i="1"/>
  <c r="L1817" i="1"/>
  <c r="K1817" i="1"/>
  <c r="J1817" i="1"/>
  <c r="H1817" i="1"/>
  <c r="G1817" i="1"/>
  <c r="F1817" i="1"/>
  <c r="D1817" i="1"/>
  <c r="B1817" i="1"/>
  <c r="S1816" i="1"/>
  <c r="L1816" i="1"/>
  <c r="K1816" i="1"/>
  <c r="J1816" i="1"/>
  <c r="H1816" i="1"/>
  <c r="G1816" i="1"/>
  <c r="F1816" i="1"/>
  <c r="D1816" i="1"/>
  <c r="B1816" i="1"/>
  <c r="S1815" i="1"/>
  <c r="L1815" i="1"/>
  <c r="K1815" i="1"/>
  <c r="J1815" i="1"/>
  <c r="H1815" i="1"/>
  <c r="G1815" i="1"/>
  <c r="F1815" i="1"/>
  <c r="D1815" i="1"/>
  <c r="B1815" i="1"/>
  <c r="S1814" i="1"/>
  <c r="L1814" i="1"/>
  <c r="K1814" i="1"/>
  <c r="J1814" i="1"/>
  <c r="H1814" i="1"/>
  <c r="G1814" i="1"/>
  <c r="F1814" i="1"/>
  <c r="D1814" i="1"/>
  <c r="B1814" i="1"/>
  <c r="S1813" i="1"/>
  <c r="Q1813" i="1"/>
  <c r="L1813" i="1"/>
  <c r="K1813" i="1"/>
  <c r="J1813" i="1"/>
  <c r="H1813" i="1"/>
  <c r="G1813" i="1"/>
  <c r="F1813" i="1"/>
  <c r="D1813" i="1"/>
  <c r="B1813" i="1"/>
  <c r="S1812" i="1"/>
  <c r="Q1812" i="1"/>
  <c r="L1812" i="1"/>
  <c r="K1812" i="1"/>
  <c r="J1812" i="1"/>
  <c r="H1812" i="1"/>
  <c r="G1812" i="1"/>
  <c r="F1812" i="1"/>
  <c r="D1812" i="1"/>
  <c r="B1812" i="1"/>
  <c r="S1811" i="1"/>
  <c r="Q1811" i="1"/>
  <c r="L1811" i="1"/>
  <c r="K1811" i="1"/>
  <c r="J1811" i="1"/>
  <c r="H1811" i="1"/>
  <c r="G1811" i="1"/>
  <c r="F1811" i="1"/>
  <c r="D1811" i="1"/>
  <c r="B1811" i="1"/>
  <c r="S1810" i="1"/>
  <c r="Q1810" i="1"/>
  <c r="L1810" i="1"/>
  <c r="K1810" i="1"/>
  <c r="J1810" i="1"/>
  <c r="H1810" i="1"/>
  <c r="G1810" i="1"/>
  <c r="F1810" i="1"/>
  <c r="D1810" i="1"/>
  <c r="B1810" i="1"/>
  <c r="S1809" i="1"/>
  <c r="L1809" i="1"/>
  <c r="K1809" i="1"/>
  <c r="J1809" i="1"/>
  <c r="H1809" i="1"/>
  <c r="G1809" i="1"/>
  <c r="F1809" i="1"/>
  <c r="D1809" i="1"/>
  <c r="B1809" i="1"/>
  <c r="S1808" i="1"/>
  <c r="Q1808" i="1"/>
  <c r="L1808" i="1"/>
  <c r="K1808" i="1"/>
  <c r="J1808" i="1"/>
  <c r="H1808" i="1"/>
  <c r="G1808" i="1"/>
  <c r="F1808" i="1"/>
  <c r="D1808" i="1"/>
  <c r="B1808" i="1"/>
  <c r="S1807" i="1"/>
  <c r="Q1807" i="1"/>
  <c r="L1807" i="1"/>
  <c r="K1807" i="1"/>
  <c r="J1807" i="1"/>
  <c r="H1807" i="1"/>
  <c r="G1807" i="1"/>
  <c r="F1807" i="1"/>
  <c r="D1807" i="1"/>
  <c r="B1807" i="1"/>
  <c r="S1806" i="1"/>
  <c r="Q1806" i="1"/>
  <c r="L1806" i="1"/>
  <c r="K1806" i="1"/>
  <c r="J1806" i="1"/>
  <c r="H1806" i="1"/>
  <c r="G1806" i="1"/>
  <c r="F1806" i="1"/>
  <c r="D1806" i="1"/>
  <c r="B1806" i="1"/>
  <c r="S1805" i="1"/>
  <c r="Q1805" i="1"/>
  <c r="L1805" i="1"/>
  <c r="K1805" i="1"/>
  <c r="J1805" i="1"/>
  <c r="H1805" i="1"/>
  <c r="G1805" i="1"/>
  <c r="F1805" i="1"/>
  <c r="D1805" i="1"/>
  <c r="B1805" i="1"/>
  <c r="S1804" i="1"/>
  <c r="L1804" i="1"/>
  <c r="K1804" i="1"/>
  <c r="J1804" i="1"/>
  <c r="H1804" i="1"/>
  <c r="G1804" i="1"/>
  <c r="F1804" i="1"/>
  <c r="D1804" i="1"/>
  <c r="B1804" i="1"/>
  <c r="S1803" i="1"/>
  <c r="Q1803" i="1"/>
  <c r="L1803" i="1"/>
  <c r="K1803" i="1"/>
  <c r="J1803" i="1"/>
  <c r="H1803" i="1"/>
  <c r="G1803" i="1"/>
  <c r="F1803" i="1"/>
  <c r="D1803" i="1"/>
  <c r="B1803" i="1"/>
  <c r="S1802" i="1"/>
  <c r="Q1802" i="1"/>
  <c r="L1802" i="1"/>
  <c r="K1802" i="1"/>
  <c r="J1802" i="1"/>
  <c r="H1802" i="1"/>
  <c r="G1802" i="1"/>
  <c r="F1802" i="1"/>
  <c r="D1802" i="1"/>
  <c r="B1802" i="1"/>
  <c r="S1801" i="1"/>
  <c r="Q1801" i="1"/>
  <c r="L1801" i="1"/>
  <c r="K1801" i="1"/>
  <c r="J1801" i="1"/>
  <c r="H1801" i="1"/>
  <c r="G1801" i="1"/>
  <c r="F1801" i="1"/>
  <c r="D1801" i="1"/>
  <c r="B1801" i="1"/>
  <c r="S1800" i="1"/>
  <c r="Q1800" i="1"/>
  <c r="L1800" i="1"/>
  <c r="K1800" i="1"/>
  <c r="J1800" i="1"/>
  <c r="H1800" i="1"/>
  <c r="G1800" i="1"/>
  <c r="F1800" i="1"/>
  <c r="D1800" i="1"/>
  <c r="B1800" i="1"/>
  <c r="S1799" i="1"/>
  <c r="Q1799" i="1"/>
  <c r="L1799" i="1"/>
  <c r="K1799" i="1"/>
  <c r="J1799" i="1"/>
  <c r="H1799" i="1"/>
  <c r="G1799" i="1"/>
  <c r="F1799" i="1"/>
  <c r="D1799" i="1"/>
  <c r="B1799" i="1"/>
  <c r="S1798" i="1"/>
  <c r="Q1798" i="1"/>
  <c r="L1798" i="1"/>
  <c r="K1798" i="1"/>
  <c r="J1798" i="1"/>
  <c r="H1798" i="1"/>
  <c r="G1798" i="1"/>
  <c r="F1798" i="1"/>
  <c r="D1798" i="1"/>
  <c r="B1798" i="1"/>
  <c r="S1797" i="1"/>
  <c r="Q1797" i="1"/>
  <c r="L1797" i="1"/>
  <c r="K1797" i="1"/>
  <c r="J1797" i="1"/>
  <c r="H1797" i="1"/>
  <c r="G1797" i="1"/>
  <c r="F1797" i="1"/>
  <c r="D1797" i="1"/>
  <c r="B1797" i="1"/>
  <c r="S1796" i="1"/>
  <c r="Q1796" i="1"/>
  <c r="L1796" i="1"/>
  <c r="K1796" i="1"/>
  <c r="J1796" i="1"/>
  <c r="H1796" i="1"/>
  <c r="G1796" i="1"/>
  <c r="F1796" i="1"/>
  <c r="D1796" i="1"/>
  <c r="B1796" i="1"/>
  <c r="S1795" i="1"/>
  <c r="Q1795" i="1"/>
  <c r="L1795" i="1"/>
  <c r="K1795" i="1"/>
  <c r="J1795" i="1"/>
  <c r="H1795" i="1"/>
  <c r="G1795" i="1"/>
  <c r="F1795" i="1"/>
  <c r="D1795" i="1"/>
  <c r="B1795" i="1"/>
  <c r="S1794" i="1"/>
  <c r="Q1794" i="1"/>
  <c r="L1794" i="1"/>
  <c r="K1794" i="1"/>
  <c r="J1794" i="1"/>
  <c r="H1794" i="1"/>
  <c r="G1794" i="1"/>
  <c r="F1794" i="1"/>
  <c r="D1794" i="1"/>
  <c r="B1794" i="1"/>
  <c r="S1793" i="1"/>
  <c r="L1793" i="1"/>
  <c r="K1793" i="1"/>
  <c r="J1793" i="1"/>
  <c r="H1793" i="1"/>
  <c r="G1793" i="1"/>
  <c r="F1793" i="1"/>
  <c r="D1793" i="1"/>
  <c r="B1793" i="1"/>
  <c r="S1792" i="1"/>
  <c r="Q1792" i="1"/>
  <c r="L1792" i="1"/>
  <c r="K1792" i="1"/>
  <c r="J1792" i="1"/>
  <c r="H1792" i="1"/>
  <c r="G1792" i="1"/>
  <c r="F1792" i="1"/>
  <c r="D1792" i="1"/>
  <c r="B1792" i="1"/>
  <c r="S1791" i="1"/>
  <c r="Q1791" i="1"/>
  <c r="L1791" i="1"/>
  <c r="K1791" i="1"/>
  <c r="J1791" i="1"/>
  <c r="H1791" i="1"/>
  <c r="G1791" i="1"/>
  <c r="F1791" i="1"/>
  <c r="D1791" i="1"/>
  <c r="B1791" i="1"/>
  <c r="S1790" i="1"/>
  <c r="Q1790" i="1"/>
  <c r="L1790" i="1"/>
  <c r="K1790" i="1"/>
  <c r="J1790" i="1"/>
  <c r="H1790" i="1"/>
  <c r="G1790" i="1"/>
  <c r="F1790" i="1"/>
  <c r="D1790" i="1"/>
  <c r="B1790" i="1"/>
  <c r="S1789" i="1"/>
  <c r="Q1789" i="1"/>
  <c r="L1789" i="1"/>
  <c r="K1789" i="1"/>
  <c r="J1789" i="1"/>
  <c r="H1789" i="1"/>
  <c r="G1789" i="1"/>
  <c r="F1789" i="1"/>
  <c r="D1789" i="1"/>
  <c r="B1789" i="1"/>
  <c r="S1788" i="1"/>
  <c r="Q1788" i="1"/>
  <c r="L1788" i="1"/>
  <c r="K1788" i="1"/>
  <c r="J1788" i="1"/>
  <c r="H1788" i="1"/>
  <c r="G1788" i="1"/>
  <c r="F1788" i="1"/>
  <c r="D1788" i="1"/>
  <c r="B1788" i="1"/>
  <c r="S1787" i="1"/>
  <c r="L1787" i="1"/>
  <c r="K1787" i="1"/>
  <c r="J1787" i="1"/>
  <c r="H1787" i="1"/>
  <c r="G1787" i="1"/>
  <c r="F1787" i="1"/>
  <c r="D1787" i="1"/>
  <c r="B1787" i="1"/>
  <c r="S1786" i="1"/>
  <c r="L1786" i="1"/>
  <c r="K1786" i="1"/>
  <c r="J1786" i="1"/>
  <c r="H1786" i="1"/>
  <c r="G1786" i="1"/>
  <c r="F1786" i="1"/>
  <c r="D1786" i="1"/>
  <c r="B1786" i="1"/>
  <c r="S1785" i="1"/>
  <c r="L1785" i="1"/>
  <c r="K1785" i="1"/>
  <c r="J1785" i="1"/>
  <c r="H1785" i="1"/>
  <c r="G1785" i="1"/>
  <c r="F1785" i="1"/>
  <c r="D1785" i="1"/>
  <c r="B1785" i="1"/>
  <c r="S1784" i="1"/>
  <c r="L1784" i="1"/>
  <c r="K1784" i="1"/>
  <c r="J1784" i="1"/>
  <c r="H1784" i="1"/>
  <c r="G1784" i="1"/>
  <c r="F1784" i="1"/>
  <c r="D1784" i="1"/>
  <c r="B1784" i="1"/>
  <c r="S1783" i="1"/>
  <c r="L1783" i="1"/>
  <c r="K1783" i="1"/>
  <c r="J1783" i="1"/>
  <c r="H1783" i="1"/>
  <c r="G1783" i="1"/>
  <c r="F1783" i="1"/>
  <c r="D1783" i="1"/>
  <c r="B1783" i="1"/>
  <c r="S1782" i="1"/>
  <c r="L1782" i="1"/>
  <c r="K1782" i="1"/>
  <c r="J1782" i="1"/>
  <c r="H1782" i="1"/>
  <c r="G1782" i="1"/>
  <c r="F1782" i="1"/>
  <c r="D1782" i="1"/>
  <c r="B1782" i="1"/>
  <c r="S1781" i="1"/>
  <c r="L1781" i="1"/>
  <c r="K1781" i="1"/>
  <c r="J1781" i="1"/>
  <c r="H1781" i="1"/>
  <c r="G1781" i="1"/>
  <c r="F1781" i="1"/>
  <c r="D1781" i="1"/>
  <c r="B1781" i="1"/>
  <c r="S1780" i="1"/>
  <c r="L1780" i="1"/>
  <c r="K1780" i="1"/>
  <c r="J1780" i="1"/>
  <c r="H1780" i="1"/>
  <c r="G1780" i="1"/>
  <c r="F1780" i="1"/>
  <c r="D1780" i="1"/>
  <c r="B1780" i="1"/>
  <c r="S1779" i="1"/>
  <c r="L1779" i="1"/>
  <c r="K1779" i="1"/>
  <c r="J1779" i="1"/>
  <c r="H1779" i="1"/>
  <c r="G1779" i="1"/>
  <c r="F1779" i="1"/>
  <c r="D1779" i="1"/>
  <c r="B1779" i="1"/>
  <c r="S1778" i="1"/>
  <c r="L1778" i="1"/>
  <c r="K1778" i="1"/>
  <c r="J1778" i="1"/>
  <c r="H1778" i="1"/>
  <c r="G1778" i="1"/>
  <c r="F1778" i="1"/>
  <c r="D1778" i="1"/>
  <c r="B1778" i="1"/>
  <c r="S1777" i="1"/>
  <c r="Q1777" i="1"/>
  <c r="L1777" i="1"/>
  <c r="K1777" i="1"/>
  <c r="J1777" i="1"/>
  <c r="H1777" i="1"/>
  <c r="G1777" i="1"/>
  <c r="F1777" i="1"/>
  <c r="D1777" i="1"/>
  <c r="B1777" i="1"/>
  <c r="S1776" i="1"/>
  <c r="L1776" i="1"/>
  <c r="K1776" i="1"/>
  <c r="J1776" i="1"/>
  <c r="H1776" i="1"/>
  <c r="G1776" i="1"/>
  <c r="F1776" i="1"/>
  <c r="D1776" i="1"/>
  <c r="B1776" i="1"/>
  <c r="S1775" i="1"/>
  <c r="L1775" i="1"/>
  <c r="K1775" i="1"/>
  <c r="J1775" i="1"/>
  <c r="H1775" i="1"/>
  <c r="G1775" i="1"/>
  <c r="F1775" i="1"/>
  <c r="D1775" i="1"/>
  <c r="B1775" i="1"/>
  <c r="S1774" i="1"/>
  <c r="L1774" i="1"/>
  <c r="K1774" i="1"/>
  <c r="J1774" i="1"/>
  <c r="H1774" i="1"/>
  <c r="G1774" i="1"/>
  <c r="F1774" i="1"/>
  <c r="D1774" i="1"/>
  <c r="B1774" i="1"/>
  <c r="S1773" i="1"/>
  <c r="L1773" i="1"/>
  <c r="K1773" i="1"/>
  <c r="J1773" i="1"/>
  <c r="H1773" i="1"/>
  <c r="G1773" i="1"/>
  <c r="F1773" i="1"/>
  <c r="D1773" i="1"/>
  <c r="B1773" i="1"/>
  <c r="S1772" i="1"/>
  <c r="L1772" i="1"/>
  <c r="K1772" i="1"/>
  <c r="J1772" i="1"/>
  <c r="H1772" i="1"/>
  <c r="G1772" i="1"/>
  <c r="F1772" i="1"/>
  <c r="D1772" i="1"/>
  <c r="B1772" i="1"/>
  <c r="S1771" i="1"/>
  <c r="L1771" i="1"/>
  <c r="K1771" i="1"/>
  <c r="J1771" i="1"/>
  <c r="H1771" i="1"/>
  <c r="G1771" i="1"/>
  <c r="F1771" i="1"/>
  <c r="D1771" i="1"/>
  <c r="B1771" i="1"/>
  <c r="S1770" i="1"/>
  <c r="Q1770" i="1"/>
  <c r="L1770" i="1"/>
  <c r="K1770" i="1"/>
  <c r="J1770" i="1"/>
  <c r="H1770" i="1"/>
  <c r="G1770" i="1"/>
  <c r="F1770" i="1"/>
  <c r="D1770" i="1"/>
  <c r="B1770" i="1"/>
  <c r="S1769" i="1"/>
  <c r="L1769" i="1"/>
  <c r="K1769" i="1"/>
  <c r="J1769" i="1"/>
  <c r="H1769" i="1"/>
  <c r="G1769" i="1"/>
  <c r="F1769" i="1"/>
  <c r="D1769" i="1"/>
  <c r="B1769" i="1"/>
  <c r="S1768" i="1"/>
  <c r="Q1768" i="1"/>
  <c r="L1768" i="1"/>
  <c r="K1768" i="1"/>
  <c r="J1768" i="1"/>
  <c r="H1768" i="1"/>
  <c r="G1768" i="1"/>
  <c r="F1768" i="1"/>
  <c r="D1768" i="1"/>
  <c r="B1768" i="1"/>
  <c r="S1767" i="1"/>
  <c r="Q1767" i="1"/>
  <c r="L1767" i="1"/>
  <c r="K1767" i="1"/>
  <c r="J1767" i="1"/>
  <c r="H1767" i="1"/>
  <c r="G1767" i="1"/>
  <c r="F1767" i="1"/>
  <c r="D1767" i="1"/>
  <c r="B1767" i="1"/>
  <c r="S1766" i="1"/>
  <c r="Q1766" i="1"/>
  <c r="L1766" i="1"/>
  <c r="K1766" i="1"/>
  <c r="J1766" i="1"/>
  <c r="H1766" i="1"/>
  <c r="G1766" i="1"/>
  <c r="F1766" i="1"/>
  <c r="D1766" i="1"/>
  <c r="B1766" i="1"/>
  <c r="S1765" i="1"/>
  <c r="Q1765" i="1"/>
  <c r="L1765" i="1"/>
  <c r="K1765" i="1"/>
  <c r="J1765" i="1"/>
  <c r="H1765" i="1"/>
  <c r="G1765" i="1"/>
  <c r="F1765" i="1"/>
  <c r="D1765" i="1"/>
  <c r="B1765" i="1"/>
  <c r="S1764" i="1"/>
  <c r="L1764" i="1"/>
  <c r="K1764" i="1"/>
  <c r="J1764" i="1"/>
  <c r="H1764" i="1"/>
  <c r="G1764" i="1"/>
  <c r="F1764" i="1"/>
  <c r="D1764" i="1"/>
  <c r="B1764" i="1"/>
  <c r="S1763" i="1"/>
  <c r="Q1763" i="1"/>
  <c r="L1763" i="1"/>
  <c r="K1763" i="1"/>
  <c r="J1763" i="1"/>
  <c r="H1763" i="1"/>
  <c r="G1763" i="1"/>
  <c r="F1763" i="1"/>
  <c r="D1763" i="1"/>
  <c r="B1763" i="1"/>
  <c r="S1762" i="1"/>
  <c r="Q1762" i="1"/>
  <c r="L1762" i="1"/>
  <c r="K1762" i="1"/>
  <c r="J1762" i="1"/>
  <c r="H1762" i="1"/>
  <c r="G1762" i="1"/>
  <c r="F1762" i="1"/>
  <c r="D1762" i="1"/>
  <c r="B1762" i="1"/>
  <c r="S1761" i="1"/>
  <c r="L1761" i="1"/>
  <c r="K1761" i="1"/>
  <c r="J1761" i="1"/>
  <c r="H1761" i="1"/>
  <c r="G1761" i="1"/>
  <c r="F1761" i="1"/>
  <c r="D1761" i="1"/>
  <c r="B1761" i="1"/>
  <c r="S1760" i="1"/>
  <c r="Q1760" i="1"/>
  <c r="L1760" i="1"/>
  <c r="K1760" i="1"/>
  <c r="J1760" i="1"/>
  <c r="H1760" i="1"/>
  <c r="G1760" i="1"/>
  <c r="F1760" i="1"/>
  <c r="D1760" i="1"/>
  <c r="B1760" i="1"/>
  <c r="S1759" i="1"/>
  <c r="Q1759" i="1"/>
  <c r="L1759" i="1"/>
  <c r="K1759" i="1"/>
  <c r="J1759" i="1"/>
  <c r="H1759" i="1"/>
  <c r="G1759" i="1"/>
  <c r="F1759" i="1"/>
  <c r="D1759" i="1"/>
  <c r="B1759" i="1"/>
  <c r="S1758" i="1"/>
  <c r="Q1758" i="1"/>
  <c r="L1758" i="1"/>
  <c r="K1758" i="1"/>
  <c r="J1758" i="1"/>
  <c r="H1758" i="1"/>
  <c r="G1758" i="1"/>
  <c r="F1758" i="1"/>
  <c r="D1758" i="1"/>
  <c r="B1758" i="1"/>
  <c r="S1757" i="1"/>
  <c r="L1757" i="1"/>
  <c r="K1757" i="1"/>
  <c r="J1757" i="1"/>
  <c r="H1757" i="1"/>
  <c r="G1757" i="1"/>
  <c r="F1757" i="1"/>
  <c r="D1757" i="1"/>
  <c r="B1757" i="1"/>
  <c r="S1756" i="1"/>
  <c r="Q1756" i="1"/>
  <c r="L1756" i="1"/>
  <c r="K1756" i="1"/>
  <c r="J1756" i="1"/>
  <c r="H1756" i="1"/>
  <c r="G1756" i="1"/>
  <c r="F1756" i="1"/>
  <c r="D1756" i="1"/>
  <c r="B1756" i="1"/>
  <c r="S1755" i="1"/>
  <c r="L1755" i="1"/>
  <c r="K1755" i="1"/>
  <c r="J1755" i="1"/>
  <c r="H1755" i="1"/>
  <c r="G1755" i="1"/>
  <c r="F1755" i="1"/>
  <c r="D1755" i="1"/>
  <c r="B1755" i="1"/>
  <c r="S1754" i="1"/>
  <c r="Q1754" i="1"/>
  <c r="L1754" i="1"/>
  <c r="K1754" i="1"/>
  <c r="J1754" i="1"/>
  <c r="H1754" i="1"/>
  <c r="G1754" i="1"/>
  <c r="F1754" i="1"/>
  <c r="D1754" i="1"/>
  <c r="B1754" i="1"/>
  <c r="S1753" i="1"/>
  <c r="Q1753" i="1"/>
  <c r="L1753" i="1"/>
  <c r="K1753" i="1"/>
  <c r="J1753" i="1"/>
  <c r="H1753" i="1"/>
  <c r="G1753" i="1"/>
  <c r="F1753" i="1"/>
  <c r="D1753" i="1"/>
  <c r="B1753" i="1"/>
  <c r="S1752" i="1"/>
  <c r="Q1752" i="1"/>
  <c r="L1752" i="1"/>
  <c r="K1752" i="1"/>
  <c r="J1752" i="1"/>
  <c r="H1752" i="1"/>
  <c r="G1752" i="1"/>
  <c r="F1752" i="1"/>
  <c r="D1752" i="1"/>
  <c r="B1752" i="1"/>
  <c r="S1751" i="1"/>
  <c r="Q1751" i="1"/>
  <c r="L1751" i="1"/>
  <c r="K1751" i="1"/>
  <c r="J1751" i="1"/>
  <c r="H1751" i="1"/>
  <c r="G1751" i="1"/>
  <c r="F1751" i="1"/>
  <c r="D1751" i="1"/>
  <c r="B1751" i="1"/>
  <c r="S1750" i="1"/>
  <c r="L1750" i="1"/>
  <c r="K1750" i="1"/>
  <c r="J1750" i="1"/>
  <c r="H1750" i="1"/>
  <c r="G1750" i="1"/>
  <c r="F1750" i="1"/>
  <c r="D1750" i="1"/>
  <c r="B1750" i="1"/>
  <c r="S1749" i="1"/>
  <c r="Q1749" i="1"/>
  <c r="L1749" i="1"/>
  <c r="K1749" i="1"/>
  <c r="J1749" i="1"/>
  <c r="H1749" i="1"/>
  <c r="G1749" i="1"/>
  <c r="F1749" i="1"/>
  <c r="D1749" i="1"/>
  <c r="B1749" i="1"/>
  <c r="S1748" i="1"/>
  <c r="Q1748" i="1"/>
  <c r="L1748" i="1"/>
  <c r="K1748" i="1"/>
  <c r="J1748" i="1"/>
  <c r="H1748" i="1"/>
  <c r="G1748" i="1"/>
  <c r="F1748" i="1"/>
  <c r="D1748" i="1"/>
  <c r="B1748" i="1"/>
  <c r="S1747" i="1"/>
  <c r="L1747" i="1"/>
  <c r="K1747" i="1"/>
  <c r="J1747" i="1"/>
  <c r="H1747" i="1"/>
  <c r="G1747" i="1"/>
  <c r="F1747" i="1"/>
  <c r="D1747" i="1"/>
  <c r="B1747" i="1"/>
  <c r="S1746" i="1"/>
  <c r="L1746" i="1"/>
  <c r="K1746" i="1"/>
  <c r="J1746" i="1"/>
  <c r="H1746" i="1"/>
  <c r="G1746" i="1"/>
  <c r="F1746" i="1"/>
  <c r="D1746" i="1"/>
  <c r="B1746" i="1"/>
  <c r="S1745" i="1"/>
  <c r="L1745" i="1"/>
  <c r="K1745" i="1"/>
  <c r="J1745" i="1"/>
  <c r="H1745" i="1"/>
  <c r="G1745" i="1"/>
  <c r="F1745" i="1"/>
  <c r="D1745" i="1"/>
  <c r="B1745" i="1"/>
  <c r="S1744" i="1"/>
  <c r="L1744" i="1"/>
  <c r="K1744" i="1"/>
  <c r="J1744" i="1"/>
  <c r="H1744" i="1"/>
  <c r="G1744" i="1"/>
  <c r="F1744" i="1"/>
  <c r="D1744" i="1"/>
  <c r="B1744" i="1"/>
  <c r="S1743" i="1"/>
  <c r="L1743" i="1"/>
  <c r="K1743" i="1"/>
  <c r="J1743" i="1"/>
  <c r="H1743" i="1"/>
  <c r="G1743" i="1"/>
  <c r="F1743" i="1"/>
  <c r="D1743" i="1"/>
  <c r="B1743" i="1"/>
  <c r="S1742" i="1"/>
  <c r="L1742" i="1"/>
  <c r="K1742" i="1"/>
  <c r="J1742" i="1"/>
  <c r="H1742" i="1"/>
  <c r="G1742" i="1"/>
  <c r="F1742" i="1"/>
  <c r="D1742" i="1"/>
  <c r="B1742" i="1"/>
  <c r="S1741" i="1"/>
  <c r="L1741" i="1"/>
  <c r="K1741" i="1"/>
  <c r="J1741" i="1"/>
  <c r="H1741" i="1"/>
  <c r="G1741" i="1"/>
  <c r="F1741" i="1"/>
  <c r="D1741" i="1"/>
  <c r="B1741" i="1"/>
  <c r="S1740" i="1"/>
  <c r="L1740" i="1"/>
  <c r="K1740" i="1"/>
  <c r="J1740" i="1"/>
  <c r="H1740" i="1"/>
  <c r="G1740" i="1"/>
  <c r="F1740" i="1"/>
  <c r="D1740" i="1"/>
  <c r="B1740" i="1"/>
  <c r="S1739" i="1"/>
  <c r="L1739" i="1"/>
  <c r="K1739" i="1"/>
  <c r="J1739" i="1"/>
  <c r="H1739" i="1"/>
  <c r="G1739" i="1"/>
  <c r="F1739" i="1"/>
  <c r="D1739" i="1"/>
  <c r="B1739" i="1"/>
  <c r="S1738" i="1"/>
  <c r="L1738" i="1"/>
  <c r="K1738" i="1"/>
  <c r="J1738" i="1"/>
  <c r="H1738" i="1"/>
  <c r="G1738" i="1"/>
  <c r="F1738" i="1"/>
  <c r="D1738" i="1"/>
  <c r="B1738" i="1"/>
  <c r="S1737" i="1"/>
  <c r="L1737" i="1"/>
  <c r="K1737" i="1"/>
  <c r="J1737" i="1"/>
  <c r="H1737" i="1"/>
  <c r="G1737" i="1"/>
  <c r="F1737" i="1"/>
  <c r="D1737" i="1"/>
  <c r="B1737" i="1"/>
  <c r="S1736" i="1"/>
  <c r="L1736" i="1"/>
  <c r="K1736" i="1"/>
  <c r="J1736" i="1"/>
  <c r="H1736" i="1"/>
  <c r="G1736" i="1"/>
  <c r="F1736" i="1"/>
  <c r="D1736" i="1"/>
  <c r="B1736" i="1"/>
  <c r="S1735" i="1"/>
  <c r="L1735" i="1"/>
  <c r="K1735" i="1"/>
  <c r="J1735" i="1"/>
  <c r="H1735" i="1"/>
  <c r="G1735" i="1"/>
  <c r="F1735" i="1"/>
  <c r="D1735" i="1"/>
  <c r="B1735" i="1"/>
  <c r="S1734" i="1"/>
  <c r="L1734" i="1"/>
  <c r="K1734" i="1"/>
  <c r="J1734" i="1"/>
  <c r="H1734" i="1"/>
  <c r="G1734" i="1"/>
  <c r="F1734" i="1"/>
  <c r="D1734" i="1"/>
  <c r="B1734" i="1"/>
  <c r="S1733" i="1"/>
  <c r="L1733" i="1"/>
  <c r="K1733" i="1"/>
  <c r="J1733" i="1"/>
  <c r="H1733" i="1"/>
  <c r="G1733" i="1"/>
  <c r="F1733" i="1"/>
  <c r="D1733" i="1"/>
  <c r="B1733" i="1"/>
  <c r="S1732" i="1"/>
  <c r="L1732" i="1"/>
  <c r="K1732" i="1"/>
  <c r="J1732" i="1"/>
  <c r="H1732" i="1"/>
  <c r="G1732" i="1"/>
  <c r="F1732" i="1"/>
  <c r="D1732" i="1"/>
  <c r="B1732" i="1"/>
  <c r="S1731" i="1"/>
  <c r="L1731" i="1"/>
  <c r="K1731" i="1"/>
  <c r="J1731" i="1"/>
  <c r="H1731" i="1"/>
  <c r="G1731" i="1"/>
  <c r="F1731" i="1"/>
  <c r="D1731" i="1"/>
  <c r="B1731" i="1"/>
  <c r="S1730" i="1"/>
  <c r="L1730" i="1"/>
  <c r="K1730" i="1"/>
  <c r="J1730" i="1"/>
  <c r="H1730" i="1"/>
  <c r="G1730" i="1"/>
  <c r="F1730" i="1"/>
  <c r="D1730" i="1"/>
  <c r="B1730" i="1"/>
  <c r="S1729" i="1"/>
  <c r="L1729" i="1"/>
  <c r="K1729" i="1"/>
  <c r="J1729" i="1"/>
  <c r="H1729" i="1"/>
  <c r="G1729" i="1"/>
  <c r="F1729" i="1"/>
  <c r="D1729" i="1"/>
  <c r="B1729" i="1"/>
  <c r="S1728" i="1"/>
  <c r="L1728" i="1"/>
  <c r="K1728" i="1"/>
  <c r="J1728" i="1"/>
  <c r="H1728" i="1"/>
  <c r="G1728" i="1"/>
  <c r="F1728" i="1"/>
  <c r="D1728" i="1"/>
  <c r="B1728" i="1"/>
  <c r="S1727" i="1"/>
  <c r="L1727" i="1"/>
  <c r="K1727" i="1"/>
  <c r="J1727" i="1"/>
  <c r="H1727" i="1"/>
  <c r="G1727" i="1"/>
  <c r="F1727" i="1"/>
  <c r="D1727" i="1"/>
  <c r="B1727" i="1"/>
  <c r="S1726" i="1"/>
  <c r="Q1726" i="1"/>
  <c r="L1726" i="1"/>
  <c r="K1726" i="1"/>
  <c r="J1726" i="1"/>
  <c r="H1726" i="1"/>
  <c r="G1726" i="1"/>
  <c r="F1726" i="1"/>
  <c r="D1726" i="1"/>
  <c r="B1726" i="1"/>
  <c r="S1725" i="1"/>
  <c r="L1725" i="1"/>
  <c r="K1725" i="1"/>
  <c r="J1725" i="1"/>
  <c r="H1725" i="1"/>
  <c r="G1725" i="1"/>
  <c r="F1725" i="1"/>
  <c r="D1725" i="1"/>
  <c r="B1725" i="1"/>
  <c r="S1724" i="1"/>
  <c r="L1724" i="1"/>
  <c r="K1724" i="1"/>
  <c r="J1724" i="1"/>
  <c r="H1724" i="1"/>
  <c r="G1724" i="1"/>
  <c r="F1724" i="1"/>
  <c r="D1724" i="1"/>
  <c r="B1724" i="1"/>
  <c r="S1723" i="1"/>
  <c r="Q1723" i="1"/>
  <c r="L1723" i="1"/>
  <c r="K1723" i="1"/>
  <c r="J1723" i="1"/>
  <c r="H1723" i="1"/>
  <c r="G1723" i="1"/>
  <c r="F1723" i="1"/>
  <c r="D1723" i="1"/>
  <c r="B1723" i="1"/>
  <c r="S1722" i="1"/>
  <c r="Q1722" i="1"/>
  <c r="L1722" i="1"/>
  <c r="K1722" i="1"/>
  <c r="J1722" i="1"/>
  <c r="H1722" i="1"/>
  <c r="G1722" i="1"/>
  <c r="F1722" i="1"/>
  <c r="D1722" i="1"/>
  <c r="B1722" i="1"/>
  <c r="S1721" i="1"/>
  <c r="Q1721" i="1"/>
  <c r="L1721" i="1"/>
  <c r="K1721" i="1"/>
  <c r="J1721" i="1"/>
  <c r="H1721" i="1"/>
  <c r="G1721" i="1"/>
  <c r="F1721" i="1"/>
  <c r="D1721" i="1"/>
  <c r="B1721" i="1"/>
  <c r="S1720" i="1"/>
  <c r="Q1720" i="1"/>
  <c r="L1720" i="1"/>
  <c r="K1720" i="1"/>
  <c r="J1720" i="1"/>
  <c r="H1720" i="1"/>
  <c r="G1720" i="1"/>
  <c r="F1720" i="1"/>
  <c r="D1720" i="1"/>
  <c r="B1720" i="1"/>
  <c r="S1719" i="1"/>
  <c r="L1719" i="1"/>
  <c r="K1719" i="1"/>
  <c r="J1719" i="1"/>
  <c r="H1719" i="1"/>
  <c r="G1719" i="1"/>
  <c r="F1719" i="1"/>
  <c r="D1719" i="1"/>
  <c r="B1719" i="1"/>
  <c r="S1718" i="1"/>
  <c r="Q1718" i="1"/>
  <c r="L1718" i="1"/>
  <c r="K1718" i="1"/>
  <c r="J1718" i="1"/>
  <c r="H1718" i="1"/>
  <c r="G1718" i="1"/>
  <c r="F1718" i="1"/>
  <c r="D1718" i="1"/>
  <c r="B1718" i="1"/>
  <c r="S1717" i="1"/>
  <c r="L1717" i="1"/>
  <c r="K1717" i="1"/>
  <c r="J1717" i="1"/>
  <c r="H1717" i="1"/>
  <c r="G1717" i="1"/>
  <c r="F1717" i="1"/>
  <c r="D1717" i="1"/>
  <c r="B1717" i="1"/>
  <c r="S1716" i="1"/>
  <c r="L1716" i="1"/>
  <c r="K1716" i="1"/>
  <c r="J1716" i="1"/>
  <c r="H1716" i="1"/>
  <c r="G1716" i="1"/>
  <c r="F1716" i="1"/>
  <c r="D1716" i="1"/>
  <c r="B1716" i="1"/>
  <c r="S1715" i="1"/>
  <c r="Q1715" i="1"/>
  <c r="L1715" i="1"/>
  <c r="K1715" i="1"/>
  <c r="J1715" i="1"/>
  <c r="H1715" i="1"/>
  <c r="G1715" i="1"/>
  <c r="F1715" i="1"/>
  <c r="D1715" i="1"/>
  <c r="B1715" i="1"/>
  <c r="S1714" i="1"/>
  <c r="Q1714" i="1"/>
  <c r="L1714" i="1"/>
  <c r="K1714" i="1"/>
  <c r="J1714" i="1"/>
  <c r="H1714" i="1"/>
  <c r="G1714" i="1"/>
  <c r="F1714" i="1"/>
  <c r="D1714" i="1"/>
  <c r="B1714" i="1"/>
  <c r="S1713" i="1"/>
  <c r="L1713" i="1"/>
  <c r="K1713" i="1"/>
  <c r="J1713" i="1"/>
  <c r="H1713" i="1"/>
  <c r="G1713" i="1"/>
  <c r="F1713" i="1"/>
  <c r="D1713" i="1"/>
  <c r="B1713" i="1"/>
  <c r="S1712" i="1"/>
  <c r="Q1712" i="1"/>
  <c r="L1712" i="1"/>
  <c r="K1712" i="1"/>
  <c r="J1712" i="1"/>
  <c r="H1712" i="1"/>
  <c r="G1712" i="1"/>
  <c r="F1712" i="1"/>
  <c r="D1712" i="1"/>
  <c r="B1712" i="1"/>
  <c r="S1711" i="1"/>
  <c r="L1711" i="1"/>
  <c r="K1711" i="1"/>
  <c r="J1711" i="1"/>
  <c r="H1711" i="1"/>
  <c r="G1711" i="1"/>
  <c r="F1711" i="1"/>
  <c r="D1711" i="1"/>
  <c r="B1711" i="1"/>
  <c r="S1710" i="1"/>
  <c r="L1710" i="1"/>
  <c r="K1710" i="1"/>
  <c r="J1710" i="1"/>
  <c r="H1710" i="1"/>
  <c r="G1710" i="1"/>
  <c r="F1710" i="1"/>
  <c r="D1710" i="1"/>
  <c r="B1710" i="1"/>
  <c r="S1709" i="1"/>
  <c r="L1709" i="1"/>
  <c r="K1709" i="1"/>
  <c r="J1709" i="1"/>
  <c r="H1709" i="1"/>
  <c r="G1709" i="1"/>
  <c r="F1709" i="1"/>
  <c r="D1709" i="1"/>
  <c r="B1709" i="1"/>
  <c r="S1708" i="1"/>
  <c r="L1708" i="1"/>
  <c r="K1708" i="1"/>
  <c r="J1708" i="1"/>
  <c r="H1708" i="1"/>
  <c r="G1708" i="1"/>
  <c r="F1708" i="1"/>
  <c r="D1708" i="1"/>
  <c r="B1708" i="1"/>
  <c r="S1707" i="1"/>
  <c r="L1707" i="1"/>
  <c r="K1707" i="1"/>
  <c r="J1707" i="1"/>
  <c r="H1707" i="1"/>
  <c r="G1707" i="1"/>
  <c r="F1707" i="1"/>
  <c r="D1707" i="1"/>
  <c r="B1707" i="1"/>
  <c r="S1706" i="1"/>
  <c r="Q1706" i="1"/>
  <c r="L1706" i="1"/>
  <c r="K1706" i="1"/>
  <c r="J1706" i="1"/>
  <c r="H1706" i="1"/>
  <c r="G1706" i="1"/>
  <c r="F1706" i="1"/>
  <c r="D1706" i="1"/>
  <c r="B1706" i="1"/>
  <c r="S1705" i="1"/>
  <c r="Q1705" i="1"/>
  <c r="L1705" i="1"/>
  <c r="K1705" i="1"/>
  <c r="J1705" i="1"/>
  <c r="H1705" i="1"/>
  <c r="G1705" i="1"/>
  <c r="F1705" i="1"/>
  <c r="D1705" i="1"/>
  <c r="B1705" i="1"/>
  <c r="S1704" i="1"/>
  <c r="Q1704" i="1"/>
  <c r="L1704" i="1"/>
  <c r="K1704" i="1"/>
  <c r="J1704" i="1"/>
  <c r="H1704" i="1"/>
  <c r="G1704" i="1"/>
  <c r="F1704" i="1"/>
  <c r="D1704" i="1"/>
  <c r="B1704" i="1"/>
  <c r="S1703" i="1"/>
  <c r="Q1703" i="1"/>
  <c r="L1703" i="1"/>
  <c r="K1703" i="1"/>
  <c r="J1703" i="1"/>
  <c r="H1703" i="1"/>
  <c r="G1703" i="1"/>
  <c r="F1703" i="1"/>
  <c r="D1703" i="1"/>
  <c r="B1703" i="1"/>
  <c r="S1702" i="1"/>
  <c r="Q1702" i="1"/>
  <c r="L1702" i="1"/>
  <c r="K1702" i="1"/>
  <c r="J1702" i="1"/>
  <c r="H1702" i="1"/>
  <c r="G1702" i="1"/>
  <c r="F1702" i="1"/>
  <c r="D1702" i="1"/>
  <c r="B1702" i="1"/>
  <c r="S1701" i="1"/>
  <c r="Q1701" i="1"/>
  <c r="L1701" i="1"/>
  <c r="K1701" i="1"/>
  <c r="J1701" i="1"/>
  <c r="H1701" i="1"/>
  <c r="G1701" i="1"/>
  <c r="F1701" i="1"/>
  <c r="D1701" i="1"/>
  <c r="B1701" i="1"/>
  <c r="S1700" i="1"/>
  <c r="Q1700" i="1"/>
  <c r="L1700" i="1"/>
  <c r="K1700" i="1"/>
  <c r="J1700" i="1"/>
  <c r="H1700" i="1"/>
  <c r="G1700" i="1"/>
  <c r="F1700" i="1"/>
  <c r="D1700" i="1"/>
  <c r="B1700" i="1"/>
  <c r="S1699" i="1"/>
  <c r="Q1699" i="1"/>
  <c r="L1699" i="1"/>
  <c r="K1699" i="1"/>
  <c r="J1699" i="1"/>
  <c r="H1699" i="1"/>
  <c r="G1699" i="1"/>
  <c r="F1699" i="1"/>
  <c r="D1699" i="1"/>
  <c r="B1699" i="1"/>
  <c r="S1698" i="1"/>
  <c r="Q1698" i="1"/>
  <c r="L1698" i="1"/>
  <c r="K1698" i="1"/>
  <c r="J1698" i="1"/>
  <c r="H1698" i="1"/>
  <c r="G1698" i="1"/>
  <c r="F1698" i="1"/>
  <c r="D1698" i="1"/>
  <c r="B1698" i="1"/>
  <c r="S1697" i="1"/>
  <c r="Q1697" i="1"/>
  <c r="L1697" i="1"/>
  <c r="K1697" i="1"/>
  <c r="J1697" i="1"/>
  <c r="H1697" i="1"/>
  <c r="G1697" i="1"/>
  <c r="F1697" i="1"/>
  <c r="D1697" i="1"/>
  <c r="B1697" i="1"/>
  <c r="S1696" i="1"/>
  <c r="Q1696" i="1"/>
  <c r="L1696" i="1"/>
  <c r="K1696" i="1"/>
  <c r="J1696" i="1"/>
  <c r="H1696" i="1"/>
  <c r="G1696" i="1"/>
  <c r="F1696" i="1"/>
  <c r="D1696" i="1"/>
  <c r="B1696" i="1"/>
  <c r="S1695" i="1"/>
  <c r="L1695" i="1"/>
  <c r="K1695" i="1"/>
  <c r="J1695" i="1"/>
  <c r="H1695" i="1"/>
  <c r="G1695" i="1"/>
  <c r="F1695" i="1"/>
  <c r="D1695" i="1"/>
  <c r="B1695" i="1"/>
  <c r="S1694" i="1"/>
  <c r="Q1694" i="1"/>
  <c r="L1694" i="1"/>
  <c r="K1694" i="1"/>
  <c r="J1694" i="1"/>
  <c r="H1694" i="1"/>
  <c r="G1694" i="1"/>
  <c r="F1694" i="1"/>
  <c r="D1694" i="1"/>
  <c r="B1694" i="1"/>
  <c r="S1693" i="1"/>
  <c r="L1693" i="1"/>
  <c r="K1693" i="1"/>
  <c r="J1693" i="1"/>
  <c r="H1693" i="1"/>
  <c r="G1693" i="1"/>
  <c r="F1693" i="1"/>
  <c r="D1693" i="1"/>
  <c r="B1693" i="1"/>
  <c r="S1692" i="1"/>
  <c r="L1692" i="1"/>
  <c r="K1692" i="1"/>
  <c r="J1692" i="1"/>
  <c r="H1692" i="1"/>
  <c r="G1692" i="1"/>
  <c r="F1692" i="1"/>
  <c r="D1692" i="1"/>
  <c r="B1692" i="1"/>
  <c r="S1691" i="1"/>
  <c r="Q1691" i="1"/>
  <c r="L1691" i="1"/>
  <c r="K1691" i="1"/>
  <c r="J1691" i="1"/>
  <c r="I1691" i="1"/>
  <c r="H1691" i="1"/>
  <c r="G1691" i="1"/>
  <c r="F1691" i="1"/>
  <c r="D1691" i="1"/>
  <c r="B1691" i="1"/>
  <c r="S1690" i="1"/>
  <c r="L1690" i="1"/>
  <c r="K1690" i="1"/>
  <c r="J1690" i="1"/>
  <c r="H1690" i="1"/>
  <c r="G1690" i="1"/>
  <c r="F1690" i="1"/>
  <c r="D1690" i="1"/>
  <c r="B1690" i="1"/>
  <c r="S1689" i="1"/>
  <c r="L1689" i="1"/>
  <c r="K1689" i="1"/>
  <c r="J1689" i="1"/>
  <c r="H1689" i="1"/>
  <c r="G1689" i="1"/>
  <c r="F1689" i="1"/>
  <c r="D1689" i="1"/>
  <c r="B1689" i="1"/>
  <c r="S1688" i="1"/>
  <c r="L1688" i="1"/>
  <c r="K1688" i="1"/>
  <c r="J1688" i="1"/>
  <c r="H1688" i="1"/>
  <c r="G1688" i="1"/>
  <c r="F1688" i="1"/>
  <c r="D1688" i="1"/>
  <c r="B1688" i="1"/>
  <c r="S1687" i="1"/>
  <c r="L1687" i="1"/>
  <c r="K1687" i="1"/>
  <c r="J1687" i="1"/>
  <c r="H1687" i="1"/>
  <c r="G1687" i="1"/>
  <c r="F1687" i="1"/>
  <c r="D1687" i="1"/>
  <c r="B1687" i="1"/>
  <c r="S1686" i="1"/>
  <c r="Q1686" i="1"/>
  <c r="L1686" i="1"/>
  <c r="K1686" i="1"/>
  <c r="J1686" i="1"/>
  <c r="H1686" i="1"/>
  <c r="G1686" i="1"/>
  <c r="F1686" i="1"/>
  <c r="D1686" i="1"/>
  <c r="B1686" i="1"/>
  <c r="S1685" i="1"/>
  <c r="L1685" i="1"/>
  <c r="K1685" i="1"/>
  <c r="J1685" i="1"/>
  <c r="H1685" i="1"/>
  <c r="G1685" i="1"/>
  <c r="F1685" i="1"/>
  <c r="D1685" i="1"/>
  <c r="B1685" i="1"/>
  <c r="S1684" i="1"/>
  <c r="Q1684" i="1"/>
  <c r="L1684" i="1"/>
  <c r="K1684" i="1"/>
  <c r="J1684" i="1"/>
  <c r="H1684" i="1"/>
  <c r="G1684" i="1"/>
  <c r="F1684" i="1"/>
  <c r="D1684" i="1"/>
  <c r="B1684" i="1"/>
  <c r="S1683" i="1"/>
  <c r="L1683" i="1"/>
  <c r="K1683" i="1"/>
  <c r="J1683" i="1"/>
  <c r="H1683" i="1"/>
  <c r="G1683" i="1"/>
  <c r="F1683" i="1"/>
  <c r="D1683" i="1"/>
  <c r="B1683" i="1"/>
  <c r="S1682" i="1"/>
  <c r="L1682" i="1"/>
  <c r="K1682" i="1"/>
  <c r="J1682" i="1"/>
  <c r="H1682" i="1"/>
  <c r="G1682" i="1"/>
  <c r="F1682" i="1"/>
  <c r="D1682" i="1"/>
  <c r="B1682" i="1"/>
  <c r="S1681" i="1"/>
  <c r="L1681" i="1"/>
  <c r="K1681" i="1"/>
  <c r="J1681" i="1"/>
  <c r="H1681" i="1"/>
  <c r="G1681" i="1"/>
  <c r="F1681" i="1"/>
  <c r="D1681" i="1"/>
  <c r="B1681" i="1"/>
  <c r="S1680" i="1"/>
  <c r="L1680" i="1"/>
  <c r="K1680" i="1"/>
  <c r="J1680" i="1"/>
  <c r="H1680" i="1"/>
  <c r="G1680" i="1"/>
  <c r="F1680" i="1"/>
  <c r="D1680" i="1"/>
  <c r="B1680" i="1"/>
  <c r="S1679" i="1"/>
  <c r="L1679" i="1"/>
  <c r="K1679" i="1"/>
  <c r="J1679" i="1"/>
  <c r="H1679" i="1"/>
  <c r="G1679" i="1"/>
  <c r="F1679" i="1"/>
  <c r="D1679" i="1"/>
  <c r="B1679" i="1"/>
  <c r="S1678" i="1"/>
  <c r="L1678" i="1"/>
  <c r="K1678" i="1"/>
  <c r="J1678" i="1"/>
  <c r="H1678" i="1"/>
  <c r="G1678" i="1"/>
  <c r="F1678" i="1"/>
  <c r="D1678" i="1"/>
  <c r="B1678" i="1"/>
  <c r="S1677" i="1"/>
  <c r="L1677" i="1"/>
  <c r="K1677" i="1"/>
  <c r="J1677" i="1"/>
  <c r="H1677" i="1"/>
  <c r="G1677" i="1"/>
  <c r="F1677" i="1"/>
  <c r="D1677" i="1"/>
  <c r="B1677" i="1"/>
  <c r="S1676" i="1"/>
  <c r="L1676" i="1"/>
  <c r="K1676" i="1"/>
  <c r="J1676" i="1"/>
  <c r="H1676" i="1"/>
  <c r="G1676" i="1"/>
  <c r="F1676" i="1"/>
  <c r="D1676" i="1"/>
  <c r="B1676" i="1"/>
  <c r="S1675" i="1"/>
  <c r="L1675" i="1"/>
  <c r="K1675" i="1"/>
  <c r="J1675" i="1"/>
  <c r="H1675" i="1"/>
  <c r="G1675" i="1"/>
  <c r="F1675" i="1"/>
  <c r="D1675" i="1"/>
  <c r="B1675" i="1"/>
  <c r="S1674" i="1"/>
  <c r="Q1674" i="1"/>
  <c r="L1674" i="1"/>
  <c r="K1674" i="1"/>
  <c r="J1674" i="1"/>
  <c r="H1674" i="1"/>
  <c r="G1674" i="1"/>
  <c r="F1674" i="1"/>
  <c r="D1674" i="1"/>
  <c r="B1674" i="1"/>
  <c r="S1673" i="1"/>
  <c r="Q1673" i="1"/>
  <c r="L1673" i="1"/>
  <c r="K1673" i="1"/>
  <c r="J1673" i="1"/>
  <c r="H1673" i="1"/>
  <c r="G1673" i="1"/>
  <c r="F1673" i="1"/>
  <c r="D1673" i="1"/>
  <c r="B1673" i="1"/>
  <c r="S1672" i="1"/>
  <c r="L1672" i="1"/>
  <c r="K1672" i="1"/>
  <c r="J1672" i="1"/>
  <c r="H1672" i="1"/>
  <c r="G1672" i="1"/>
  <c r="F1672" i="1"/>
  <c r="D1672" i="1"/>
  <c r="B1672" i="1"/>
  <c r="S1671" i="1"/>
  <c r="L1671" i="1"/>
  <c r="K1671" i="1"/>
  <c r="J1671" i="1"/>
  <c r="H1671" i="1"/>
  <c r="G1671" i="1"/>
  <c r="F1671" i="1"/>
  <c r="D1671" i="1"/>
  <c r="B1671" i="1"/>
  <c r="S1670" i="1"/>
  <c r="L1670" i="1"/>
  <c r="K1670" i="1"/>
  <c r="J1670" i="1"/>
  <c r="H1670" i="1"/>
  <c r="G1670" i="1"/>
  <c r="F1670" i="1"/>
  <c r="D1670" i="1"/>
  <c r="B1670" i="1"/>
  <c r="S1669" i="1"/>
  <c r="L1669" i="1"/>
  <c r="K1669" i="1"/>
  <c r="J1669" i="1"/>
  <c r="H1669" i="1"/>
  <c r="G1669" i="1"/>
  <c r="F1669" i="1"/>
  <c r="D1669" i="1"/>
  <c r="B1669" i="1"/>
  <c r="S1668" i="1"/>
  <c r="Q1668" i="1"/>
  <c r="L1668" i="1"/>
  <c r="K1668" i="1"/>
  <c r="J1668" i="1"/>
  <c r="H1668" i="1"/>
  <c r="G1668" i="1"/>
  <c r="F1668" i="1"/>
  <c r="D1668" i="1"/>
  <c r="B1668" i="1"/>
  <c r="S1667" i="1"/>
  <c r="L1667" i="1"/>
  <c r="K1667" i="1"/>
  <c r="J1667" i="1"/>
  <c r="H1667" i="1"/>
  <c r="G1667" i="1"/>
  <c r="F1667" i="1"/>
  <c r="D1667" i="1"/>
  <c r="B1667" i="1"/>
  <c r="S1666" i="1"/>
  <c r="Q1666" i="1"/>
  <c r="L1666" i="1"/>
  <c r="K1666" i="1"/>
  <c r="J1666" i="1"/>
  <c r="H1666" i="1"/>
  <c r="G1666" i="1"/>
  <c r="F1666" i="1"/>
  <c r="D1666" i="1"/>
  <c r="B1666" i="1"/>
  <c r="S1665" i="1"/>
  <c r="L1665" i="1"/>
  <c r="K1665" i="1"/>
  <c r="J1665" i="1"/>
  <c r="H1665" i="1"/>
  <c r="G1665" i="1"/>
  <c r="F1665" i="1"/>
  <c r="D1665" i="1"/>
  <c r="B1665" i="1"/>
  <c r="S1664" i="1"/>
  <c r="L1664" i="1"/>
  <c r="K1664" i="1"/>
  <c r="J1664" i="1"/>
  <c r="H1664" i="1"/>
  <c r="G1664" i="1"/>
  <c r="F1664" i="1"/>
  <c r="D1664" i="1"/>
  <c r="B1664" i="1"/>
  <c r="S1663" i="1"/>
  <c r="L1663" i="1"/>
  <c r="K1663" i="1"/>
  <c r="J1663" i="1"/>
  <c r="H1663" i="1"/>
  <c r="G1663" i="1"/>
  <c r="F1663" i="1"/>
  <c r="D1663" i="1"/>
  <c r="B1663" i="1"/>
  <c r="S1662" i="1"/>
  <c r="Q1662" i="1"/>
  <c r="L1662" i="1"/>
  <c r="K1662" i="1"/>
  <c r="J1662" i="1"/>
  <c r="H1662" i="1"/>
  <c r="G1662" i="1"/>
  <c r="F1662" i="1"/>
  <c r="D1662" i="1"/>
  <c r="B1662" i="1"/>
  <c r="S1661" i="1"/>
  <c r="Q1661" i="1"/>
  <c r="L1661" i="1"/>
  <c r="K1661" i="1"/>
  <c r="J1661" i="1"/>
  <c r="H1661" i="1"/>
  <c r="G1661" i="1"/>
  <c r="F1661" i="1"/>
  <c r="D1661" i="1"/>
  <c r="B1661" i="1"/>
  <c r="S1660" i="1"/>
  <c r="L1660" i="1"/>
  <c r="K1660" i="1"/>
  <c r="J1660" i="1"/>
  <c r="H1660" i="1"/>
  <c r="G1660" i="1"/>
  <c r="F1660" i="1"/>
  <c r="D1660" i="1"/>
  <c r="B1660" i="1"/>
  <c r="S1659" i="1"/>
  <c r="L1659" i="1"/>
  <c r="K1659" i="1"/>
  <c r="J1659" i="1"/>
  <c r="H1659" i="1"/>
  <c r="G1659" i="1"/>
  <c r="F1659" i="1"/>
  <c r="D1659" i="1"/>
  <c r="B1659" i="1"/>
  <c r="S1658" i="1"/>
  <c r="L1658" i="1"/>
  <c r="K1658" i="1"/>
  <c r="J1658" i="1"/>
  <c r="H1658" i="1"/>
  <c r="G1658" i="1"/>
  <c r="F1658" i="1"/>
  <c r="D1658" i="1"/>
  <c r="B1658" i="1"/>
  <c r="S1657" i="1"/>
  <c r="Q1657" i="1"/>
  <c r="L1657" i="1"/>
  <c r="K1657" i="1"/>
  <c r="J1657" i="1"/>
  <c r="H1657" i="1"/>
  <c r="G1657" i="1"/>
  <c r="F1657" i="1"/>
  <c r="D1657" i="1"/>
  <c r="B1657" i="1"/>
  <c r="S1656" i="1"/>
  <c r="L1656" i="1"/>
  <c r="K1656" i="1"/>
  <c r="J1656" i="1"/>
  <c r="H1656" i="1"/>
  <c r="G1656" i="1"/>
  <c r="F1656" i="1"/>
  <c r="D1656" i="1"/>
  <c r="B1656" i="1"/>
  <c r="S1655" i="1"/>
  <c r="L1655" i="1"/>
  <c r="K1655" i="1"/>
  <c r="J1655" i="1"/>
  <c r="H1655" i="1"/>
  <c r="G1655" i="1"/>
  <c r="F1655" i="1"/>
  <c r="D1655" i="1"/>
  <c r="B1655" i="1"/>
  <c r="S1654" i="1"/>
  <c r="Q1654" i="1"/>
  <c r="L1654" i="1"/>
  <c r="K1654" i="1"/>
  <c r="J1654" i="1"/>
  <c r="I1654" i="1"/>
  <c r="H1654" i="1"/>
  <c r="G1654" i="1"/>
  <c r="F1654" i="1"/>
  <c r="D1654" i="1"/>
  <c r="B1654" i="1"/>
  <c r="S1653" i="1"/>
  <c r="L1653" i="1"/>
  <c r="K1653" i="1"/>
  <c r="J1653" i="1"/>
  <c r="H1653" i="1"/>
  <c r="G1653" i="1"/>
  <c r="F1653" i="1"/>
  <c r="D1653" i="1"/>
  <c r="B1653" i="1"/>
  <c r="S1652" i="1"/>
  <c r="L1652" i="1"/>
  <c r="K1652" i="1"/>
  <c r="J1652" i="1"/>
  <c r="H1652" i="1"/>
  <c r="G1652" i="1"/>
  <c r="F1652" i="1"/>
  <c r="D1652" i="1"/>
  <c r="B1652" i="1"/>
  <c r="S1651" i="1"/>
  <c r="L1651" i="1"/>
  <c r="K1651" i="1"/>
  <c r="J1651" i="1"/>
  <c r="H1651" i="1"/>
  <c r="G1651" i="1"/>
  <c r="F1651" i="1"/>
  <c r="D1651" i="1"/>
  <c r="B1651" i="1"/>
  <c r="S1650" i="1"/>
  <c r="L1650" i="1"/>
  <c r="K1650" i="1"/>
  <c r="J1650" i="1"/>
  <c r="H1650" i="1"/>
  <c r="G1650" i="1"/>
  <c r="F1650" i="1"/>
  <c r="D1650" i="1"/>
  <c r="B1650" i="1"/>
  <c r="S1649" i="1"/>
  <c r="L1649" i="1"/>
  <c r="K1649" i="1"/>
  <c r="J1649" i="1"/>
  <c r="H1649" i="1"/>
  <c r="G1649" i="1"/>
  <c r="F1649" i="1"/>
  <c r="D1649" i="1"/>
  <c r="B1649" i="1"/>
  <c r="S1648" i="1"/>
  <c r="L1648" i="1"/>
  <c r="K1648" i="1"/>
  <c r="J1648" i="1"/>
  <c r="H1648" i="1"/>
  <c r="G1648" i="1"/>
  <c r="F1648" i="1"/>
  <c r="D1648" i="1"/>
  <c r="B1648" i="1"/>
  <c r="S1647" i="1"/>
  <c r="L1647" i="1"/>
  <c r="K1647" i="1"/>
  <c r="J1647" i="1"/>
  <c r="H1647" i="1"/>
  <c r="G1647" i="1"/>
  <c r="F1647" i="1"/>
  <c r="D1647" i="1"/>
  <c r="B1647" i="1"/>
  <c r="S1646" i="1"/>
  <c r="L1646" i="1"/>
  <c r="K1646" i="1"/>
  <c r="J1646" i="1"/>
  <c r="H1646" i="1"/>
  <c r="G1646" i="1"/>
  <c r="F1646" i="1"/>
  <c r="D1646" i="1"/>
  <c r="B1646" i="1"/>
  <c r="S1645" i="1"/>
  <c r="L1645" i="1"/>
  <c r="K1645" i="1"/>
  <c r="J1645" i="1"/>
  <c r="H1645" i="1"/>
  <c r="G1645" i="1"/>
  <c r="F1645" i="1"/>
  <c r="D1645" i="1"/>
  <c r="B1645" i="1"/>
  <c r="S1644" i="1"/>
  <c r="L1644" i="1"/>
  <c r="K1644" i="1"/>
  <c r="J1644" i="1"/>
  <c r="H1644" i="1"/>
  <c r="G1644" i="1"/>
  <c r="F1644" i="1"/>
  <c r="D1644" i="1"/>
  <c r="B1644" i="1"/>
  <c r="S1643" i="1"/>
  <c r="L1643" i="1"/>
  <c r="K1643" i="1"/>
  <c r="J1643" i="1"/>
  <c r="H1643" i="1"/>
  <c r="G1643" i="1"/>
  <c r="F1643" i="1"/>
  <c r="D1643" i="1"/>
  <c r="B1643" i="1"/>
  <c r="S1642" i="1"/>
  <c r="L1642" i="1"/>
  <c r="K1642" i="1"/>
  <c r="J1642" i="1"/>
  <c r="H1642" i="1"/>
  <c r="G1642" i="1"/>
  <c r="F1642" i="1"/>
  <c r="D1642" i="1"/>
  <c r="B1642" i="1"/>
  <c r="S1641" i="1"/>
  <c r="L1641" i="1"/>
  <c r="K1641" i="1"/>
  <c r="J1641" i="1"/>
  <c r="H1641" i="1"/>
  <c r="G1641" i="1"/>
  <c r="F1641" i="1"/>
  <c r="D1641" i="1"/>
  <c r="B1641" i="1"/>
  <c r="S1640" i="1"/>
  <c r="L1640" i="1"/>
  <c r="K1640" i="1"/>
  <c r="J1640" i="1"/>
  <c r="H1640" i="1"/>
  <c r="G1640" i="1"/>
  <c r="F1640" i="1"/>
  <c r="D1640" i="1"/>
  <c r="B1640" i="1"/>
  <c r="S1639" i="1"/>
  <c r="Q1639" i="1"/>
  <c r="L1639" i="1"/>
  <c r="K1639" i="1"/>
  <c r="J1639" i="1"/>
  <c r="H1639" i="1"/>
  <c r="G1639" i="1"/>
  <c r="F1639" i="1"/>
  <c r="D1639" i="1"/>
  <c r="B1639" i="1"/>
  <c r="S1638" i="1"/>
  <c r="L1638" i="1"/>
  <c r="K1638" i="1"/>
  <c r="J1638" i="1"/>
  <c r="H1638" i="1"/>
  <c r="G1638" i="1"/>
  <c r="F1638" i="1"/>
  <c r="D1638" i="1"/>
  <c r="B1638" i="1"/>
  <c r="S1637" i="1"/>
  <c r="L1637" i="1"/>
  <c r="K1637" i="1"/>
  <c r="J1637" i="1"/>
  <c r="H1637" i="1"/>
  <c r="G1637" i="1"/>
  <c r="F1637" i="1"/>
  <c r="D1637" i="1"/>
  <c r="B1637" i="1"/>
  <c r="S1636" i="1"/>
  <c r="L1636" i="1"/>
  <c r="K1636" i="1"/>
  <c r="J1636" i="1"/>
  <c r="H1636" i="1"/>
  <c r="G1636" i="1"/>
  <c r="F1636" i="1"/>
  <c r="D1636" i="1"/>
  <c r="B1636" i="1"/>
  <c r="S1635" i="1"/>
  <c r="L1635" i="1"/>
  <c r="K1635" i="1"/>
  <c r="J1635" i="1"/>
  <c r="H1635" i="1"/>
  <c r="G1635" i="1"/>
  <c r="F1635" i="1"/>
  <c r="D1635" i="1"/>
  <c r="B1635" i="1"/>
  <c r="S1634" i="1"/>
  <c r="Q1634" i="1"/>
  <c r="L1634" i="1"/>
  <c r="K1634" i="1"/>
  <c r="J1634" i="1"/>
  <c r="H1634" i="1"/>
  <c r="G1634" i="1"/>
  <c r="F1634" i="1"/>
  <c r="D1634" i="1"/>
  <c r="B1634" i="1"/>
  <c r="S1633" i="1"/>
  <c r="L1633" i="1"/>
  <c r="K1633" i="1"/>
  <c r="J1633" i="1"/>
  <c r="H1633" i="1"/>
  <c r="G1633" i="1"/>
  <c r="F1633" i="1"/>
  <c r="D1633" i="1"/>
  <c r="B1633" i="1"/>
  <c r="S1632" i="1"/>
  <c r="Q1632" i="1"/>
  <c r="L1632" i="1"/>
  <c r="K1632" i="1"/>
  <c r="J1632" i="1"/>
  <c r="H1632" i="1"/>
  <c r="G1632" i="1"/>
  <c r="F1632" i="1"/>
  <c r="D1632" i="1"/>
  <c r="B1632" i="1"/>
  <c r="S1631" i="1"/>
  <c r="Q1631" i="1"/>
  <c r="L1631" i="1"/>
  <c r="K1631" i="1"/>
  <c r="J1631" i="1"/>
  <c r="H1631" i="1"/>
  <c r="G1631" i="1"/>
  <c r="F1631" i="1"/>
  <c r="D1631" i="1"/>
  <c r="B1631" i="1"/>
  <c r="S1630" i="1"/>
  <c r="Q1630" i="1"/>
  <c r="L1630" i="1"/>
  <c r="K1630" i="1"/>
  <c r="J1630" i="1"/>
  <c r="H1630" i="1"/>
  <c r="G1630" i="1"/>
  <c r="F1630" i="1"/>
  <c r="D1630" i="1"/>
  <c r="B1630" i="1"/>
  <c r="S1629" i="1"/>
  <c r="Q1629" i="1"/>
  <c r="L1629" i="1"/>
  <c r="K1629" i="1"/>
  <c r="J1629" i="1"/>
  <c r="H1629" i="1"/>
  <c r="G1629" i="1"/>
  <c r="F1629" i="1"/>
  <c r="D1629" i="1"/>
  <c r="B1629" i="1"/>
  <c r="S1628" i="1"/>
  <c r="L1628" i="1"/>
  <c r="K1628" i="1"/>
  <c r="J1628" i="1"/>
  <c r="H1628" i="1"/>
  <c r="G1628" i="1"/>
  <c r="F1628" i="1"/>
  <c r="D1628" i="1"/>
  <c r="B1628" i="1"/>
  <c r="S1627" i="1"/>
  <c r="Q1627" i="1"/>
  <c r="L1627" i="1"/>
  <c r="K1627" i="1"/>
  <c r="J1627" i="1"/>
  <c r="H1627" i="1"/>
  <c r="G1627" i="1"/>
  <c r="F1627" i="1"/>
  <c r="D1627" i="1"/>
  <c r="B1627" i="1"/>
  <c r="S1626" i="1"/>
  <c r="Q1626" i="1"/>
  <c r="L1626" i="1"/>
  <c r="K1626" i="1"/>
  <c r="J1626" i="1"/>
  <c r="H1626" i="1"/>
  <c r="G1626" i="1"/>
  <c r="F1626" i="1"/>
  <c r="D1626" i="1"/>
  <c r="B1626" i="1"/>
  <c r="S1625" i="1"/>
  <c r="L1625" i="1"/>
  <c r="K1625" i="1"/>
  <c r="J1625" i="1"/>
  <c r="H1625" i="1"/>
  <c r="G1625" i="1"/>
  <c r="F1625" i="1"/>
  <c r="D1625" i="1"/>
  <c r="B1625" i="1"/>
  <c r="S1624" i="1"/>
  <c r="Q1624" i="1"/>
  <c r="L1624" i="1"/>
  <c r="K1624" i="1"/>
  <c r="J1624" i="1"/>
  <c r="H1624" i="1"/>
  <c r="G1624" i="1"/>
  <c r="F1624" i="1"/>
  <c r="D1624" i="1"/>
  <c r="B1624" i="1"/>
  <c r="S1623" i="1"/>
  <c r="L1623" i="1"/>
  <c r="K1623" i="1"/>
  <c r="J1623" i="1"/>
  <c r="H1623" i="1"/>
  <c r="G1623" i="1"/>
  <c r="F1623" i="1"/>
  <c r="D1623" i="1"/>
  <c r="B1623" i="1"/>
  <c r="S1622" i="1"/>
  <c r="Q1622" i="1"/>
  <c r="L1622" i="1"/>
  <c r="K1622" i="1"/>
  <c r="J1622" i="1"/>
  <c r="H1622" i="1"/>
  <c r="G1622" i="1"/>
  <c r="F1622" i="1"/>
  <c r="D1622" i="1"/>
  <c r="B1622" i="1"/>
  <c r="S1621" i="1"/>
  <c r="L1621" i="1"/>
  <c r="K1621" i="1"/>
  <c r="J1621" i="1"/>
  <c r="H1621" i="1"/>
  <c r="G1621" i="1"/>
  <c r="F1621" i="1"/>
  <c r="D1621" i="1"/>
  <c r="B1621" i="1"/>
  <c r="S1620" i="1"/>
  <c r="L1620" i="1"/>
  <c r="K1620" i="1"/>
  <c r="J1620" i="1"/>
  <c r="H1620" i="1"/>
  <c r="G1620" i="1"/>
  <c r="F1620" i="1"/>
  <c r="D1620" i="1"/>
  <c r="B1620" i="1"/>
  <c r="S1619" i="1"/>
  <c r="Q1619" i="1"/>
  <c r="L1619" i="1"/>
  <c r="K1619" i="1"/>
  <c r="J1619" i="1"/>
  <c r="H1619" i="1"/>
  <c r="G1619" i="1"/>
  <c r="F1619" i="1"/>
  <c r="D1619" i="1"/>
  <c r="B1619" i="1"/>
  <c r="S1618" i="1"/>
  <c r="L1618" i="1"/>
  <c r="K1618" i="1"/>
  <c r="J1618" i="1"/>
  <c r="H1618" i="1"/>
  <c r="G1618" i="1"/>
  <c r="F1618" i="1"/>
  <c r="D1618" i="1"/>
  <c r="B1618" i="1"/>
  <c r="S1617" i="1"/>
  <c r="Q1617" i="1"/>
  <c r="L1617" i="1"/>
  <c r="K1617" i="1"/>
  <c r="J1617" i="1"/>
  <c r="H1617" i="1"/>
  <c r="G1617" i="1"/>
  <c r="F1617" i="1"/>
  <c r="D1617" i="1"/>
  <c r="B1617" i="1"/>
  <c r="S1616" i="1"/>
  <c r="Q1616" i="1"/>
  <c r="L1616" i="1"/>
  <c r="K1616" i="1"/>
  <c r="J1616" i="1"/>
  <c r="H1616" i="1"/>
  <c r="G1616" i="1"/>
  <c r="F1616" i="1"/>
  <c r="D1616" i="1"/>
  <c r="B1616" i="1"/>
  <c r="S1615" i="1"/>
  <c r="Q1615" i="1"/>
  <c r="L1615" i="1"/>
  <c r="K1615" i="1"/>
  <c r="J1615" i="1"/>
  <c r="H1615" i="1"/>
  <c r="G1615" i="1"/>
  <c r="F1615" i="1"/>
  <c r="D1615" i="1"/>
  <c r="B1615" i="1"/>
  <c r="S1614" i="1"/>
  <c r="Q1614" i="1"/>
  <c r="L1614" i="1"/>
  <c r="K1614" i="1"/>
  <c r="J1614" i="1"/>
  <c r="H1614" i="1"/>
  <c r="G1614" i="1"/>
  <c r="F1614" i="1"/>
  <c r="D1614" i="1"/>
  <c r="B1614" i="1"/>
  <c r="S1613" i="1"/>
  <c r="Q1613" i="1"/>
  <c r="L1613" i="1"/>
  <c r="K1613" i="1"/>
  <c r="J1613" i="1"/>
  <c r="H1613" i="1"/>
  <c r="G1613" i="1"/>
  <c r="F1613" i="1"/>
  <c r="D1613" i="1"/>
  <c r="B1613" i="1"/>
  <c r="S1612" i="1"/>
  <c r="Q1612" i="1"/>
  <c r="L1612" i="1"/>
  <c r="K1612" i="1"/>
  <c r="J1612" i="1"/>
  <c r="H1612" i="1"/>
  <c r="G1612" i="1"/>
  <c r="F1612" i="1"/>
  <c r="D1612" i="1"/>
  <c r="B1612" i="1"/>
  <c r="S1611" i="1"/>
  <c r="Q1611" i="1"/>
  <c r="L1611" i="1"/>
  <c r="K1611" i="1"/>
  <c r="J1611" i="1"/>
  <c r="H1611" i="1"/>
  <c r="G1611" i="1"/>
  <c r="F1611" i="1"/>
  <c r="D1611" i="1"/>
  <c r="B1611" i="1"/>
  <c r="S1610" i="1"/>
  <c r="Q1610" i="1"/>
  <c r="L1610" i="1"/>
  <c r="K1610" i="1"/>
  <c r="J1610" i="1"/>
  <c r="H1610" i="1"/>
  <c r="G1610" i="1"/>
  <c r="F1610" i="1"/>
  <c r="D1610" i="1"/>
  <c r="B1610" i="1"/>
  <c r="S1609" i="1"/>
  <c r="L1609" i="1"/>
  <c r="K1609" i="1"/>
  <c r="J1609" i="1"/>
  <c r="H1609" i="1"/>
  <c r="G1609" i="1"/>
  <c r="F1609" i="1"/>
  <c r="D1609" i="1"/>
  <c r="B1609" i="1"/>
  <c r="S1608" i="1"/>
  <c r="L1608" i="1"/>
  <c r="K1608" i="1"/>
  <c r="J1608" i="1"/>
  <c r="H1608" i="1"/>
  <c r="G1608" i="1"/>
  <c r="F1608" i="1"/>
  <c r="D1608" i="1"/>
  <c r="B1608" i="1"/>
  <c r="S1607" i="1"/>
  <c r="L1607" i="1"/>
  <c r="K1607" i="1"/>
  <c r="J1607" i="1"/>
  <c r="H1607" i="1"/>
  <c r="G1607" i="1"/>
  <c r="F1607" i="1"/>
  <c r="D1607" i="1"/>
  <c r="B1607" i="1"/>
  <c r="S1606" i="1"/>
  <c r="L1606" i="1"/>
  <c r="K1606" i="1"/>
  <c r="J1606" i="1"/>
  <c r="H1606" i="1"/>
  <c r="G1606" i="1"/>
  <c r="F1606" i="1"/>
  <c r="D1606" i="1"/>
  <c r="B1606" i="1"/>
  <c r="S1605" i="1"/>
  <c r="L1605" i="1"/>
  <c r="K1605" i="1"/>
  <c r="J1605" i="1"/>
  <c r="H1605" i="1"/>
  <c r="G1605" i="1"/>
  <c r="F1605" i="1"/>
  <c r="D1605" i="1"/>
  <c r="B1605" i="1"/>
  <c r="S1604" i="1"/>
  <c r="L1604" i="1"/>
  <c r="K1604" i="1"/>
  <c r="J1604" i="1"/>
  <c r="H1604" i="1"/>
  <c r="G1604" i="1"/>
  <c r="F1604" i="1"/>
  <c r="D1604" i="1"/>
  <c r="B1604" i="1"/>
  <c r="S1603" i="1"/>
  <c r="L1603" i="1"/>
  <c r="K1603" i="1"/>
  <c r="J1603" i="1"/>
  <c r="H1603" i="1"/>
  <c r="G1603" i="1"/>
  <c r="F1603" i="1"/>
  <c r="D1603" i="1"/>
  <c r="B1603" i="1"/>
  <c r="S1602" i="1"/>
  <c r="L1602" i="1"/>
  <c r="K1602" i="1"/>
  <c r="J1602" i="1"/>
  <c r="H1602" i="1"/>
  <c r="G1602" i="1"/>
  <c r="F1602" i="1"/>
  <c r="D1602" i="1"/>
  <c r="B1602" i="1"/>
  <c r="S1601" i="1"/>
  <c r="Q1601" i="1"/>
  <c r="L1601" i="1"/>
  <c r="K1601" i="1"/>
  <c r="J1601" i="1"/>
  <c r="H1601" i="1"/>
  <c r="G1601" i="1"/>
  <c r="F1601" i="1"/>
  <c r="D1601" i="1"/>
  <c r="B1601" i="1"/>
  <c r="S1600" i="1"/>
  <c r="Q1600" i="1"/>
  <c r="L1600" i="1"/>
  <c r="K1600" i="1"/>
  <c r="J1600" i="1"/>
  <c r="H1600" i="1"/>
  <c r="G1600" i="1"/>
  <c r="F1600" i="1"/>
  <c r="D1600" i="1"/>
  <c r="B1600" i="1"/>
  <c r="S1599" i="1"/>
  <c r="L1599" i="1"/>
  <c r="K1599" i="1"/>
  <c r="J1599" i="1"/>
  <c r="H1599" i="1"/>
  <c r="G1599" i="1"/>
  <c r="F1599" i="1"/>
  <c r="D1599" i="1"/>
  <c r="B1599" i="1"/>
  <c r="S1598" i="1"/>
  <c r="L1598" i="1"/>
  <c r="K1598" i="1"/>
  <c r="J1598" i="1"/>
  <c r="H1598" i="1"/>
  <c r="G1598" i="1"/>
  <c r="F1598" i="1"/>
  <c r="D1598" i="1"/>
  <c r="B1598" i="1"/>
  <c r="S1597" i="1"/>
  <c r="L1597" i="1"/>
  <c r="K1597" i="1"/>
  <c r="J1597" i="1"/>
  <c r="H1597" i="1"/>
  <c r="G1597" i="1"/>
  <c r="F1597" i="1"/>
  <c r="D1597" i="1"/>
  <c r="B1597" i="1"/>
  <c r="S1596" i="1"/>
  <c r="L1596" i="1"/>
  <c r="K1596" i="1"/>
  <c r="J1596" i="1"/>
  <c r="H1596" i="1"/>
  <c r="G1596" i="1"/>
  <c r="F1596" i="1"/>
  <c r="D1596" i="1"/>
  <c r="B1596" i="1"/>
  <c r="S1595" i="1"/>
  <c r="L1595" i="1"/>
  <c r="K1595" i="1"/>
  <c r="J1595" i="1"/>
  <c r="H1595" i="1"/>
  <c r="G1595" i="1"/>
  <c r="F1595" i="1"/>
  <c r="D1595" i="1"/>
  <c r="B1595" i="1"/>
  <c r="S1594" i="1"/>
  <c r="L1594" i="1"/>
  <c r="K1594" i="1"/>
  <c r="J1594" i="1"/>
  <c r="H1594" i="1"/>
  <c r="G1594" i="1"/>
  <c r="F1594" i="1"/>
  <c r="D1594" i="1"/>
  <c r="B1594" i="1"/>
  <c r="S1593" i="1"/>
  <c r="L1593" i="1"/>
  <c r="K1593" i="1"/>
  <c r="J1593" i="1"/>
  <c r="H1593" i="1"/>
  <c r="G1593" i="1"/>
  <c r="F1593" i="1"/>
  <c r="D1593" i="1"/>
  <c r="B1593" i="1"/>
  <c r="S1592" i="1"/>
  <c r="L1592" i="1"/>
  <c r="K1592" i="1"/>
  <c r="J1592" i="1"/>
  <c r="H1592" i="1"/>
  <c r="G1592" i="1"/>
  <c r="F1592" i="1"/>
  <c r="D1592" i="1"/>
  <c r="B1592" i="1"/>
  <c r="S1591" i="1"/>
  <c r="L1591" i="1"/>
  <c r="K1591" i="1"/>
  <c r="J1591" i="1"/>
  <c r="H1591" i="1"/>
  <c r="G1591" i="1"/>
  <c r="F1591" i="1"/>
  <c r="D1591" i="1"/>
  <c r="B1591" i="1"/>
  <c r="S1590" i="1"/>
  <c r="L1590" i="1"/>
  <c r="K1590" i="1"/>
  <c r="J1590" i="1"/>
  <c r="H1590" i="1"/>
  <c r="G1590" i="1"/>
  <c r="F1590" i="1"/>
  <c r="D1590" i="1"/>
  <c r="B1590" i="1"/>
  <c r="S1589" i="1"/>
  <c r="L1589" i="1"/>
  <c r="K1589" i="1"/>
  <c r="J1589" i="1"/>
  <c r="H1589" i="1"/>
  <c r="G1589" i="1"/>
  <c r="F1589" i="1"/>
  <c r="D1589" i="1"/>
  <c r="B1589" i="1"/>
  <c r="S1588" i="1"/>
  <c r="Q1588" i="1"/>
  <c r="L1588" i="1"/>
  <c r="K1588" i="1"/>
  <c r="J1588" i="1"/>
  <c r="H1588" i="1"/>
  <c r="G1588" i="1"/>
  <c r="F1588" i="1"/>
  <c r="D1588" i="1"/>
  <c r="B1588" i="1"/>
  <c r="S1587" i="1"/>
  <c r="Q1587" i="1"/>
  <c r="L1587" i="1"/>
  <c r="K1587" i="1"/>
  <c r="J1587" i="1"/>
  <c r="H1587" i="1"/>
  <c r="G1587" i="1"/>
  <c r="F1587" i="1"/>
  <c r="D1587" i="1"/>
  <c r="B1587" i="1"/>
  <c r="S1586" i="1"/>
  <c r="L1586" i="1"/>
  <c r="K1586" i="1"/>
  <c r="J1586" i="1"/>
  <c r="H1586" i="1"/>
  <c r="G1586" i="1"/>
  <c r="F1586" i="1"/>
  <c r="D1586" i="1"/>
  <c r="B1586" i="1"/>
  <c r="S1585" i="1"/>
  <c r="L1585" i="1"/>
  <c r="K1585" i="1"/>
  <c r="J1585" i="1"/>
  <c r="H1585" i="1"/>
  <c r="G1585" i="1"/>
  <c r="F1585" i="1"/>
  <c r="D1585" i="1"/>
  <c r="B1585" i="1"/>
  <c r="S1584" i="1"/>
  <c r="L1584" i="1"/>
  <c r="K1584" i="1"/>
  <c r="J1584" i="1"/>
  <c r="H1584" i="1"/>
  <c r="G1584" i="1"/>
  <c r="F1584" i="1"/>
  <c r="D1584" i="1"/>
  <c r="B1584" i="1"/>
  <c r="S1583" i="1"/>
  <c r="Q1583" i="1"/>
  <c r="L1583" i="1"/>
  <c r="K1583" i="1"/>
  <c r="J1583" i="1"/>
  <c r="H1583" i="1"/>
  <c r="G1583" i="1"/>
  <c r="F1583" i="1"/>
  <c r="D1583" i="1"/>
  <c r="B1583" i="1"/>
  <c r="S1582" i="1"/>
  <c r="L1582" i="1"/>
  <c r="K1582" i="1"/>
  <c r="J1582" i="1"/>
  <c r="H1582" i="1"/>
  <c r="G1582" i="1"/>
  <c r="F1582" i="1"/>
  <c r="D1582" i="1"/>
  <c r="B1582" i="1"/>
  <c r="S1581" i="1"/>
  <c r="Q1581" i="1"/>
  <c r="L1581" i="1"/>
  <c r="K1581" i="1"/>
  <c r="J1581" i="1"/>
  <c r="H1581" i="1"/>
  <c r="G1581" i="1"/>
  <c r="F1581" i="1"/>
  <c r="D1581" i="1"/>
  <c r="B1581" i="1"/>
  <c r="S1580" i="1"/>
  <c r="L1580" i="1"/>
  <c r="K1580" i="1"/>
  <c r="J1580" i="1"/>
  <c r="H1580" i="1"/>
  <c r="G1580" i="1"/>
  <c r="F1580" i="1"/>
  <c r="D1580" i="1"/>
  <c r="B1580" i="1"/>
  <c r="S1579" i="1"/>
  <c r="L1579" i="1"/>
  <c r="K1579" i="1"/>
  <c r="J1579" i="1"/>
  <c r="H1579" i="1"/>
  <c r="G1579" i="1"/>
  <c r="F1579" i="1"/>
  <c r="D1579" i="1"/>
  <c r="B1579" i="1"/>
  <c r="S1578" i="1"/>
  <c r="L1578" i="1"/>
  <c r="K1578" i="1"/>
  <c r="J1578" i="1"/>
  <c r="H1578" i="1"/>
  <c r="G1578" i="1"/>
  <c r="F1578" i="1"/>
  <c r="D1578" i="1"/>
  <c r="B1578" i="1"/>
  <c r="S1577" i="1"/>
  <c r="Q1577" i="1"/>
  <c r="L1577" i="1"/>
  <c r="K1577" i="1"/>
  <c r="J1577" i="1"/>
  <c r="H1577" i="1"/>
  <c r="G1577" i="1"/>
  <c r="F1577" i="1"/>
  <c r="D1577" i="1"/>
  <c r="B1577" i="1"/>
  <c r="S1576" i="1"/>
  <c r="L1576" i="1"/>
  <c r="K1576" i="1"/>
  <c r="J1576" i="1"/>
  <c r="H1576" i="1"/>
  <c r="G1576" i="1"/>
  <c r="F1576" i="1"/>
  <c r="D1576" i="1"/>
  <c r="B1576" i="1"/>
  <c r="S1575" i="1"/>
  <c r="Q1575" i="1"/>
  <c r="L1575" i="1"/>
  <c r="K1575" i="1"/>
  <c r="J1575" i="1"/>
  <c r="H1575" i="1"/>
  <c r="G1575" i="1"/>
  <c r="F1575" i="1"/>
  <c r="D1575" i="1"/>
  <c r="B1575" i="1"/>
  <c r="S1574" i="1"/>
  <c r="L1574" i="1"/>
  <c r="K1574" i="1"/>
  <c r="J1574" i="1"/>
  <c r="H1574" i="1"/>
  <c r="G1574" i="1"/>
  <c r="F1574" i="1"/>
  <c r="D1574" i="1"/>
  <c r="B1574" i="1"/>
  <c r="S1573" i="1"/>
  <c r="L1573" i="1"/>
  <c r="K1573" i="1"/>
  <c r="J1573" i="1"/>
  <c r="H1573" i="1"/>
  <c r="G1573" i="1"/>
  <c r="F1573" i="1"/>
  <c r="D1573" i="1"/>
  <c r="B1573" i="1"/>
  <c r="S1572" i="1"/>
  <c r="L1572" i="1"/>
  <c r="K1572" i="1"/>
  <c r="J1572" i="1"/>
  <c r="H1572" i="1"/>
  <c r="G1572" i="1"/>
  <c r="F1572" i="1"/>
  <c r="D1572" i="1"/>
  <c r="B1572" i="1"/>
  <c r="S1571" i="1"/>
  <c r="Q1571" i="1"/>
  <c r="L1571" i="1"/>
  <c r="K1571" i="1"/>
  <c r="J1571" i="1"/>
  <c r="H1571" i="1"/>
  <c r="G1571" i="1"/>
  <c r="F1571" i="1"/>
  <c r="D1571" i="1"/>
  <c r="B1571" i="1"/>
  <c r="S1570" i="1"/>
  <c r="Q1570" i="1"/>
  <c r="L1570" i="1"/>
  <c r="K1570" i="1"/>
  <c r="J1570" i="1"/>
  <c r="H1570" i="1"/>
  <c r="G1570" i="1"/>
  <c r="F1570" i="1"/>
  <c r="D1570" i="1"/>
  <c r="B1570" i="1"/>
  <c r="S1569" i="1"/>
  <c r="L1569" i="1"/>
  <c r="K1569" i="1"/>
  <c r="J1569" i="1"/>
  <c r="H1569" i="1"/>
  <c r="G1569" i="1"/>
  <c r="F1569" i="1"/>
  <c r="D1569" i="1"/>
  <c r="B1569" i="1"/>
  <c r="S1568" i="1"/>
  <c r="Q1568" i="1"/>
  <c r="L1568" i="1"/>
  <c r="K1568" i="1"/>
  <c r="J1568" i="1"/>
  <c r="H1568" i="1"/>
  <c r="G1568" i="1"/>
  <c r="F1568" i="1"/>
  <c r="D1568" i="1"/>
  <c r="B1568" i="1"/>
  <c r="S1567" i="1"/>
  <c r="Q1567" i="1"/>
  <c r="L1567" i="1"/>
  <c r="K1567" i="1"/>
  <c r="J1567" i="1"/>
  <c r="H1567" i="1"/>
  <c r="G1567" i="1"/>
  <c r="F1567" i="1"/>
  <c r="D1567" i="1"/>
  <c r="B1567" i="1"/>
  <c r="S1566" i="1"/>
  <c r="L1566" i="1"/>
  <c r="K1566" i="1"/>
  <c r="J1566" i="1"/>
  <c r="H1566" i="1"/>
  <c r="G1566" i="1"/>
  <c r="F1566" i="1"/>
  <c r="D1566" i="1"/>
  <c r="B1566" i="1"/>
  <c r="S1565" i="1"/>
  <c r="Q1565" i="1"/>
  <c r="L1565" i="1"/>
  <c r="K1565" i="1"/>
  <c r="J1565" i="1"/>
  <c r="H1565" i="1"/>
  <c r="G1565" i="1"/>
  <c r="F1565" i="1"/>
  <c r="D1565" i="1"/>
  <c r="B1565" i="1"/>
  <c r="S1564" i="1"/>
  <c r="Q1564" i="1"/>
  <c r="L1564" i="1"/>
  <c r="K1564" i="1"/>
  <c r="J1564" i="1"/>
  <c r="H1564" i="1"/>
  <c r="G1564" i="1"/>
  <c r="F1564" i="1"/>
  <c r="D1564" i="1"/>
  <c r="B1564" i="1"/>
  <c r="S1563" i="1"/>
  <c r="L1563" i="1"/>
  <c r="K1563" i="1"/>
  <c r="J1563" i="1"/>
  <c r="H1563" i="1"/>
  <c r="G1563" i="1"/>
  <c r="F1563" i="1"/>
  <c r="D1563" i="1"/>
  <c r="B1563" i="1"/>
  <c r="S1562" i="1"/>
  <c r="L1562" i="1"/>
  <c r="K1562" i="1"/>
  <c r="J1562" i="1"/>
  <c r="H1562" i="1"/>
  <c r="G1562" i="1"/>
  <c r="F1562" i="1"/>
  <c r="D1562" i="1"/>
  <c r="B1562" i="1"/>
  <c r="S1561" i="1"/>
  <c r="L1561" i="1"/>
  <c r="K1561" i="1"/>
  <c r="J1561" i="1"/>
  <c r="H1561" i="1"/>
  <c r="G1561" i="1"/>
  <c r="F1561" i="1"/>
  <c r="D1561" i="1"/>
  <c r="B1561" i="1"/>
  <c r="S1560" i="1"/>
  <c r="Q1560" i="1"/>
  <c r="L1560" i="1"/>
  <c r="K1560" i="1"/>
  <c r="J1560" i="1"/>
  <c r="H1560" i="1"/>
  <c r="G1560" i="1"/>
  <c r="F1560" i="1"/>
  <c r="D1560" i="1"/>
  <c r="B1560" i="1"/>
  <c r="S1559" i="1"/>
  <c r="Q1559" i="1"/>
  <c r="L1559" i="1"/>
  <c r="K1559" i="1"/>
  <c r="J1559" i="1"/>
  <c r="H1559" i="1"/>
  <c r="G1559" i="1"/>
  <c r="F1559" i="1"/>
  <c r="D1559" i="1"/>
  <c r="B1559" i="1"/>
  <c r="S1558" i="1"/>
  <c r="L1558" i="1"/>
  <c r="K1558" i="1"/>
  <c r="J1558" i="1"/>
  <c r="H1558" i="1"/>
  <c r="G1558" i="1"/>
  <c r="F1558" i="1"/>
  <c r="D1558" i="1"/>
  <c r="B1558" i="1"/>
  <c r="S1557" i="1"/>
  <c r="Q1557" i="1"/>
  <c r="L1557" i="1"/>
  <c r="K1557" i="1"/>
  <c r="J1557" i="1"/>
  <c r="H1557" i="1"/>
  <c r="G1557" i="1"/>
  <c r="F1557" i="1"/>
  <c r="D1557" i="1"/>
  <c r="B1557" i="1"/>
  <c r="S1556" i="1"/>
  <c r="Q1556" i="1"/>
  <c r="L1556" i="1"/>
  <c r="K1556" i="1"/>
  <c r="J1556" i="1"/>
  <c r="H1556" i="1"/>
  <c r="G1556" i="1"/>
  <c r="F1556" i="1"/>
  <c r="D1556" i="1"/>
  <c r="B1556" i="1"/>
  <c r="S1555" i="1"/>
  <c r="L1555" i="1"/>
  <c r="K1555" i="1"/>
  <c r="J1555" i="1"/>
  <c r="H1555" i="1"/>
  <c r="G1555" i="1"/>
  <c r="F1555" i="1"/>
  <c r="D1555" i="1"/>
  <c r="B1555" i="1"/>
  <c r="S1554" i="1"/>
  <c r="Q1554" i="1"/>
  <c r="L1554" i="1"/>
  <c r="K1554" i="1"/>
  <c r="J1554" i="1"/>
  <c r="H1554" i="1"/>
  <c r="G1554" i="1"/>
  <c r="F1554" i="1"/>
  <c r="D1554" i="1"/>
  <c r="B1554" i="1"/>
  <c r="S1553" i="1"/>
  <c r="L1553" i="1"/>
  <c r="K1553" i="1"/>
  <c r="J1553" i="1"/>
  <c r="H1553" i="1"/>
  <c r="G1553" i="1"/>
  <c r="F1553" i="1"/>
  <c r="D1553" i="1"/>
  <c r="B1553" i="1"/>
  <c r="S1552" i="1"/>
  <c r="L1552" i="1"/>
  <c r="K1552" i="1"/>
  <c r="J1552" i="1"/>
  <c r="H1552" i="1"/>
  <c r="G1552" i="1"/>
  <c r="F1552" i="1"/>
  <c r="D1552" i="1"/>
  <c r="B1552" i="1"/>
  <c r="S1551" i="1"/>
  <c r="L1551" i="1"/>
  <c r="K1551" i="1"/>
  <c r="J1551" i="1"/>
  <c r="H1551" i="1"/>
  <c r="G1551" i="1"/>
  <c r="F1551" i="1"/>
  <c r="D1551" i="1"/>
  <c r="B1551" i="1"/>
  <c r="S1550" i="1"/>
  <c r="Q1550" i="1"/>
  <c r="L1550" i="1"/>
  <c r="K1550" i="1"/>
  <c r="J1550" i="1"/>
  <c r="I1550" i="1"/>
  <c r="H1550" i="1"/>
  <c r="G1550" i="1"/>
  <c r="F1550" i="1"/>
  <c r="D1550" i="1"/>
  <c r="B1550" i="1"/>
  <c r="S1549" i="1"/>
  <c r="L1549" i="1"/>
  <c r="K1549" i="1"/>
  <c r="J1549" i="1"/>
  <c r="H1549" i="1"/>
  <c r="G1549" i="1"/>
  <c r="F1549" i="1"/>
  <c r="D1549" i="1"/>
  <c r="B1549" i="1"/>
  <c r="S1548" i="1"/>
  <c r="Q1548" i="1"/>
  <c r="L1548" i="1"/>
  <c r="K1548" i="1"/>
  <c r="J1548" i="1"/>
  <c r="H1548" i="1"/>
  <c r="G1548" i="1"/>
  <c r="F1548" i="1"/>
  <c r="D1548" i="1"/>
  <c r="B1548" i="1"/>
  <c r="S1547" i="1"/>
  <c r="L1547" i="1"/>
  <c r="K1547" i="1"/>
  <c r="J1547" i="1"/>
  <c r="H1547" i="1"/>
  <c r="G1547" i="1"/>
  <c r="F1547" i="1"/>
  <c r="D1547" i="1"/>
  <c r="B1547" i="1"/>
  <c r="S1546" i="1"/>
  <c r="Q1546" i="1"/>
  <c r="L1546" i="1"/>
  <c r="K1546" i="1"/>
  <c r="J1546" i="1"/>
  <c r="H1546" i="1"/>
  <c r="G1546" i="1"/>
  <c r="F1546" i="1"/>
  <c r="D1546" i="1"/>
  <c r="B1546" i="1"/>
  <c r="S1545" i="1"/>
  <c r="L1545" i="1"/>
  <c r="K1545" i="1"/>
  <c r="J1545" i="1"/>
  <c r="H1545" i="1"/>
  <c r="G1545" i="1"/>
  <c r="F1545" i="1"/>
  <c r="D1545" i="1"/>
  <c r="B1545" i="1"/>
  <c r="S1544" i="1"/>
  <c r="L1544" i="1"/>
  <c r="K1544" i="1"/>
  <c r="J1544" i="1"/>
  <c r="H1544" i="1"/>
  <c r="G1544" i="1"/>
  <c r="F1544" i="1"/>
  <c r="D1544" i="1"/>
  <c r="B1544" i="1"/>
  <c r="S1543" i="1"/>
  <c r="Q1543" i="1"/>
  <c r="L1543" i="1"/>
  <c r="K1543" i="1"/>
  <c r="J1543" i="1"/>
  <c r="H1543" i="1"/>
  <c r="G1543" i="1"/>
  <c r="F1543" i="1"/>
  <c r="D1543" i="1"/>
  <c r="B1543" i="1"/>
  <c r="S1542" i="1"/>
  <c r="Q1542" i="1"/>
  <c r="L1542" i="1"/>
  <c r="K1542" i="1"/>
  <c r="J1542" i="1"/>
  <c r="H1542" i="1"/>
  <c r="G1542" i="1"/>
  <c r="F1542" i="1"/>
  <c r="D1542" i="1"/>
  <c r="B1542" i="1"/>
  <c r="S1541" i="1"/>
  <c r="Q1541" i="1"/>
  <c r="L1541" i="1"/>
  <c r="K1541" i="1"/>
  <c r="J1541" i="1"/>
  <c r="H1541" i="1"/>
  <c r="G1541" i="1"/>
  <c r="F1541" i="1"/>
  <c r="D1541" i="1"/>
  <c r="B1541" i="1"/>
  <c r="S1540" i="1"/>
  <c r="Q1540" i="1"/>
  <c r="L1540" i="1"/>
  <c r="K1540" i="1"/>
  <c r="J1540" i="1"/>
  <c r="H1540" i="1"/>
  <c r="G1540" i="1"/>
  <c r="F1540" i="1"/>
  <c r="D1540" i="1"/>
  <c r="B1540" i="1"/>
  <c r="S1539" i="1"/>
  <c r="L1539" i="1"/>
  <c r="K1539" i="1"/>
  <c r="J1539" i="1"/>
  <c r="H1539" i="1"/>
  <c r="G1539" i="1"/>
  <c r="F1539" i="1"/>
  <c r="D1539" i="1"/>
  <c r="B1539" i="1"/>
  <c r="S1538" i="1"/>
  <c r="L1538" i="1"/>
  <c r="K1538" i="1"/>
  <c r="J1538" i="1"/>
  <c r="H1538" i="1"/>
  <c r="G1538" i="1"/>
  <c r="F1538" i="1"/>
  <c r="D1538" i="1"/>
  <c r="B1538" i="1"/>
  <c r="S1537" i="1"/>
  <c r="L1537" i="1"/>
  <c r="K1537" i="1"/>
  <c r="J1537" i="1"/>
  <c r="H1537" i="1"/>
  <c r="G1537" i="1"/>
  <c r="F1537" i="1"/>
  <c r="D1537" i="1"/>
  <c r="B1537" i="1"/>
  <c r="S1536" i="1"/>
  <c r="L1536" i="1"/>
  <c r="K1536" i="1"/>
  <c r="J1536" i="1"/>
  <c r="H1536" i="1"/>
  <c r="G1536" i="1"/>
  <c r="F1536" i="1"/>
  <c r="D1536" i="1"/>
  <c r="B1536" i="1"/>
  <c r="S1535" i="1"/>
  <c r="L1535" i="1"/>
  <c r="K1535" i="1"/>
  <c r="J1535" i="1"/>
  <c r="H1535" i="1"/>
  <c r="G1535" i="1"/>
  <c r="F1535" i="1"/>
  <c r="D1535" i="1"/>
  <c r="B1535" i="1"/>
  <c r="S1534" i="1"/>
  <c r="L1534" i="1"/>
  <c r="K1534" i="1"/>
  <c r="J1534" i="1"/>
  <c r="H1534" i="1"/>
  <c r="G1534" i="1"/>
  <c r="F1534" i="1"/>
  <c r="D1534" i="1"/>
  <c r="B1534" i="1"/>
  <c r="S1533" i="1"/>
  <c r="Q1533" i="1"/>
  <c r="L1533" i="1"/>
  <c r="K1533" i="1"/>
  <c r="J1533" i="1"/>
  <c r="H1533" i="1"/>
  <c r="G1533" i="1"/>
  <c r="F1533" i="1"/>
  <c r="D1533" i="1"/>
  <c r="B1533" i="1"/>
  <c r="S1532" i="1"/>
  <c r="L1532" i="1"/>
  <c r="K1532" i="1"/>
  <c r="J1532" i="1"/>
  <c r="H1532" i="1"/>
  <c r="G1532" i="1"/>
  <c r="F1532" i="1"/>
  <c r="D1532" i="1"/>
  <c r="B1532" i="1"/>
  <c r="S1531" i="1"/>
  <c r="L1531" i="1"/>
  <c r="K1531" i="1"/>
  <c r="J1531" i="1"/>
  <c r="H1531" i="1"/>
  <c r="G1531" i="1"/>
  <c r="F1531" i="1"/>
  <c r="D1531" i="1"/>
  <c r="B1531" i="1"/>
  <c r="S1530" i="1"/>
  <c r="Q1530" i="1"/>
  <c r="L1530" i="1"/>
  <c r="K1530" i="1"/>
  <c r="J1530" i="1"/>
  <c r="I1530" i="1"/>
  <c r="H1530" i="1"/>
  <c r="G1530" i="1"/>
  <c r="F1530" i="1"/>
  <c r="D1530" i="1"/>
  <c r="B1530" i="1"/>
  <c r="S1529" i="1"/>
  <c r="Q1529" i="1"/>
  <c r="L1529" i="1"/>
  <c r="K1529" i="1"/>
  <c r="J1529" i="1"/>
  <c r="I1529" i="1"/>
  <c r="H1529" i="1"/>
  <c r="G1529" i="1"/>
  <c r="F1529" i="1"/>
  <c r="D1529" i="1"/>
  <c r="B1529" i="1"/>
  <c r="S1528" i="1"/>
  <c r="Q1528" i="1"/>
  <c r="L1528" i="1"/>
  <c r="K1528" i="1"/>
  <c r="J1528" i="1"/>
  <c r="I1528" i="1"/>
  <c r="H1528" i="1"/>
  <c r="G1528" i="1"/>
  <c r="F1528" i="1"/>
  <c r="D1528" i="1"/>
  <c r="B1528" i="1"/>
  <c r="S1527" i="1"/>
  <c r="Q1527" i="1"/>
  <c r="L1527" i="1"/>
  <c r="K1527" i="1"/>
  <c r="J1527" i="1"/>
  <c r="I1527" i="1"/>
  <c r="H1527" i="1"/>
  <c r="G1527" i="1"/>
  <c r="F1527" i="1"/>
  <c r="D1527" i="1"/>
  <c r="B1527" i="1"/>
  <c r="S1526" i="1"/>
  <c r="Q1526" i="1"/>
  <c r="L1526" i="1"/>
  <c r="K1526" i="1"/>
  <c r="J1526" i="1"/>
  <c r="H1526" i="1"/>
  <c r="G1526" i="1"/>
  <c r="F1526" i="1"/>
  <c r="D1526" i="1"/>
  <c r="B1526" i="1"/>
  <c r="S1525" i="1"/>
  <c r="L1525" i="1"/>
  <c r="K1525" i="1"/>
  <c r="J1525" i="1"/>
  <c r="H1525" i="1"/>
  <c r="G1525" i="1"/>
  <c r="F1525" i="1"/>
  <c r="D1525" i="1"/>
  <c r="B1525" i="1"/>
  <c r="S1524" i="1"/>
  <c r="Q1524" i="1"/>
  <c r="L1524" i="1"/>
  <c r="K1524" i="1"/>
  <c r="J1524" i="1"/>
  <c r="H1524" i="1"/>
  <c r="G1524" i="1"/>
  <c r="F1524" i="1"/>
  <c r="D1524" i="1"/>
  <c r="B1524" i="1"/>
  <c r="S1523" i="1"/>
  <c r="Q1523" i="1"/>
  <c r="L1523" i="1"/>
  <c r="K1523" i="1"/>
  <c r="J1523" i="1"/>
  <c r="I1523" i="1"/>
  <c r="H1523" i="1"/>
  <c r="G1523" i="1"/>
  <c r="F1523" i="1"/>
  <c r="D1523" i="1"/>
  <c r="B1523" i="1"/>
  <c r="S1522" i="1"/>
  <c r="Q1522" i="1"/>
  <c r="L1522" i="1"/>
  <c r="K1522" i="1"/>
  <c r="J1522" i="1"/>
  <c r="I1522" i="1"/>
  <c r="H1522" i="1"/>
  <c r="G1522" i="1"/>
  <c r="F1522" i="1"/>
  <c r="D1522" i="1"/>
  <c r="B1522" i="1"/>
  <c r="S1521" i="1"/>
  <c r="L1521" i="1"/>
  <c r="K1521" i="1"/>
  <c r="J1521" i="1"/>
  <c r="H1521" i="1"/>
  <c r="G1521" i="1"/>
  <c r="F1521" i="1"/>
  <c r="D1521" i="1"/>
  <c r="B1521" i="1"/>
  <c r="S1520" i="1"/>
  <c r="L1520" i="1"/>
  <c r="K1520" i="1"/>
  <c r="J1520" i="1"/>
  <c r="H1520" i="1"/>
  <c r="G1520" i="1"/>
  <c r="F1520" i="1"/>
  <c r="D1520" i="1"/>
  <c r="B1520" i="1"/>
  <c r="S1519" i="1"/>
  <c r="L1519" i="1"/>
  <c r="K1519" i="1"/>
  <c r="J1519" i="1"/>
  <c r="H1519" i="1"/>
  <c r="G1519" i="1"/>
  <c r="F1519" i="1"/>
  <c r="D1519" i="1"/>
  <c r="B1519" i="1"/>
  <c r="S1518" i="1"/>
  <c r="L1518" i="1"/>
  <c r="K1518" i="1"/>
  <c r="J1518" i="1"/>
  <c r="H1518" i="1"/>
  <c r="G1518" i="1"/>
  <c r="F1518" i="1"/>
  <c r="D1518" i="1"/>
  <c r="B1518" i="1"/>
  <c r="S1517" i="1"/>
  <c r="L1517" i="1"/>
  <c r="K1517" i="1"/>
  <c r="J1517" i="1"/>
  <c r="H1517" i="1"/>
  <c r="G1517" i="1"/>
  <c r="F1517" i="1"/>
  <c r="D1517" i="1"/>
  <c r="B1517" i="1"/>
  <c r="S1516" i="1"/>
  <c r="L1516" i="1"/>
  <c r="K1516" i="1"/>
  <c r="J1516" i="1"/>
  <c r="H1516" i="1"/>
  <c r="G1516" i="1"/>
  <c r="F1516" i="1"/>
  <c r="D1516" i="1"/>
  <c r="B1516" i="1"/>
  <c r="S1515" i="1"/>
  <c r="L1515" i="1"/>
  <c r="K1515" i="1"/>
  <c r="J1515" i="1"/>
  <c r="H1515" i="1"/>
  <c r="G1515" i="1"/>
  <c r="F1515" i="1"/>
  <c r="D1515" i="1"/>
  <c r="B1515" i="1"/>
  <c r="S1514" i="1"/>
  <c r="L1514" i="1"/>
  <c r="K1514" i="1"/>
  <c r="J1514" i="1"/>
  <c r="H1514" i="1"/>
  <c r="G1514" i="1"/>
  <c r="F1514" i="1"/>
  <c r="D1514" i="1"/>
  <c r="B1514" i="1"/>
  <c r="S1513" i="1"/>
  <c r="L1513" i="1"/>
  <c r="K1513" i="1"/>
  <c r="J1513" i="1"/>
  <c r="H1513" i="1"/>
  <c r="G1513" i="1"/>
  <c r="F1513" i="1"/>
  <c r="D1513" i="1"/>
  <c r="B1513" i="1"/>
  <c r="S1512" i="1"/>
  <c r="L1512" i="1"/>
  <c r="K1512" i="1"/>
  <c r="J1512" i="1"/>
  <c r="H1512" i="1"/>
  <c r="G1512" i="1"/>
  <c r="F1512" i="1"/>
  <c r="D1512" i="1"/>
  <c r="B1512" i="1"/>
  <c r="S1511" i="1"/>
  <c r="L1511" i="1"/>
  <c r="K1511" i="1"/>
  <c r="J1511" i="1"/>
  <c r="H1511" i="1"/>
  <c r="G1511" i="1"/>
  <c r="F1511" i="1"/>
  <c r="D1511" i="1"/>
  <c r="B1511" i="1"/>
  <c r="S1510" i="1"/>
  <c r="L1510" i="1"/>
  <c r="K1510" i="1"/>
  <c r="J1510" i="1"/>
  <c r="H1510" i="1"/>
  <c r="G1510" i="1"/>
  <c r="F1510" i="1"/>
  <c r="D1510" i="1"/>
  <c r="B1510" i="1"/>
  <c r="S1509" i="1"/>
  <c r="L1509" i="1"/>
  <c r="K1509" i="1"/>
  <c r="J1509" i="1"/>
  <c r="H1509" i="1"/>
  <c r="G1509" i="1"/>
  <c r="F1509" i="1"/>
  <c r="D1509" i="1"/>
  <c r="B1509" i="1"/>
  <c r="S1508" i="1"/>
  <c r="L1508" i="1"/>
  <c r="K1508" i="1"/>
  <c r="J1508" i="1"/>
  <c r="H1508" i="1"/>
  <c r="G1508" i="1"/>
  <c r="F1508" i="1"/>
  <c r="D1508" i="1"/>
  <c r="B1508" i="1"/>
  <c r="S1507" i="1"/>
  <c r="L1507" i="1"/>
  <c r="K1507" i="1"/>
  <c r="J1507" i="1"/>
  <c r="H1507" i="1"/>
  <c r="G1507" i="1"/>
  <c r="F1507" i="1"/>
  <c r="D1507" i="1"/>
  <c r="B1507" i="1"/>
  <c r="S1506" i="1"/>
  <c r="Q1506" i="1"/>
  <c r="L1506" i="1"/>
  <c r="K1506" i="1"/>
  <c r="J1506" i="1"/>
  <c r="H1506" i="1"/>
  <c r="G1506" i="1"/>
  <c r="F1506" i="1"/>
  <c r="D1506" i="1"/>
  <c r="B1506" i="1"/>
  <c r="S1505" i="1"/>
  <c r="Q1505" i="1"/>
  <c r="L1505" i="1"/>
  <c r="K1505" i="1"/>
  <c r="J1505" i="1"/>
  <c r="H1505" i="1"/>
  <c r="G1505" i="1"/>
  <c r="F1505" i="1"/>
  <c r="D1505" i="1"/>
  <c r="B1505" i="1"/>
  <c r="S1504" i="1"/>
  <c r="Q1504" i="1"/>
  <c r="L1504" i="1"/>
  <c r="K1504" i="1"/>
  <c r="J1504" i="1"/>
  <c r="H1504" i="1"/>
  <c r="G1504" i="1"/>
  <c r="F1504" i="1"/>
  <c r="D1504" i="1"/>
  <c r="B1504" i="1"/>
  <c r="S1503" i="1"/>
  <c r="Q1503" i="1"/>
  <c r="L1503" i="1"/>
  <c r="K1503" i="1"/>
  <c r="J1503" i="1"/>
  <c r="H1503" i="1"/>
  <c r="G1503" i="1"/>
  <c r="F1503" i="1"/>
  <c r="D1503" i="1"/>
  <c r="B1503" i="1"/>
  <c r="S1502" i="1"/>
  <c r="L1502" i="1"/>
  <c r="K1502" i="1"/>
  <c r="J1502" i="1"/>
  <c r="H1502" i="1"/>
  <c r="G1502" i="1"/>
  <c r="F1502" i="1"/>
  <c r="D1502" i="1"/>
  <c r="B1502" i="1"/>
  <c r="S1501" i="1"/>
  <c r="Q1501" i="1"/>
  <c r="L1501" i="1"/>
  <c r="K1501" i="1"/>
  <c r="J1501" i="1"/>
  <c r="H1501" i="1"/>
  <c r="G1501" i="1"/>
  <c r="F1501" i="1"/>
  <c r="D1501" i="1"/>
  <c r="B1501" i="1"/>
  <c r="S1500" i="1"/>
  <c r="L1500" i="1"/>
  <c r="K1500" i="1"/>
  <c r="J1500" i="1"/>
  <c r="H1500" i="1"/>
  <c r="G1500" i="1"/>
  <c r="F1500" i="1"/>
  <c r="D1500" i="1"/>
  <c r="B1500" i="1"/>
  <c r="S1499" i="1"/>
  <c r="Q1499" i="1"/>
  <c r="L1499" i="1"/>
  <c r="K1499" i="1"/>
  <c r="J1499" i="1"/>
  <c r="H1499" i="1"/>
  <c r="G1499" i="1"/>
  <c r="F1499" i="1"/>
  <c r="D1499" i="1"/>
  <c r="B1499" i="1"/>
  <c r="S1498" i="1"/>
  <c r="Q1498" i="1"/>
  <c r="L1498" i="1"/>
  <c r="K1498" i="1"/>
  <c r="J1498" i="1"/>
  <c r="H1498" i="1"/>
  <c r="G1498" i="1"/>
  <c r="F1498" i="1"/>
  <c r="D1498" i="1"/>
  <c r="B1498" i="1"/>
  <c r="S1497" i="1"/>
  <c r="Q1497" i="1"/>
  <c r="L1497" i="1"/>
  <c r="K1497" i="1"/>
  <c r="J1497" i="1"/>
  <c r="H1497" i="1"/>
  <c r="G1497" i="1"/>
  <c r="F1497" i="1"/>
  <c r="D1497" i="1"/>
  <c r="B1497" i="1"/>
  <c r="S1496" i="1"/>
  <c r="L1496" i="1"/>
  <c r="K1496" i="1"/>
  <c r="J1496" i="1"/>
  <c r="H1496" i="1"/>
  <c r="G1496" i="1"/>
  <c r="F1496" i="1"/>
  <c r="D1496" i="1"/>
  <c r="B1496" i="1"/>
  <c r="S1495" i="1"/>
  <c r="Q1495" i="1"/>
  <c r="L1495" i="1"/>
  <c r="K1495" i="1"/>
  <c r="J1495" i="1"/>
  <c r="H1495" i="1"/>
  <c r="G1495" i="1"/>
  <c r="F1495" i="1"/>
  <c r="D1495" i="1"/>
  <c r="B1495" i="1"/>
  <c r="S1494" i="1"/>
  <c r="Q1494" i="1"/>
  <c r="L1494" i="1"/>
  <c r="K1494" i="1"/>
  <c r="J1494" i="1"/>
  <c r="H1494" i="1"/>
  <c r="G1494" i="1"/>
  <c r="F1494" i="1"/>
  <c r="D1494" i="1"/>
  <c r="B1494" i="1"/>
  <c r="S1493" i="1"/>
  <c r="Q1493" i="1"/>
  <c r="L1493" i="1"/>
  <c r="K1493" i="1"/>
  <c r="J1493" i="1"/>
  <c r="H1493" i="1"/>
  <c r="G1493" i="1"/>
  <c r="F1493" i="1"/>
  <c r="D1493" i="1"/>
  <c r="B1493" i="1"/>
  <c r="S1492" i="1"/>
  <c r="Q1492" i="1"/>
  <c r="L1492" i="1"/>
  <c r="K1492" i="1"/>
  <c r="J1492" i="1"/>
  <c r="H1492" i="1"/>
  <c r="G1492" i="1"/>
  <c r="F1492" i="1"/>
  <c r="D1492" i="1"/>
  <c r="B1492" i="1"/>
  <c r="S1491" i="1"/>
  <c r="Q1491" i="1"/>
  <c r="L1491" i="1"/>
  <c r="K1491" i="1"/>
  <c r="J1491" i="1"/>
  <c r="H1491" i="1"/>
  <c r="G1491" i="1"/>
  <c r="F1491" i="1"/>
  <c r="D1491" i="1"/>
  <c r="B1491" i="1"/>
  <c r="S1490" i="1"/>
  <c r="Q1490" i="1"/>
  <c r="L1490" i="1"/>
  <c r="K1490" i="1"/>
  <c r="J1490" i="1"/>
  <c r="H1490" i="1"/>
  <c r="G1490" i="1"/>
  <c r="F1490" i="1"/>
  <c r="D1490" i="1"/>
  <c r="B1490" i="1"/>
  <c r="S1489" i="1"/>
  <c r="Q1489" i="1"/>
  <c r="L1489" i="1"/>
  <c r="K1489" i="1"/>
  <c r="J1489" i="1"/>
  <c r="H1489" i="1"/>
  <c r="G1489" i="1"/>
  <c r="F1489" i="1"/>
  <c r="D1489" i="1"/>
  <c r="B1489" i="1"/>
  <c r="S1488" i="1"/>
  <c r="Q1488" i="1"/>
  <c r="L1488" i="1"/>
  <c r="K1488" i="1"/>
  <c r="J1488" i="1"/>
  <c r="H1488" i="1"/>
  <c r="G1488" i="1"/>
  <c r="F1488" i="1"/>
  <c r="D1488" i="1"/>
  <c r="B1488" i="1"/>
  <c r="S1487" i="1"/>
  <c r="L1487" i="1"/>
  <c r="K1487" i="1"/>
  <c r="J1487" i="1"/>
  <c r="H1487" i="1"/>
  <c r="G1487" i="1"/>
  <c r="F1487" i="1"/>
  <c r="D1487" i="1"/>
  <c r="B1487" i="1"/>
  <c r="S1486" i="1"/>
  <c r="L1486" i="1"/>
  <c r="K1486" i="1"/>
  <c r="J1486" i="1"/>
  <c r="H1486" i="1"/>
  <c r="G1486" i="1"/>
  <c r="F1486" i="1"/>
  <c r="D1486" i="1"/>
  <c r="B1486" i="1"/>
  <c r="S1485" i="1"/>
  <c r="Q1485" i="1"/>
  <c r="L1485" i="1"/>
  <c r="K1485" i="1"/>
  <c r="J1485" i="1"/>
  <c r="I1485" i="1"/>
  <c r="H1485" i="1"/>
  <c r="G1485" i="1"/>
  <c r="F1485" i="1"/>
  <c r="D1485" i="1"/>
  <c r="B1485" i="1"/>
  <c r="S1484" i="1"/>
  <c r="L1484" i="1"/>
  <c r="K1484" i="1"/>
  <c r="J1484" i="1"/>
  <c r="H1484" i="1"/>
  <c r="G1484" i="1"/>
  <c r="F1484" i="1"/>
  <c r="D1484" i="1"/>
  <c r="B1484" i="1"/>
  <c r="S1483" i="1"/>
  <c r="L1483" i="1"/>
  <c r="K1483" i="1"/>
  <c r="J1483" i="1"/>
  <c r="H1483" i="1"/>
  <c r="G1483" i="1"/>
  <c r="F1483" i="1"/>
  <c r="D1483" i="1"/>
  <c r="B1483" i="1"/>
  <c r="S1482" i="1"/>
  <c r="L1482" i="1"/>
  <c r="K1482" i="1"/>
  <c r="J1482" i="1"/>
  <c r="H1482" i="1"/>
  <c r="G1482" i="1"/>
  <c r="F1482" i="1"/>
  <c r="D1482" i="1"/>
  <c r="B1482" i="1"/>
  <c r="S1481" i="1"/>
  <c r="Q1481" i="1"/>
  <c r="L1481" i="1"/>
  <c r="K1481" i="1"/>
  <c r="J1481" i="1"/>
  <c r="I1481" i="1"/>
  <c r="H1481" i="1"/>
  <c r="G1481" i="1"/>
  <c r="F1481" i="1"/>
  <c r="D1481" i="1"/>
  <c r="B1481" i="1"/>
  <c r="S1480" i="1"/>
  <c r="L1480" i="1"/>
  <c r="K1480" i="1"/>
  <c r="J1480" i="1"/>
  <c r="H1480" i="1"/>
  <c r="G1480" i="1"/>
  <c r="F1480" i="1"/>
  <c r="D1480" i="1"/>
  <c r="B1480" i="1"/>
  <c r="S1479" i="1"/>
  <c r="L1479" i="1"/>
  <c r="K1479" i="1"/>
  <c r="J1479" i="1"/>
  <c r="H1479" i="1"/>
  <c r="G1479" i="1"/>
  <c r="F1479" i="1"/>
  <c r="D1479" i="1"/>
  <c r="B1479" i="1"/>
  <c r="S1478" i="1"/>
  <c r="L1478" i="1"/>
  <c r="K1478" i="1"/>
  <c r="J1478" i="1"/>
  <c r="H1478" i="1"/>
  <c r="G1478" i="1"/>
  <c r="F1478" i="1"/>
  <c r="D1478" i="1"/>
  <c r="B1478" i="1"/>
  <c r="S1477" i="1"/>
  <c r="L1477" i="1"/>
  <c r="K1477" i="1"/>
  <c r="J1477" i="1"/>
  <c r="H1477" i="1"/>
  <c r="G1477" i="1"/>
  <c r="F1477" i="1"/>
  <c r="D1477" i="1"/>
  <c r="B1477" i="1"/>
  <c r="S1476" i="1"/>
  <c r="L1476" i="1"/>
  <c r="K1476" i="1"/>
  <c r="J1476" i="1"/>
  <c r="H1476" i="1"/>
  <c r="G1476" i="1"/>
  <c r="F1476" i="1"/>
  <c r="D1476" i="1"/>
  <c r="B1476" i="1"/>
  <c r="S1475" i="1"/>
  <c r="L1475" i="1"/>
  <c r="K1475" i="1"/>
  <c r="J1475" i="1"/>
  <c r="H1475" i="1"/>
  <c r="G1475" i="1"/>
  <c r="F1475" i="1"/>
  <c r="D1475" i="1"/>
  <c r="B1475" i="1"/>
  <c r="S1474" i="1"/>
  <c r="Q1474" i="1"/>
  <c r="L1474" i="1"/>
  <c r="K1474" i="1"/>
  <c r="J1474" i="1"/>
  <c r="H1474" i="1"/>
  <c r="G1474" i="1"/>
  <c r="F1474" i="1"/>
  <c r="D1474" i="1"/>
  <c r="B1474" i="1"/>
  <c r="S1473" i="1"/>
  <c r="Q1473" i="1"/>
  <c r="L1473" i="1"/>
  <c r="K1473" i="1"/>
  <c r="J1473" i="1"/>
  <c r="H1473" i="1"/>
  <c r="G1473" i="1"/>
  <c r="F1473" i="1"/>
  <c r="D1473" i="1"/>
  <c r="B1473" i="1"/>
  <c r="S1472" i="1"/>
  <c r="Q1472" i="1"/>
  <c r="L1472" i="1"/>
  <c r="K1472" i="1"/>
  <c r="J1472" i="1"/>
  <c r="H1472" i="1"/>
  <c r="G1472" i="1"/>
  <c r="F1472" i="1"/>
  <c r="D1472" i="1"/>
  <c r="B1472" i="1"/>
  <c r="S1471" i="1"/>
  <c r="Q1471" i="1"/>
  <c r="L1471" i="1"/>
  <c r="K1471" i="1"/>
  <c r="J1471" i="1"/>
  <c r="H1471" i="1"/>
  <c r="G1471" i="1"/>
  <c r="F1471" i="1"/>
  <c r="D1471" i="1"/>
  <c r="B1471" i="1"/>
  <c r="S1470" i="1"/>
  <c r="Q1470" i="1"/>
  <c r="L1470" i="1"/>
  <c r="K1470" i="1"/>
  <c r="J1470" i="1"/>
  <c r="H1470" i="1"/>
  <c r="G1470" i="1"/>
  <c r="F1470" i="1"/>
  <c r="D1470" i="1"/>
  <c r="B1470" i="1"/>
  <c r="S1469" i="1"/>
  <c r="Q1469" i="1"/>
  <c r="L1469" i="1"/>
  <c r="K1469" i="1"/>
  <c r="J1469" i="1"/>
  <c r="H1469" i="1"/>
  <c r="G1469" i="1"/>
  <c r="F1469" i="1"/>
  <c r="D1469" i="1"/>
  <c r="B1469" i="1"/>
  <c r="S1468" i="1"/>
  <c r="Q1468" i="1"/>
  <c r="L1468" i="1"/>
  <c r="K1468" i="1"/>
  <c r="J1468" i="1"/>
  <c r="H1468" i="1"/>
  <c r="G1468" i="1"/>
  <c r="F1468" i="1"/>
  <c r="D1468" i="1"/>
  <c r="B1468" i="1"/>
  <c r="S1467" i="1"/>
  <c r="Q1467" i="1"/>
  <c r="L1467" i="1"/>
  <c r="K1467" i="1"/>
  <c r="J1467" i="1"/>
  <c r="H1467" i="1"/>
  <c r="G1467" i="1"/>
  <c r="F1467" i="1"/>
  <c r="D1467" i="1"/>
  <c r="B1467" i="1"/>
  <c r="S1466" i="1"/>
  <c r="Q1466" i="1"/>
  <c r="L1466" i="1"/>
  <c r="K1466" i="1"/>
  <c r="J1466" i="1"/>
  <c r="H1466" i="1"/>
  <c r="G1466" i="1"/>
  <c r="F1466" i="1"/>
  <c r="D1466" i="1"/>
  <c r="B1466" i="1"/>
  <c r="S1465" i="1"/>
  <c r="Q1465" i="1"/>
  <c r="L1465" i="1"/>
  <c r="K1465" i="1"/>
  <c r="J1465" i="1"/>
  <c r="H1465" i="1"/>
  <c r="G1465" i="1"/>
  <c r="F1465" i="1"/>
  <c r="D1465" i="1"/>
  <c r="B1465" i="1"/>
  <c r="S1464" i="1"/>
  <c r="L1464" i="1"/>
  <c r="K1464" i="1"/>
  <c r="J1464" i="1"/>
  <c r="H1464" i="1"/>
  <c r="G1464" i="1"/>
  <c r="F1464" i="1"/>
  <c r="D1464" i="1"/>
  <c r="B1464" i="1"/>
  <c r="S1463" i="1"/>
  <c r="Q1463" i="1"/>
  <c r="L1463" i="1"/>
  <c r="K1463" i="1"/>
  <c r="J1463" i="1"/>
  <c r="H1463" i="1"/>
  <c r="G1463" i="1"/>
  <c r="F1463" i="1"/>
  <c r="D1463" i="1"/>
  <c r="B1463" i="1"/>
  <c r="S1462" i="1"/>
  <c r="L1462" i="1"/>
  <c r="K1462" i="1"/>
  <c r="J1462" i="1"/>
  <c r="H1462" i="1"/>
  <c r="G1462" i="1"/>
  <c r="F1462" i="1"/>
  <c r="D1462" i="1"/>
  <c r="B1462" i="1"/>
  <c r="S1461" i="1"/>
  <c r="L1461" i="1"/>
  <c r="K1461" i="1"/>
  <c r="J1461" i="1"/>
  <c r="H1461" i="1"/>
  <c r="G1461" i="1"/>
  <c r="F1461" i="1"/>
  <c r="D1461" i="1"/>
  <c r="B1461" i="1"/>
  <c r="S1460" i="1"/>
  <c r="L1460" i="1"/>
  <c r="K1460" i="1"/>
  <c r="J1460" i="1"/>
  <c r="H1460" i="1"/>
  <c r="G1460" i="1"/>
  <c r="F1460" i="1"/>
  <c r="D1460" i="1"/>
  <c r="B1460" i="1"/>
  <c r="S1459" i="1"/>
  <c r="Q1459" i="1"/>
  <c r="L1459" i="1"/>
  <c r="K1459" i="1"/>
  <c r="J1459" i="1"/>
  <c r="H1459" i="1"/>
  <c r="G1459" i="1"/>
  <c r="F1459" i="1"/>
  <c r="D1459" i="1"/>
  <c r="B1459" i="1"/>
  <c r="S1458" i="1"/>
  <c r="L1458" i="1"/>
  <c r="K1458" i="1"/>
  <c r="J1458" i="1"/>
  <c r="H1458" i="1"/>
  <c r="G1458" i="1"/>
  <c r="F1458" i="1"/>
  <c r="D1458" i="1"/>
  <c r="B1458" i="1"/>
  <c r="S1457" i="1"/>
  <c r="Q1457" i="1"/>
  <c r="L1457" i="1"/>
  <c r="K1457" i="1"/>
  <c r="J1457" i="1"/>
  <c r="H1457" i="1"/>
  <c r="G1457" i="1"/>
  <c r="F1457" i="1"/>
  <c r="D1457" i="1"/>
  <c r="B1457" i="1"/>
  <c r="S1456" i="1"/>
  <c r="Q1456" i="1"/>
  <c r="L1456" i="1"/>
  <c r="K1456" i="1"/>
  <c r="J1456" i="1"/>
  <c r="H1456" i="1"/>
  <c r="G1456" i="1"/>
  <c r="F1456" i="1"/>
  <c r="D1456" i="1"/>
  <c r="B1456" i="1"/>
  <c r="S1455" i="1"/>
  <c r="L1455" i="1"/>
  <c r="K1455" i="1"/>
  <c r="J1455" i="1"/>
  <c r="H1455" i="1"/>
  <c r="G1455" i="1"/>
  <c r="F1455" i="1"/>
  <c r="D1455" i="1"/>
  <c r="B1455" i="1"/>
  <c r="S1454" i="1"/>
  <c r="L1454" i="1"/>
  <c r="K1454" i="1"/>
  <c r="J1454" i="1"/>
  <c r="H1454" i="1"/>
  <c r="G1454" i="1"/>
  <c r="F1454" i="1"/>
  <c r="D1454" i="1"/>
  <c r="B1454" i="1"/>
  <c r="S1453" i="1"/>
  <c r="L1453" i="1"/>
  <c r="K1453" i="1"/>
  <c r="J1453" i="1"/>
  <c r="H1453" i="1"/>
  <c r="G1453" i="1"/>
  <c r="F1453" i="1"/>
  <c r="D1453" i="1"/>
  <c r="B1453" i="1"/>
  <c r="S1452" i="1"/>
  <c r="L1452" i="1"/>
  <c r="K1452" i="1"/>
  <c r="J1452" i="1"/>
  <c r="H1452" i="1"/>
  <c r="G1452" i="1"/>
  <c r="F1452" i="1"/>
  <c r="D1452" i="1"/>
  <c r="B1452" i="1"/>
  <c r="S1451" i="1"/>
  <c r="Q1451" i="1"/>
  <c r="L1451" i="1"/>
  <c r="K1451" i="1"/>
  <c r="J1451" i="1"/>
  <c r="H1451" i="1"/>
  <c r="G1451" i="1"/>
  <c r="F1451" i="1"/>
  <c r="D1451" i="1"/>
  <c r="B1451" i="1"/>
  <c r="S1450" i="1"/>
  <c r="Q1450" i="1"/>
  <c r="L1450" i="1"/>
  <c r="K1450" i="1"/>
  <c r="J1450" i="1"/>
  <c r="H1450" i="1"/>
  <c r="G1450" i="1"/>
  <c r="F1450" i="1"/>
  <c r="D1450" i="1"/>
  <c r="B1450" i="1"/>
  <c r="S1449" i="1"/>
  <c r="Q1449" i="1"/>
  <c r="L1449" i="1"/>
  <c r="K1449" i="1"/>
  <c r="J1449" i="1"/>
  <c r="H1449" i="1"/>
  <c r="G1449" i="1"/>
  <c r="F1449" i="1"/>
  <c r="D1449" i="1"/>
  <c r="B1449" i="1"/>
  <c r="S1448" i="1"/>
  <c r="Q1448" i="1"/>
  <c r="L1448" i="1"/>
  <c r="K1448" i="1"/>
  <c r="J1448" i="1"/>
  <c r="H1448" i="1"/>
  <c r="G1448" i="1"/>
  <c r="F1448" i="1"/>
  <c r="D1448" i="1"/>
  <c r="B1448" i="1"/>
  <c r="S1447" i="1"/>
  <c r="Q1447" i="1"/>
  <c r="L1447" i="1"/>
  <c r="K1447" i="1"/>
  <c r="J1447" i="1"/>
  <c r="H1447" i="1"/>
  <c r="G1447" i="1"/>
  <c r="F1447" i="1"/>
  <c r="D1447" i="1"/>
  <c r="B1447" i="1"/>
  <c r="S1446" i="1"/>
  <c r="Q1446" i="1"/>
  <c r="L1446" i="1"/>
  <c r="K1446" i="1"/>
  <c r="J1446" i="1"/>
  <c r="H1446" i="1"/>
  <c r="G1446" i="1"/>
  <c r="F1446" i="1"/>
  <c r="D1446" i="1"/>
  <c r="B1446" i="1"/>
  <c r="S1445" i="1"/>
  <c r="L1445" i="1"/>
  <c r="K1445" i="1"/>
  <c r="J1445" i="1"/>
  <c r="H1445" i="1"/>
  <c r="G1445" i="1"/>
  <c r="F1445" i="1"/>
  <c r="D1445" i="1"/>
  <c r="B1445" i="1"/>
  <c r="S1444" i="1"/>
  <c r="Q1444" i="1"/>
  <c r="L1444" i="1"/>
  <c r="K1444" i="1"/>
  <c r="J1444" i="1"/>
  <c r="H1444" i="1"/>
  <c r="G1444" i="1"/>
  <c r="F1444" i="1"/>
  <c r="D1444" i="1"/>
  <c r="B1444" i="1"/>
  <c r="S1443" i="1"/>
  <c r="L1443" i="1"/>
  <c r="K1443" i="1"/>
  <c r="J1443" i="1"/>
  <c r="H1443" i="1"/>
  <c r="G1443" i="1"/>
  <c r="F1443" i="1"/>
  <c r="D1443" i="1"/>
  <c r="B1443" i="1"/>
  <c r="S1442" i="1"/>
  <c r="L1442" i="1"/>
  <c r="K1442" i="1"/>
  <c r="J1442" i="1"/>
  <c r="H1442" i="1"/>
  <c r="G1442" i="1"/>
  <c r="F1442" i="1"/>
  <c r="D1442" i="1"/>
  <c r="B1442" i="1"/>
  <c r="S1441" i="1"/>
  <c r="L1441" i="1"/>
  <c r="K1441" i="1"/>
  <c r="J1441" i="1"/>
  <c r="H1441" i="1"/>
  <c r="G1441" i="1"/>
  <c r="F1441" i="1"/>
  <c r="D1441" i="1"/>
  <c r="B1441" i="1"/>
  <c r="S1440" i="1"/>
  <c r="L1440" i="1"/>
  <c r="K1440" i="1"/>
  <c r="J1440" i="1"/>
  <c r="H1440" i="1"/>
  <c r="G1440" i="1"/>
  <c r="F1440" i="1"/>
  <c r="D1440" i="1"/>
  <c r="B1440" i="1"/>
  <c r="S1439" i="1"/>
  <c r="L1439" i="1"/>
  <c r="K1439" i="1"/>
  <c r="J1439" i="1"/>
  <c r="H1439" i="1"/>
  <c r="G1439" i="1"/>
  <c r="F1439" i="1"/>
  <c r="D1439" i="1"/>
  <c r="B1439" i="1"/>
  <c r="S1438" i="1"/>
  <c r="L1438" i="1"/>
  <c r="K1438" i="1"/>
  <c r="J1438" i="1"/>
  <c r="H1438" i="1"/>
  <c r="G1438" i="1"/>
  <c r="F1438" i="1"/>
  <c r="D1438" i="1"/>
  <c r="B1438" i="1"/>
  <c r="S1437" i="1"/>
  <c r="L1437" i="1"/>
  <c r="K1437" i="1"/>
  <c r="J1437" i="1"/>
  <c r="H1437" i="1"/>
  <c r="G1437" i="1"/>
  <c r="F1437" i="1"/>
  <c r="D1437" i="1"/>
  <c r="B1437" i="1"/>
  <c r="S1436" i="1"/>
  <c r="L1436" i="1"/>
  <c r="K1436" i="1"/>
  <c r="J1436" i="1"/>
  <c r="H1436" i="1"/>
  <c r="G1436" i="1"/>
  <c r="F1436" i="1"/>
  <c r="D1436" i="1"/>
  <c r="B1436" i="1"/>
  <c r="S1435" i="1"/>
  <c r="L1435" i="1"/>
  <c r="K1435" i="1"/>
  <c r="J1435" i="1"/>
  <c r="H1435" i="1"/>
  <c r="G1435" i="1"/>
  <c r="F1435" i="1"/>
  <c r="D1435" i="1"/>
  <c r="B1435" i="1"/>
  <c r="S1434" i="1"/>
  <c r="Q1434" i="1"/>
  <c r="L1434" i="1"/>
  <c r="K1434" i="1"/>
  <c r="J1434" i="1"/>
  <c r="I1434" i="1"/>
  <c r="H1434" i="1"/>
  <c r="G1434" i="1"/>
  <c r="F1434" i="1"/>
  <c r="D1434" i="1"/>
  <c r="B1434" i="1"/>
  <c r="S1433" i="1"/>
  <c r="L1433" i="1"/>
  <c r="K1433" i="1"/>
  <c r="J1433" i="1"/>
  <c r="H1433" i="1"/>
  <c r="G1433" i="1"/>
  <c r="F1433" i="1"/>
  <c r="D1433" i="1"/>
  <c r="B1433" i="1"/>
  <c r="S1432" i="1"/>
  <c r="L1432" i="1"/>
  <c r="K1432" i="1"/>
  <c r="J1432" i="1"/>
  <c r="H1432" i="1"/>
  <c r="G1432" i="1"/>
  <c r="F1432" i="1"/>
  <c r="D1432" i="1"/>
  <c r="B1432" i="1"/>
  <c r="S1431" i="1"/>
  <c r="L1431" i="1"/>
  <c r="K1431" i="1"/>
  <c r="J1431" i="1"/>
  <c r="H1431" i="1"/>
  <c r="G1431" i="1"/>
  <c r="F1431" i="1"/>
  <c r="D1431" i="1"/>
  <c r="B1431" i="1"/>
  <c r="S1430" i="1"/>
  <c r="L1430" i="1"/>
  <c r="K1430" i="1"/>
  <c r="J1430" i="1"/>
  <c r="H1430" i="1"/>
  <c r="G1430" i="1"/>
  <c r="F1430" i="1"/>
  <c r="D1430" i="1"/>
  <c r="B1430" i="1"/>
  <c r="S1429" i="1"/>
  <c r="Q1429" i="1"/>
  <c r="L1429" i="1"/>
  <c r="K1429" i="1"/>
  <c r="J1429" i="1"/>
  <c r="H1429" i="1"/>
  <c r="G1429" i="1"/>
  <c r="F1429" i="1"/>
  <c r="D1429" i="1"/>
  <c r="B1429" i="1"/>
  <c r="S1428" i="1"/>
  <c r="L1428" i="1"/>
  <c r="K1428" i="1"/>
  <c r="J1428" i="1"/>
  <c r="H1428" i="1"/>
  <c r="G1428" i="1"/>
  <c r="F1428" i="1"/>
  <c r="D1428" i="1"/>
  <c r="B1428" i="1"/>
  <c r="S1427" i="1"/>
  <c r="Q1427" i="1"/>
  <c r="L1427" i="1"/>
  <c r="K1427" i="1"/>
  <c r="J1427" i="1"/>
  <c r="H1427" i="1"/>
  <c r="G1427" i="1"/>
  <c r="F1427" i="1"/>
  <c r="D1427" i="1"/>
  <c r="B1427" i="1"/>
  <c r="S1426" i="1"/>
  <c r="L1426" i="1"/>
  <c r="K1426" i="1"/>
  <c r="J1426" i="1"/>
  <c r="H1426" i="1"/>
  <c r="G1426" i="1"/>
  <c r="F1426" i="1"/>
  <c r="D1426" i="1"/>
  <c r="B1426" i="1"/>
  <c r="S1425" i="1"/>
  <c r="L1425" i="1"/>
  <c r="K1425" i="1"/>
  <c r="J1425" i="1"/>
  <c r="H1425" i="1"/>
  <c r="G1425" i="1"/>
  <c r="F1425" i="1"/>
  <c r="D1425" i="1"/>
  <c r="B1425" i="1"/>
  <c r="S1424" i="1"/>
  <c r="Q1424" i="1"/>
  <c r="L1424" i="1"/>
  <c r="K1424" i="1"/>
  <c r="J1424" i="1"/>
  <c r="H1424" i="1"/>
  <c r="G1424" i="1"/>
  <c r="F1424" i="1"/>
  <c r="D1424" i="1"/>
  <c r="B1424" i="1"/>
  <c r="S1423" i="1"/>
  <c r="Q1423" i="1"/>
  <c r="L1423" i="1"/>
  <c r="K1423" i="1"/>
  <c r="J1423" i="1"/>
  <c r="I1423" i="1"/>
  <c r="H1423" i="1"/>
  <c r="G1423" i="1"/>
  <c r="F1423" i="1"/>
  <c r="D1423" i="1"/>
  <c r="B1423" i="1"/>
  <c r="S1422" i="1"/>
  <c r="L1422" i="1"/>
  <c r="K1422" i="1"/>
  <c r="J1422" i="1"/>
  <c r="H1422" i="1"/>
  <c r="G1422" i="1"/>
  <c r="F1422" i="1"/>
  <c r="D1422" i="1"/>
  <c r="B1422" i="1"/>
  <c r="S1421" i="1"/>
  <c r="L1421" i="1"/>
  <c r="K1421" i="1"/>
  <c r="J1421" i="1"/>
  <c r="H1421" i="1"/>
  <c r="G1421" i="1"/>
  <c r="F1421" i="1"/>
  <c r="D1421" i="1"/>
  <c r="B1421" i="1"/>
  <c r="S1420" i="1"/>
  <c r="L1420" i="1"/>
  <c r="K1420" i="1"/>
  <c r="J1420" i="1"/>
  <c r="H1420" i="1"/>
  <c r="G1420" i="1"/>
  <c r="F1420" i="1"/>
  <c r="D1420" i="1"/>
  <c r="B1420" i="1"/>
  <c r="S1419" i="1"/>
  <c r="L1419" i="1"/>
  <c r="K1419" i="1"/>
  <c r="J1419" i="1"/>
  <c r="H1419" i="1"/>
  <c r="G1419" i="1"/>
  <c r="F1419" i="1"/>
  <c r="D1419" i="1"/>
  <c r="B1419" i="1"/>
  <c r="S1418" i="1"/>
  <c r="L1418" i="1"/>
  <c r="K1418" i="1"/>
  <c r="J1418" i="1"/>
  <c r="H1418" i="1"/>
  <c r="G1418" i="1"/>
  <c r="F1418" i="1"/>
  <c r="D1418" i="1"/>
  <c r="B1418" i="1"/>
  <c r="S1417" i="1"/>
  <c r="L1417" i="1"/>
  <c r="K1417" i="1"/>
  <c r="J1417" i="1"/>
  <c r="H1417" i="1"/>
  <c r="G1417" i="1"/>
  <c r="F1417" i="1"/>
  <c r="D1417" i="1"/>
  <c r="B1417" i="1"/>
  <c r="S1416" i="1"/>
  <c r="L1416" i="1"/>
  <c r="K1416" i="1"/>
  <c r="J1416" i="1"/>
  <c r="H1416" i="1"/>
  <c r="G1416" i="1"/>
  <c r="F1416" i="1"/>
  <c r="D1416" i="1"/>
  <c r="B1416" i="1"/>
  <c r="S1415" i="1"/>
  <c r="L1415" i="1"/>
  <c r="K1415" i="1"/>
  <c r="J1415" i="1"/>
  <c r="H1415" i="1"/>
  <c r="G1415" i="1"/>
  <c r="F1415" i="1"/>
  <c r="D1415" i="1"/>
  <c r="B1415" i="1"/>
  <c r="S1414" i="1"/>
  <c r="L1414" i="1"/>
  <c r="K1414" i="1"/>
  <c r="J1414" i="1"/>
  <c r="H1414" i="1"/>
  <c r="G1414" i="1"/>
  <c r="F1414" i="1"/>
  <c r="D1414" i="1"/>
  <c r="B1414" i="1"/>
  <c r="S1413" i="1"/>
  <c r="L1413" i="1"/>
  <c r="K1413" i="1"/>
  <c r="J1413" i="1"/>
  <c r="H1413" i="1"/>
  <c r="G1413" i="1"/>
  <c r="F1413" i="1"/>
  <c r="D1413" i="1"/>
  <c r="B1413" i="1"/>
  <c r="S1412" i="1"/>
  <c r="L1412" i="1"/>
  <c r="K1412" i="1"/>
  <c r="J1412" i="1"/>
  <c r="H1412" i="1"/>
  <c r="G1412" i="1"/>
  <c r="F1412" i="1"/>
  <c r="D1412" i="1"/>
  <c r="B1412" i="1"/>
  <c r="S1411" i="1"/>
  <c r="L1411" i="1"/>
  <c r="K1411" i="1"/>
  <c r="J1411" i="1"/>
  <c r="H1411" i="1"/>
  <c r="G1411" i="1"/>
  <c r="F1411" i="1"/>
  <c r="D1411" i="1"/>
  <c r="B1411" i="1"/>
  <c r="S1410" i="1"/>
  <c r="L1410" i="1"/>
  <c r="K1410" i="1"/>
  <c r="J1410" i="1"/>
  <c r="H1410" i="1"/>
  <c r="G1410" i="1"/>
  <c r="F1410" i="1"/>
  <c r="D1410" i="1"/>
  <c r="B1410" i="1"/>
  <c r="S1409" i="1"/>
  <c r="L1409" i="1"/>
  <c r="K1409" i="1"/>
  <c r="J1409" i="1"/>
  <c r="H1409" i="1"/>
  <c r="G1409" i="1"/>
  <c r="F1409" i="1"/>
  <c r="D1409" i="1"/>
  <c r="B1409" i="1"/>
  <c r="S1408" i="1"/>
  <c r="L1408" i="1"/>
  <c r="K1408" i="1"/>
  <c r="J1408" i="1"/>
  <c r="H1408" i="1"/>
  <c r="G1408" i="1"/>
  <c r="F1408" i="1"/>
  <c r="D1408" i="1"/>
  <c r="B1408" i="1"/>
  <c r="S1407" i="1"/>
  <c r="L1407" i="1"/>
  <c r="K1407" i="1"/>
  <c r="J1407" i="1"/>
  <c r="H1407" i="1"/>
  <c r="G1407" i="1"/>
  <c r="F1407" i="1"/>
  <c r="D1407" i="1"/>
  <c r="B1407" i="1"/>
  <c r="S1406" i="1"/>
  <c r="L1406" i="1"/>
  <c r="K1406" i="1"/>
  <c r="J1406" i="1"/>
  <c r="H1406" i="1"/>
  <c r="G1406" i="1"/>
  <c r="F1406" i="1"/>
  <c r="D1406" i="1"/>
  <c r="B1406" i="1"/>
  <c r="S1405" i="1"/>
  <c r="L1405" i="1"/>
  <c r="K1405" i="1"/>
  <c r="J1405" i="1"/>
  <c r="H1405" i="1"/>
  <c r="G1405" i="1"/>
  <c r="F1405" i="1"/>
  <c r="D1405" i="1"/>
  <c r="B1405" i="1"/>
  <c r="S1404" i="1"/>
  <c r="Q1404" i="1"/>
  <c r="L1404" i="1"/>
  <c r="K1404" i="1"/>
  <c r="J1404" i="1"/>
  <c r="H1404" i="1"/>
  <c r="G1404" i="1"/>
  <c r="F1404" i="1"/>
  <c r="D1404" i="1"/>
  <c r="B1404" i="1"/>
  <c r="S1403" i="1"/>
  <c r="Q1403" i="1"/>
  <c r="L1403" i="1"/>
  <c r="K1403" i="1"/>
  <c r="J1403" i="1"/>
  <c r="H1403" i="1"/>
  <c r="G1403" i="1"/>
  <c r="F1403" i="1"/>
  <c r="D1403" i="1"/>
  <c r="B1403" i="1"/>
  <c r="S1402" i="1"/>
  <c r="Q1402" i="1"/>
  <c r="L1402" i="1"/>
  <c r="K1402" i="1"/>
  <c r="J1402" i="1"/>
  <c r="H1402" i="1"/>
  <c r="G1402" i="1"/>
  <c r="F1402" i="1"/>
  <c r="D1402" i="1"/>
  <c r="B1402" i="1"/>
  <c r="S1401" i="1"/>
  <c r="Q1401" i="1"/>
  <c r="L1401" i="1"/>
  <c r="K1401" i="1"/>
  <c r="J1401" i="1"/>
  <c r="H1401" i="1"/>
  <c r="G1401" i="1"/>
  <c r="F1401" i="1"/>
  <c r="D1401" i="1"/>
  <c r="B1401" i="1"/>
  <c r="S1400" i="1"/>
  <c r="Q1400" i="1"/>
  <c r="L1400" i="1"/>
  <c r="K1400" i="1"/>
  <c r="J1400" i="1"/>
  <c r="H1400" i="1"/>
  <c r="G1400" i="1"/>
  <c r="F1400" i="1"/>
  <c r="D1400" i="1"/>
  <c r="B1400" i="1"/>
  <c r="S1399" i="1"/>
  <c r="L1399" i="1"/>
  <c r="K1399" i="1"/>
  <c r="J1399" i="1"/>
  <c r="H1399" i="1"/>
  <c r="G1399" i="1"/>
  <c r="F1399" i="1"/>
  <c r="D1399" i="1"/>
  <c r="B1399" i="1"/>
  <c r="S1398" i="1"/>
  <c r="Q1398" i="1"/>
  <c r="L1398" i="1"/>
  <c r="K1398" i="1"/>
  <c r="J1398" i="1"/>
  <c r="H1398" i="1"/>
  <c r="G1398" i="1"/>
  <c r="F1398" i="1"/>
  <c r="D1398" i="1"/>
  <c r="B1398" i="1"/>
  <c r="S1397" i="1"/>
  <c r="Q1397" i="1"/>
  <c r="L1397" i="1"/>
  <c r="K1397" i="1"/>
  <c r="J1397" i="1"/>
  <c r="H1397" i="1"/>
  <c r="G1397" i="1"/>
  <c r="F1397" i="1"/>
  <c r="D1397" i="1"/>
  <c r="B1397" i="1"/>
  <c r="S1396" i="1"/>
  <c r="Q1396" i="1"/>
  <c r="L1396" i="1"/>
  <c r="K1396" i="1"/>
  <c r="J1396" i="1"/>
  <c r="H1396" i="1"/>
  <c r="G1396" i="1"/>
  <c r="F1396" i="1"/>
  <c r="D1396" i="1"/>
  <c r="B1396" i="1"/>
  <c r="S1395" i="1"/>
  <c r="Q1395" i="1"/>
  <c r="L1395" i="1"/>
  <c r="K1395" i="1"/>
  <c r="J1395" i="1"/>
  <c r="H1395" i="1"/>
  <c r="G1395" i="1"/>
  <c r="F1395" i="1"/>
  <c r="D1395" i="1"/>
  <c r="B1395" i="1"/>
  <c r="S1394" i="1"/>
  <c r="Q1394" i="1"/>
  <c r="L1394" i="1"/>
  <c r="K1394" i="1"/>
  <c r="J1394" i="1"/>
  <c r="H1394" i="1"/>
  <c r="G1394" i="1"/>
  <c r="F1394" i="1"/>
  <c r="D1394" i="1"/>
  <c r="B1394" i="1"/>
  <c r="S1393" i="1"/>
  <c r="L1393" i="1"/>
  <c r="K1393" i="1"/>
  <c r="J1393" i="1"/>
  <c r="H1393" i="1"/>
  <c r="G1393" i="1"/>
  <c r="F1393" i="1"/>
  <c r="D1393" i="1"/>
  <c r="B1393" i="1"/>
  <c r="S1392" i="1"/>
  <c r="Q1392" i="1"/>
  <c r="L1392" i="1"/>
  <c r="K1392" i="1"/>
  <c r="J1392" i="1"/>
  <c r="H1392" i="1"/>
  <c r="G1392" i="1"/>
  <c r="F1392" i="1"/>
  <c r="D1392" i="1"/>
  <c r="B1392" i="1"/>
  <c r="S1391" i="1"/>
  <c r="L1391" i="1"/>
  <c r="K1391" i="1"/>
  <c r="J1391" i="1"/>
  <c r="H1391" i="1"/>
  <c r="G1391" i="1"/>
  <c r="F1391" i="1"/>
  <c r="D1391" i="1"/>
  <c r="B1391" i="1"/>
  <c r="S1390" i="1"/>
  <c r="L1390" i="1"/>
  <c r="K1390" i="1"/>
  <c r="J1390" i="1"/>
  <c r="H1390" i="1"/>
  <c r="G1390" i="1"/>
  <c r="F1390" i="1"/>
  <c r="D1390" i="1"/>
  <c r="B1390" i="1"/>
  <c r="S1389" i="1"/>
  <c r="L1389" i="1"/>
  <c r="K1389" i="1"/>
  <c r="J1389" i="1"/>
  <c r="H1389" i="1"/>
  <c r="G1389" i="1"/>
  <c r="F1389" i="1"/>
  <c r="D1389" i="1"/>
  <c r="B1389" i="1"/>
  <c r="S1388" i="1"/>
  <c r="L1388" i="1"/>
  <c r="K1388" i="1"/>
  <c r="J1388" i="1"/>
  <c r="H1388" i="1"/>
  <c r="G1388" i="1"/>
  <c r="F1388" i="1"/>
  <c r="D1388" i="1"/>
  <c r="B1388" i="1"/>
  <c r="S1387" i="1"/>
  <c r="L1387" i="1"/>
  <c r="K1387" i="1"/>
  <c r="J1387" i="1"/>
  <c r="H1387" i="1"/>
  <c r="G1387" i="1"/>
  <c r="F1387" i="1"/>
  <c r="D1387" i="1"/>
  <c r="B1387" i="1"/>
  <c r="S1386" i="1"/>
  <c r="L1386" i="1"/>
  <c r="K1386" i="1"/>
  <c r="J1386" i="1"/>
  <c r="H1386" i="1"/>
  <c r="G1386" i="1"/>
  <c r="F1386" i="1"/>
  <c r="D1386" i="1"/>
  <c r="B1386" i="1"/>
  <c r="S1385" i="1"/>
  <c r="L1385" i="1"/>
  <c r="K1385" i="1"/>
  <c r="J1385" i="1"/>
  <c r="H1385" i="1"/>
  <c r="G1385" i="1"/>
  <c r="F1385" i="1"/>
  <c r="D1385" i="1"/>
  <c r="B1385" i="1"/>
  <c r="S1384" i="1"/>
  <c r="L1384" i="1"/>
  <c r="K1384" i="1"/>
  <c r="J1384" i="1"/>
  <c r="H1384" i="1"/>
  <c r="G1384" i="1"/>
  <c r="F1384" i="1"/>
  <c r="D1384" i="1"/>
  <c r="B1384" i="1"/>
  <c r="S1383" i="1"/>
  <c r="L1383" i="1"/>
  <c r="K1383" i="1"/>
  <c r="J1383" i="1"/>
  <c r="H1383" i="1"/>
  <c r="G1383" i="1"/>
  <c r="F1383" i="1"/>
  <c r="D1383" i="1"/>
  <c r="B1383" i="1"/>
  <c r="S1382" i="1"/>
  <c r="L1382" i="1"/>
  <c r="K1382" i="1"/>
  <c r="J1382" i="1"/>
  <c r="H1382" i="1"/>
  <c r="G1382" i="1"/>
  <c r="F1382" i="1"/>
  <c r="D1382" i="1"/>
  <c r="B1382" i="1"/>
  <c r="S1381" i="1"/>
  <c r="L1381" i="1"/>
  <c r="K1381" i="1"/>
  <c r="J1381" i="1"/>
  <c r="H1381" i="1"/>
  <c r="G1381" i="1"/>
  <c r="F1381" i="1"/>
  <c r="D1381" i="1"/>
  <c r="B1381" i="1"/>
  <c r="S1380" i="1"/>
  <c r="L1380" i="1"/>
  <c r="K1380" i="1"/>
  <c r="J1380" i="1"/>
  <c r="H1380" i="1"/>
  <c r="G1380" i="1"/>
  <c r="F1380" i="1"/>
  <c r="D1380" i="1"/>
  <c r="B1380" i="1"/>
  <c r="S1379" i="1"/>
  <c r="Q1379" i="1"/>
  <c r="L1379" i="1"/>
  <c r="K1379" i="1"/>
  <c r="J1379" i="1"/>
  <c r="H1379" i="1"/>
  <c r="G1379" i="1"/>
  <c r="F1379" i="1"/>
  <c r="D1379" i="1"/>
  <c r="B1379" i="1"/>
  <c r="S1378" i="1"/>
  <c r="L1378" i="1"/>
  <c r="K1378" i="1"/>
  <c r="J1378" i="1"/>
  <c r="H1378" i="1"/>
  <c r="G1378" i="1"/>
  <c r="F1378" i="1"/>
  <c r="D1378" i="1"/>
  <c r="B1378" i="1"/>
  <c r="S1377" i="1"/>
  <c r="L1377" i="1"/>
  <c r="K1377" i="1"/>
  <c r="J1377" i="1"/>
  <c r="H1377" i="1"/>
  <c r="G1377" i="1"/>
  <c r="F1377" i="1"/>
  <c r="D1377" i="1"/>
  <c r="B1377" i="1"/>
  <c r="S1376" i="1"/>
  <c r="L1376" i="1"/>
  <c r="K1376" i="1"/>
  <c r="J1376" i="1"/>
  <c r="H1376" i="1"/>
  <c r="G1376" i="1"/>
  <c r="F1376" i="1"/>
  <c r="D1376" i="1"/>
  <c r="B1376" i="1"/>
  <c r="S1375" i="1"/>
  <c r="L1375" i="1"/>
  <c r="K1375" i="1"/>
  <c r="J1375" i="1"/>
  <c r="H1375" i="1"/>
  <c r="G1375" i="1"/>
  <c r="F1375" i="1"/>
  <c r="D1375" i="1"/>
  <c r="B1375" i="1"/>
  <c r="S1374" i="1"/>
  <c r="Q1374" i="1"/>
  <c r="L1374" i="1"/>
  <c r="K1374" i="1"/>
  <c r="J1374" i="1"/>
  <c r="I1374" i="1"/>
  <c r="H1374" i="1"/>
  <c r="F1374" i="1"/>
  <c r="D1374" i="1"/>
  <c r="B1374" i="1"/>
  <c r="S1373" i="1"/>
  <c r="L1373" i="1"/>
  <c r="K1373" i="1"/>
  <c r="J1373" i="1"/>
  <c r="H1373" i="1"/>
  <c r="G1373" i="1"/>
  <c r="F1373" i="1"/>
  <c r="D1373" i="1"/>
  <c r="B1373" i="1"/>
  <c r="S1372" i="1"/>
  <c r="Q1372" i="1"/>
  <c r="L1372" i="1"/>
  <c r="K1372" i="1"/>
  <c r="J1372" i="1"/>
  <c r="I1372" i="1"/>
  <c r="H1372" i="1"/>
  <c r="F1372" i="1"/>
  <c r="D1372" i="1"/>
  <c r="B1372" i="1"/>
  <c r="S1371" i="1"/>
  <c r="Q1371" i="1"/>
  <c r="L1371" i="1"/>
  <c r="K1371" i="1"/>
  <c r="J1371" i="1"/>
  <c r="H1371" i="1"/>
  <c r="G1371" i="1"/>
  <c r="F1371" i="1"/>
  <c r="D1371" i="1"/>
  <c r="B1371" i="1"/>
  <c r="S1370" i="1"/>
  <c r="L1370" i="1"/>
  <c r="K1370" i="1"/>
  <c r="J1370" i="1"/>
  <c r="H1370" i="1"/>
  <c r="G1370" i="1"/>
  <c r="F1370" i="1"/>
  <c r="D1370" i="1"/>
  <c r="B1370" i="1"/>
  <c r="S1369" i="1"/>
  <c r="Q1369" i="1"/>
  <c r="L1369" i="1"/>
  <c r="K1369" i="1"/>
  <c r="J1369" i="1"/>
  <c r="H1369" i="1"/>
  <c r="G1369" i="1"/>
  <c r="F1369" i="1"/>
  <c r="D1369" i="1"/>
  <c r="B1369" i="1"/>
  <c r="S1368" i="1"/>
  <c r="L1368" i="1"/>
  <c r="K1368" i="1"/>
  <c r="J1368" i="1"/>
  <c r="H1368" i="1"/>
  <c r="G1368" i="1"/>
  <c r="F1368" i="1"/>
  <c r="D1368" i="1"/>
  <c r="B1368" i="1"/>
  <c r="S1367" i="1"/>
  <c r="L1367" i="1"/>
  <c r="K1367" i="1"/>
  <c r="J1367" i="1"/>
  <c r="H1367" i="1"/>
  <c r="G1367" i="1"/>
  <c r="F1367" i="1"/>
  <c r="D1367" i="1"/>
  <c r="B1367" i="1"/>
  <c r="S1366" i="1"/>
  <c r="Q1366" i="1"/>
  <c r="L1366" i="1"/>
  <c r="K1366" i="1"/>
  <c r="J1366" i="1"/>
  <c r="H1366" i="1"/>
  <c r="G1366" i="1"/>
  <c r="F1366" i="1"/>
  <c r="D1366" i="1"/>
  <c r="B1366" i="1"/>
  <c r="S1365" i="1"/>
  <c r="Q1365" i="1"/>
  <c r="L1365" i="1"/>
  <c r="K1365" i="1"/>
  <c r="J1365" i="1"/>
  <c r="H1365" i="1"/>
  <c r="G1365" i="1"/>
  <c r="F1365" i="1"/>
  <c r="D1365" i="1"/>
  <c r="B1365" i="1"/>
  <c r="S1364" i="1"/>
  <c r="Q1364" i="1"/>
  <c r="L1364" i="1"/>
  <c r="K1364" i="1"/>
  <c r="J1364" i="1"/>
  <c r="H1364" i="1"/>
  <c r="G1364" i="1"/>
  <c r="F1364" i="1"/>
  <c r="D1364" i="1"/>
  <c r="B1364" i="1"/>
  <c r="S1363" i="1"/>
  <c r="Q1363" i="1"/>
  <c r="L1363" i="1"/>
  <c r="K1363" i="1"/>
  <c r="J1363" i="1"/>
  <c r="H1363" i="1"/>
  <c r="G1363" i="1"/>
  <c r="F1363" i="1"/>
  <c r="D1363" i="1"/>
  <c r="B1363" i="1"/>
  <c r="S1362" i="1"/>
  <c r="Q1362" i="1"/>
  <c r="L1362" i="1"/>
  <c r="K1362" i="1"/>
  <c r="J1362" i="1"/>
  <c r="H1362" i="1"/>
  <c r="G1362" i="1"/>
  <c r="F1362" i="1"/>
  <c r="D1362" i="1"/>
  <c r="B1362" i="1"/>
  <c r="S1361" i="1"/>
  <c r="Q1361" i="1"/>
  <c r="L1361" i="1"/>
  <c r="K1361" i="1"/>
  <c r="J1361" i="1"/>
  <c r="H1361" i="1"/>
  <c r="G1361" i="1"/>
  <c r="F1361" i="1"/>
  <c r="D1361" i="1"/>
  <c r="B1361" i="1"/>
  <c r="S1360" i="1"/>
  <c r="Q1360" i="1"/>
  <c r="L1360" i="1"/>
  <c r="K1360" i="1"/>
  <c r="J1360" i="1"/>
  <c r="H1360" i="1"/>
  <c r="G1360" i="1"/>
  <c r="F1360" i="1"/>
  <c r="D1360" i="1"/>
  <c r="B1360" i="1"/>
  <c r="S1359" i="1"/>
  <c r="Q1359" i="1"/>
  <c r="L1359" i="1"/>
  <c r="K1359" i="1"/>
  <c r="J1359" i="1"/>
  <c r="H1359" i="1"/>
  <c r="G1359" i="1"/>
  <c r="F1359" i="1"/>
  <c r="D1359" i="1"/>
  <c r="B1359" i="1"/>
  <c r="S1358" i="1"/>
  <c r="Q1358" i="1"/>
  <c r="L1358" i="1"/>
  <c r="K1358" i="1"/>
  <c r="J1358" i="1"/>
  <c r="H1358" i="1"/>
  <c r="G1358" i="1"/>
  <c r="F1358" i="1"/>
  <c r="D1358" i="1"/>
  <c r="B1358" i="1"/>
  <c r="S1357" i="1"/>
  <c r="Q1357" i="1"/>
  <c r="L1357" i="1"/>
  <c r="K1357" i="1"/>
  <c r="J1357" i="1"/>
  <c r="H1357" i="1"/>
  <c r="G1357" i="1"/>
  <c r="F1357" i="1"/>
  <c r="D1357" i="1"/>
  <c r="B1357" i="1"/>
  <c r="S1356" i="1"/>
  <c r="L1356" i="1"/>
  <c r="K1356" i="1"/>
  <c r="J1356" i="1"/>
  <c r="H1356" i="1"/>
  <c r="G1356" i="1"/>
  <c r="F1356" i="1"/>
  <c r="D1356" i="1"/>
  <c r="B1356" i="1"/>
  <c r="S1355" i="1"/>
  <c r="Q1355" i="1"/>
  <c r="L1355" i="1"/>
  <c r="K1355" i="1"/>
  <c r="J1355" i="1"/>
  <c r="H1355" i="1"/>
  <c r="G1355" i="1"/>
  <c r="F1355" i="1"/>
  <c r="D1355" i="1"/>
  <c r="B1355" i="1"/>
  <c r="S1354" i="1"/>
  <c r="Q1354" i="1"/>
  <c r="L1354" i="1"/>
  <c r="K1354" i="1"/>
  <c r="J1354" i="1"/>
  <c r="H1354" i="1"/>
  <c r="G1354" i="1"/>
  <c r="F1354" i="1"/>
  <c r="D1354" i="1"/>
  <c r="B1354" i="1"/>
  <c r="S1353" i="1"/>
  <c r="Q1353" i="1"/>
  <c r="L1353" i="1"/>
  <c r="K1353" i="1"/>
  <c r="J1353" i="1"/>
  <c r="H1353" i="1"/>
  <c r="G1353" i="1"/>
  <c r="F1353" i="1"/>
  <c r="D1353" i="1"/>
  <c r="B1353" i="1"/>
  <c r="S1352" i="1"/>
  <c r="Q1352" i="1"/>
  <c r="L1352" i="1"/>
  <c r="K1352" i="1"/>
  <c r="J1352" i="1"/>
  <c r="H1352" i="1"/>
  <c r="G1352" i="1"/>
  <c r="F1352" i="1"/>
  <c r="D1352" i="1"/>
  <c r="B1352" i="1"/>
  <c r="S1351" i="1"/>
  <c r="Q1351" i="1"/>
  <c r="L1351" i="1"/>
  <c r="K1351" i="1"/>
  <c r="J1351" i="1"/>
  <c r="H1351" i="1"/>
  <c r="G1351" i="1"/>
  <c r="F1351" i="1"/>
  <c r="D1351" i="1"/>
  <c r="B1351" i="1"/>
  <c r="S1350" i="1"/>
  <c r="L1350" i="1"/>
  <c r="K1350" i="1"/>
  <c r="J1350" i="1"/>
  <c r="H1350" i="1"/>
  <c r="G1350" i="1"/>
  <c r="F1350" i="1"/>
  <c r="D1350" i="1"/>
  <c r="B1350" i="1"/>
  <c r="S1349" i="1"/>
  <c r="Q1349" i="1"/>
  <c r="L1349" i="1"/>
  <c r="K1349" i="1"/>
  <c r="J1349" i="1"/>
  <c r="H1349" i="1"/>
  <c r="G1349" i="1"/>
  <c r="F1349" i="1"/>
  <c r="D1349" i="1"/>
  <c r="B1349" i="1"/>
  <c r="S1348" i="1"/>
  <c r="Q1348" i="1"/>
  <c r="L1348" i="1"/>
  <c r="K1348" i="1"/>
  <c r="J1348" i="1"/>
  <c r="H1348" i="1"/>
  <c r="G1348" i="1"/>
  <c r="F1348" i="1"/>
  <c r="D1348" i="1"/>
  <c r="B1348" i="1"/>
  <c r="S1347" i="1"/>
  <c r="Q1347" i="1"/>
  <c r="L1347" i="1"/>
  <c r="K1347" i="1"/>
  <c r="J1347" i="1"/>
  <c r="H1347" i="1"/>
  <c r="G1347" i="1"/>
  <c r="F1347" i="1"/>
  <c r="D1347" i="1"/>
  <c r="B1347" i="1"/>
  <c r="S1346" i="1"/>
  <c r="Q1346" i="1"/>
  <c r="L1346" i="1"/>
  <c r="K1346" i="1"/>
  <c r="J1346" i="1"/>
  <c r="H1346" i="1"/>
  <c r="G1346" i="1"/>
  <c r="F1346" i="1"/>
  <c r="D1346" i="1"/>
  <c r="B1346" i="1"/>
  <c r="S1345" i="1"/>
  <c r="L1345" i="1"/>
  <c r="K1345" i="1"/>
  <c r="J1345" i="1"/>
  <c r="H1345" i="1"/>
  <c r="G1345" i="1"/>
  <c r="F1345" i="1"/>
  <c r="D1345" i="1"/>
  <c r="B1345" i="1"/>
  <c r="S1344" i="1"/>
  <c r="Q1344" i="1"/>
  <c r="L1344" i="1"/>
  <c r="K1344" i="1"/>
  <c r="J1344" i="1"/>
  <c r="H1344" i="1"/>
  <c r="G1344" i="1"/>
  <c r="F1344" i="1"/>
  <c r="D1344" i="1"/>
  <c r="B1344" i="1"/>
  <c r="S1343" i="1"/>
  <c r="L1343" i="1"/>
  <c r="K1343" i="1"/>
  <c r="J1343" i="1"/>
  <c r="H1343" i="1"/>
  <c r="G1343" i="1"/>
  <c r="F1343" i="1"/>
  <c r="D1343" i="1"/>
  <c r="B1343" i="1"/>
  <c r="S1342" i="1"/>
  <c r="L1342" i="1"/>
  <c r="K1342" i="1"/>
  <c r="J1342" i="1"/>
  <c r="H1342" i="1"/>
  <c r="G1342" i="1"/>
  <c r="F1342" i="1"/>
  <c r="D1342" i="1"/>
  <c r="B1342" i="1"/>
  <c r="S1341" i="1"/>
  <c r="L1341" i="1"/>
  <c r="K1341" i="1"/>
  <c r="J1341" i="1"/>
  <c r="H1341" i="1"/>
  <c r="G1341" i="1"/>
  <c r="F1341" i="1"/>
  <c r="D1341" i="1"/>
  <c r="B1341" i="1"/>
  <c r="S1340" i="1"/>
  <c r="Q1340" i="1"/>
  <c r="L1340" i="1"/>
  <c r="K1340" i="1"/>
  <c r="J1340" i="1"/>
  <c r="H1340" i="1"/>
  <c r="G1340" i="1"/>
  <c r="F1340" i="1"/>
  <c r="D1340" i="1"/>
  <c r="B1340" i="1"/>
  <c r="S1339" i="1"/>
  <c r="L1339" i="1"/>
  <c r="K1339" i="1"/>
  <c r="J1339" i="1"/>
  <c r="H1339" i="1"/>
  <c r="G1339" i="1"/>
  <c r="F1339" i="1"/>
  <c r="D1339" i="1"/>
  <c r="B1339" i="1"/>
  <c r="S1338" i="1"/>
  <c r="Q1338" i="1"/>
  <c r="L1338" i="1"/>
  <c r="K1338" i="1"/>
  <c r="J1338" i="1"/>
  <c r="H1338" i="1"/>
  <c r="G1338" i="1"/>
  <c r="F1338" i="1"/>
  <c r="D1338" i="1"/>
  <c r="B1338" i="1"/>
  <c r="S1337" i="1"/>
  <c r="Q1337" i="1"/>
  <c r="L1337" i="1"/>
  <c r="K1337" i="1"/>
  <c r="J1337" i="1"/>
  <c r="H1337" i="1"/>
  <c r="G1337" i="1"/>
  <c r="F1337" i="1"/>
  <c r="D1337" i="1"/>
  <c r="B1337" i="1"/>
  <c r="S1336" i="1"/>
  <c r="Q1336" i="1"/>
  <c r="L1336" i="1"/>
  <c r="K1336" i="1"/>
  <c r="J1336" i="1"/>
  <c r="I1336" i="1"/>
  <c r="H1336" i="1"/>
  <c r="G1336" i="1"/>
  <c r="F1336" i="1"/>
  <c r="D1336" i="1"/>
  <c r="B1336" i="1"/>
  <c r="S1335" i="1"/>
  <c r="Q1335" i="1"/>
  <c r="L1335" i="1"/>
  <c r="K1335" i="1"/>
  <c r="J1335" i="1"/>
  <c r="H1335" i="1"/>
  <c r="G1335" i="1"/>
  <c r="F1335" i="1"/>
  <c r="D1335" i="1"/>
  <c r="B1335" i="1"/>
  <c r="S1334" i="1"/>
  <c r="L1334" i="1"/>
  <c r="K1334" i="1"/>
  <c r="J1334" i="1"/>
  <c r="H1334" i="1"/>
  <c r="G1334" i="1"/>
  <c r="F1334" i="1"/>
  <c r="D1334" i="1"/>
  <c r="B1334" i="1"/>
  <c r="S1333" i="1"/>
  <c r="Q1333" i="1"/>
  <c r="L1333" i="1"/>
  <c r="K1333" i="1"/>
  <c r="J1333" i="1"/>
  <c r="H1333" i="1"/>
  <c r="G1333" i="1"/>
  <c r="F1333" i="1"/>
  <c r="D1333" i="1"/>
  <c r="B1333" i="1"/>
  <c r="S1332" i="1"/>
  <c r="L1332" i="1"/>
  <c r="K1332" i="1"/>
  <c r="J1332" i="1"/>
  <c r="H1332" i="1"/>
  <c r="G1332" i="1"/>
  <c r="F1332" i="1"/>
  <c r="D1332" i="1"/>
  <c r="B1332" i="1"/>
  <c r="S1331" i="1"/>
  <c r="L1331" i="1"/>
  <c r="K1331" i="1"/>
  <c r="J1331" i="1"/>
  <c r="H1331" i="1"/>
  <c r="G1331" i="1"/>
  <c r="F1331" i="1"/>
  <c r="D1331" i="1"/>
  <c r="B1331" i="1"/>
  <c r="S1330" i="1"/>
  <c r="L1330" i="1"/>
  <c r="K1330" i="1"/>
  <c r="J1330" i="1"/>
  <c r="H1330" i="1"/>
  <c r="G1330" i="1"/>
  <c r="F1330" i="1"/>
  <c r="D1330" i="1"/>
  <c r="B1330" i="1"/>
  <c r="S1329" i="1"/>
  <c r="L1329" i="1"/>
  <c r="K1329" i="1"/>
  <c r="J1329" i="1"/>
  <c r="H1329" i="1"/>
  <c r="G1329" i="1"/>
  <c r="F1329" i="1"/>
  <c r="D1329" i="1"/>
  <c r="B1329" i="1"/>
  <c r="S1328" i="1"/>
  <c r="L1328" i="1"/>
  <c r="K1328" i="1"/>
  <c r="J1328" i="1"/>
  <c r="H1328" i="1"/>
  <c r="G1328" i="1"/>
  <c r="F1328" i="1"/>
  <c r="D1328" i="1"/>
  <c r="B1328" i="1"/>
  <c r="S1327" i="1"/>
  <c r="L1327" i="1"/>
  <c r="K1327" i="1"/>
  <c r="J1327" i="1"/>
  <c r="H1327" i="1"/>
  <c r="G1327" i="1"/>
  <c r="F1327" i="1"/>
  <c r="D1327" i="1"/>
  <c r="B1327" i="1"/>
  <c r="S1326" i="1"/>
  <c r="L1326" i="1"/>
  <c r="K1326" i="1"/>
  <c r="J1326" i="1"/>
  <c r="H1326" i="1"/>
  <c r="G1326" i="1"/>
  <c r="F1326" i="1"/>
  <c r="D1326" i="1"/>
  <c r="B1326" i="1"/>
  <c r="S1325" i="1"/>
  <c r="L1325" i="1"/>
  <c r="K1325" i="1"/>
  <c r="J1325" i="1"/>
  <c r="H1325" i="1"/>
  <c r="G1325" i="1"/>
  <c r="F1325" i="1"/>
  <c r="D1325" i="1"/>
  <c r="B1325" i="1"/>
  <c r="S1324" i="1"/>
  <c r="L1324" i="1"/>
  <c r="K1324" i="1"/>
  <c r="J1324" i="1"/>
  <c r="H1324" i="1"/>
  <c r="G1324" i="1"/>
  <c r="F1324" i="1"/>
  <c r="D1324" i="1"/>
  <c r="B1324" i="1"/>
  <c r="S1323" i="1"/>
  <c r="L1323" i="1"/>
  <c r="K1323" i="1"/>
  <c r="J1323" i="1"/>
  <c r="H1323" i="1"/>
  <c r="G1323" i="1"/>
  <c r="F1323" i="1"/>
  <c r="D1323" i="1"/>
  <c r="B1323" i="1"/>
  <c r="S1322" i="1"/>
  <c r="L1322" i="1"/>
  <c r="K1322" i="1"/>
  <c r="J1322" i="1"/>
  <c r="H1322" i="1"/>
  <c r="G1322" i="1"/>
  <c r="F1322" i="1"/>
  <c r="D1322" i="1"/>
  <c r="B1322" i="1"/>
  <c r="S1321" i="1"/>
  <c r="L1321" i="1"/>
  <c r="K1321" i="1"/>
  <c r="J1321" i="1"/>
  <c r="H1321" i="1"/>
  <c r="G1321" i="1"/>
  <c r="F1321" i="1"/>
  <c r="D1321" i="1"/>
  <c r="B1321" i="1"/>
  <c r="S1320" i="1"/>
  <c r="L1320" i="1"/>
  <c r="K1320" i="1"/>
  <c r="J1320" i="1"/>
  <c r="H1320" i="1"/>
  <c r="G1320" i="1"/>
  <c r="F1320" i="1"/>
  <c r="D1320" i="1"/>
  <c r="B1320" i="1"/>
  <c r="S1319" i="1"/>
  <c r="L1319" i="1"/>
  <c r="K1319" i="1"/>
  <c r="J1319" i="1"/>
  <c r="H1319" i="1"/>
  <c r="G1319" i="1"/>
  <c r="F1319" i="1"/>
  <c r="D1319" i="1"/>
  <c r="B1319" i="1"/>
  <c r="S1318" i="1"/>
  <c r="L1318" i="1"/>
  <c r="K1318" i="1"/>
  <c r="J1318" i="1"/>
  <c r="H1318" i="1"/>
  <c r="G1318" i="1"/>
  <c r="F1318" i="1"/>
  <c r="D1318" i="1"/>
  <c r="B1318" i="1"/>
  <c r="S1317" i="1"/>
  <c r="L1317" i="1"/>
  <c r="K1317" i="1"/>
  <c r="J1317" i="1"/>
  <c r="I1317" i="1"/>
  <c r="H1317" i="1"/>
  <c r="G1317" i="1"/>
  <c r="F1317" i="1"/>
  <c r="D1317" i="1"/>
  <c r="B1317" i="1"/>
  <c r="S1316" i="1"/>
  <c r="Q1316" i="1"/>
  <c r="L1316" i="1"/>
  <c r="K1316" i="1"/>
  <c r="J1316" i="1"/>
  <c r="I1316" i="1"/>
  <c r="H1316" i="1"/>
  <c r="G1316" i="1"/>
  <c r="F1316" i="1"/>
  <c r="D1316" i="1"/>
  <c r="B1316" i="1"/>
  <c r="S1315" i="1"/>
  <c r="L1315" i="1"/>
  <c r="K1315" i="1"/>
  <c r="J1315" i="1"/>
  <c r="I1315" i="1"/>
  <c r="H1315" i="1"/>
  <c r="G1315" i="1"/>
  <c r="F1315" i="1"/>
  <c r="D1315" i="1"/>
  <c r="B1315" i="1"/>
  <c r="S1314" i="1"/>
  <c r="L1314" i="1"/>
  <c r="K1314" i="1"/>
  <c r="J1314" i="1"/>
  <c r="H1314" i="1"/>
  <c r="G1314" i="1"/>
  <c r="F1314" i="1"/>
  <c r="D1314" i="1"/>
  <c r="B1314" i="1"/>
  <c r="S1313" i="1"/>
  <c r="Q1313" i="1"/>
  <c r="L1313" i="1"/>
  <c r="K1313" i="1"/>
  <c r="J1313" i="1"/>
  <c r="H1313" i="1"/>
  <c r="G1313" i="1"/>
  <c r="F1313" i="1"/>
  <c r="D1313" i="1"/>
  <c r="B1313" i="1"/>
  <c r="S1312" i="1"/>
  <c r="Q1312" i="1"/>
  <c r="L1312" i="1"/>
  <c r="K1312" i="1"/>
  <c r="J1312" i="1"/>
  <c r="H1312" i="1"/>
  <c r="G1312" i="1"/>
  <c r="F1312" i="1"/>
  <c r="D1312" i="1"/>
  <c r="B1312" i="1"/>
  <c r="S1311" i="1"/>
  <c r="L1311" i="1"/>
  <c r="K1311" i="1"/>
  <c r="J1311" i="1"/>
  <c r="H1311" i="1"/>
  <c r="G1311" i="1"/>
  <c r="F1311" i="1"/>
  <c r="D1311" i="1"/>
  <c r="B1311" i="1"/>
  <c r="S1310" i="1"/>
  <c r="L1310" i="1"/>
  <c r="K1310" i="1"/>
  <c r="J1310" i="1"/>
  <c r="H1310" i="1"/>
  <c r="G1310" i="1"/>
  <c r="F1310" i="1"/>
  <c r="D1310" i="1"/>
  <c r="B1310" i="1"/>
  <c r="S1309" i="1"/>
  <c r="Q1309" i="1"/>
  <c r="L1309" i="1"/>
  <c r="K1309" i="1"/>
  <c r="J1309" i="1"/>
  <c r="H1309" i="1"/>
  <c r="G1309" i="1"/>
  <c r="F1309" i="1"/>
  <c r="D1309" i="1"/>
  <c r="B1309" i="1"/>
  <c r="S1308" i="1"/>
  <c r="L1308" i="1"/>
  <c r="K1308" i="1"/>
  <c r="J1308" i="1"/>
  <c r="H1308" i="1"/>
  <c r="G1308" i="1"/>
  <c r="F1308" i="1"/>
  <c r="D1308" i="1"/>
  <c r="B1308" i="1"/>
  <c r="S1307" i="1"/>
  <c r="L1307" i="1"/>
  <c r="K1307" i="1"/>
  <c r="J1307" i="1"/>
  <c r="H1307" i="1"/>
  <c r="G1307" i="1"/>
  <c r="F1307" i="1"/>
  <c r="D1307" i="1"/>
  <c r="B1307" i="1"/>
  <c r="S1306" i="1"/>
  <c r="L1306" i="1"/>
  <c r="K1306" i="1"/>
  <c r="J1306" i="1"/>
  <c r="H1306" i="1"/>
  <c r="G1306" i="1"/>
  <c r="F1306" i="1"/>
  <c r="D1306" i="1"/>
  <c r="B1306" i="1"/>
  <c r="S1305" i="1"/>
  <c r="L1305" i="1"/>
  <c r="K1305" i="1"/>
  <c r="J1305" i="1"/>
  <c r="H1305" i="1"/>
  <c r="G1305" i="1"/>
  <c r="F1305" i="1"/>
  <c r="D1305" i="1"/>
  <c r="B1305" i="1"/>
  <c r="S1304" i="1"/>
  <c r="L1304" i="1"/>
  <c r="K1304" i="1"/>
  <c r="J1304" i="1"/>
  <c r="H1304" i="1"/>
  <c r="G1304" i="1"/>
  <c r="F1304" i="1"/>
  <c r="D1304" i="1"/>
  <c r="B1304" i="1"/>
  <c r="S1303" i="1"/>
  <c r="L1303" i="1"/>
  <c r="K1303" i="1"/>
  <c r="J1303" i="1"/>
  <c r="H1303" i="1"/>
  <c r="G1303" i="1"/>
  <c r="F1303" i="1"/>
  <c r="D1303" i="1"/>
  <c r="B1303" i="1"/>
  <c r="S1302" i="1"/>
  <c r="L1302" i="1"/>
  <c r="K1302" i="1"/>
  <c r="J1302" i="1"/>
  <c r="H1302" i="1"/>
  <c r="G1302" i="1"/>
  <c r="F1302" i="1"/>
  <c r="D1302" i="1"/>
  <c r="B1302" i="1"/>
  <c r="S1301" i="1"/>
  <c r="L1301" i="1"/>
  <c r="K1301" i="1"/>
  <c r="J1301" i="1"/>
  <c r="H1301" i="1"/>
  <c r="G1301" i="1"/>
  <c r="F1301" i="1"/>
  <c r="D1301" i="1"/>
  <c r="B1301" i="1"/>
  <c r="S1300" i="1"/>
  <c r="Q1300" i="1"/>
  <c r="L1300" i="1"/>
  <c r="K1300" i="1"/>
  <c r="J1300" i="1"/>
  <c r="H1300" i="1"/>
  <c r="G1300" i="1"/>
  <c r="F1300" i="1"/>
  <c r="D1300" i="1"/>
  <c r="B1300" i="1"/>
  <c r="S1299" i="1"/>
  <c r="L1299" i="1"/>
  <c r="K1299" i="1"/>
  <c r="J1299" i="1"/>
  <c r="H1299" i="1"/>
  <c r="G1299" i="1"/>
  <c r="F1299" i="1"/>
  <c r="D1299" i="1"/>
  <c r="B1299" i="1"/>
  <c r="S1298" i="1"/>
  <c r="L1298" i="1"/>
  <c r="K1298" i="1"/>
  <c r="J1298" i="1"/>
  <c r="H1298" i="1"/>
  <c r="G1298" i="1"/>
  <c r="F1298" i="1"/>
  <c r="D1298" i="1"/>
  <c r="B1298" i="1"/>
  <c r="S1297" i="1"/>
  <c r="L1297" i="1"/>
  <c r="K1297" i="1"/>
  <c r="J1297" i="1"/>
  <c r="H1297" i="1"/>
  <c r="G1297" i="1"/>
  <c r="F1297" i="1"/>
  <c r="D1297" i="1"/>
  <c r="B1297" i="1"/>
  <c r="S1296" i="1"/>
  <c r="L1296" i="1"/>
  <c r="K1296" i="1"/>
  <c r="J1296" i="1"/>
  <c r="H1296" i="1"/>
  <c r="G1296" i="1"/>
  <c r="F1296" i="1"/>
  <c r="D1296" i="1"/>
  <c r="B1296" i="1"/>
  <c r="S1295" i="1"/>
  <c r="L1295" i="1"/>
  <c r="K1295" i="1"/>
  <c r="J1295" i="1"/>
  <c r="H1295" i="1"/>
  <c r="G1295" i="1"/>
  <c r="F1295" i="1"/>
  <c r="D1295" i="1"/>
  <c r="B1295" i="1"/>
  <c r="S1294" i="1"/>
  <c r="L1294" i="1"/>
  <c r="K1294" i="1"/>
  <c r="J1294" i="1"/>
  <c r="H1294" i="1"/>
  <c r="G1294" i="1"/>
  <c r="F1294" i="1"/>
  <c r="D1294" i="1"/>
  <c r="B1294" i="1"/>
  <c r="S1293" i="1"/>
  <c r="L1293" i="1"/>
  <c r="K1293" i="1"/>
  <c r="J1293" i="1"/>
  <c r="H1293" i="1"/>
  <c r="G1293" i="1"/>
  <c r="F1293" i="1"/>
  <c r="D1293" i="1"/>
  <c r="B1293" i="1"/>
  <c r="S1292" i="1"/>
  <c r="L1292" i="1"/>
  <c r="K1292" i="1"/>
  <c r="J1292" i="1"/>
  <c r="H1292" i="1"/>
  <c r="G1292" i="1"/>
  <c r="F1292" i="1"/>
  <c r="D1292" i="1"/>
  <c r="B1292" i="1"/>
  <c r="S1291" i="1"/>
  <c r="Q1291" i="1"/>
  <c r="L1291" i="1"/>
  <c r="K1291" i="1"/>
  <c r="J1291" i="1"/>
  <c r="H1291" i="1"/>
  <c r="G1291" i="1"/>
  <c r="F1291" i="1"/>
  <c r="D1291" i="1"/>
  <c r="B1291" i="1"/>
  <c r="S1290" i="1"/>
  <c r="Q1290" i="1"/>
  <c r="L1290" i="1"/>
  <c r="K1290" i="1"/>
  <c r="J1290" i="1"/>
  <c r="H1290" i="1"/>
  <c r="G1290" i="1"/>
  <c r="F1290" i="1"/>
  <c r="D1290" i="1"/>
  <c r="B1290" i="1"/>
  <c r="S1289" i="1"/>
  <c r="Q1289" i="1"/>
  <c r="L1289" i="1"/>
  <c r="K1289" i="1"/>
  <c r="J1289" i="1"/>
  <c r="H1289" i="1"/>
  <c r="G1289" i="1"/>
  <c r="F1289" i="1"/>
  <c r="D1289" i="1"/>
  <c r="B1289" i="1"/>
  <c r="S1288" i="1"/>
  <c r="Q1288" i="1"/>
  <c r="L1288" i="1"/>
  <c r="K1288" i="1"/>
  <c r="J1288" i="1"/>
  <c r="H1288" i="1"/>
  <c r="G1288" i="1"/>
  <c r="F1288" i="1"/>
  <c r="D1288" i="1"/>
  <c r="B1288" i="1"/>
  <c r="S1287" i="1"/>
  <c r="Q1287" i="1"/>
  <c r="L1287" i="1"/>
  <c r="K1287" i="1"/>
  <c r="J1287" i="1"/>
  <c r="H1287" i="1"/>
  <c r="G1287" i="1"/>
  <c r="F1287" i="1"/>
  <c r="D1287" i="1"/>
  <c r="B1287" i="1"/>
  <c r="S1286" i="1"/>
  <c r="Q1286" i="1"/>
  <c r="L1286" i="1"/>
  <c r="K1286" i="1"/>
  <c r="J1286" i="1"/>
  <c r="H1286" i="1"/>
  <c r="G1286" i="1"/>
  <c r="F1286" i="1"/>
  <c r="D1286" i="1"/>
  <c r="B1286" i="1"/>
  <c r="S1285" i="1"/>
  <c r="Q1285" i="1"/>
  <c r="L1285" i="1"/>
  <c r="K1285" i="1"/>
  <c r="J1285" i="1"/>
  <c r="H1285" i="1"/>
  <c r="G1285" i="1"/>
  <c r="F1285" i="1"/>
  <c r="D1285" i="1"/>
  <c r="B1285" i="1"/>
  <c r="S1284" i="1"/>
  <c r="Q1284" i="1"/>
  <c r="L1284" i="1"/>
  <c r="K1284" i="1"/>
  <c r="J1284" i="1"/>
  <c r="H1284" i="1"/>
  <c r="G1284" i="1"/>
  <c r="F1284" i="1"/>
  <c r="D1284" i="1"/>
  <c r="B1284" i="1"/>
  <c r="S1283" i="1"/>
  <c r="L1283" i="1"/>
  <c r="K1283" i="1"/>
  <c r="J1283" i="1"/>
  <c r="H1283" i="1"/>
  <c r="G1283" i="1"/>
  <c r="F1283" i="1"/>
  <c r="D1283" i="1"/>
  <c r="B1283" i="1"/>
  <c r="S1282" i="1"/>
  <c r="Q1282" i="1"/>
  <c r="L1282" i="1"/>
  <c r="K1282" i="1"/>
  <c r="J1282" i="1"/>
  <c r="H1282" i="1"/>
  <c r="G1282" i="1"/>
  <c r="F1282" i="1"/>
  <c r="D1282" i="1"/>
  <c r="B1282" i="1"/>
  <c r="S1281" i="1"/>
  <c r="L1281" i="1"/>
  <c r="K1281" i="1"/>
  <c r="J1281" i="1"/>
  <c r="H1281" i="1"/>
  <c r="G1281" i="1"/>
  <c r="F1281" i="1"/>
  <c r="D1281" i="1"/>
  <c r="B1281" i="1"/>
  <c r="S1280" i="1"/>
  <c r="L1280" i="1"/>
  <c r="K1280" i="1"/>
  <c r="J1280" i="1"/>
  <c r="H1280" i="1"/>
  <c r="G1280" i="1"/>
  <c r="F1280" i="1"/>
  <c r="D1280" i="1"/>
  <c r="B1280" i="1"/>
  <c r="S1279" i="1"/>
  <c r="L1279" i="1"/>
  <c r="K1279" i="1"/>
  <c r="J1279" i="1"/>
  <c r="H1279" i="1"/>
  <c r="G1279" i="1"/>
  <c r="F1279" i="1"/>
  <c r="D1279" i="1"/>
  <c r="B1279" i="1"/>
  <c r="S1278" i="1"/>
  <c r="L1278" i="1"/>
  <c r="K1278" i="1"/>
  <c r="J1278" i="1"/>
  <c r="H1278" i="1"/>
  <c r="G1278" i="1"/>
  <c r="F1278" i="1"/>
  <c r="D1278" i="1"/>
  <c r="B1278" i="1"/>
  <c r="S1277" i="1"/>
  <c r="L1277" i="1"/>
  <c r="K1277" i="1"/>
  <c r="J1277" i="1"/>
  <c r="H1277" i="1"/>
  <c r="G1277" i="1"/>
  <c r="F1277" i="1"/>
  <c r="D1277" i="1"/>
  <c r="B1277" i="1"/>
  <c r="S1276" i="1"/>
  <c r="Q1276" i="1"/>
  <c r="L1276" i="1"/>
  <c r="K1276" i="1"/>
  <c r="J1276" i="1"/>
  <c r="H1276" i="1"/>
  <c r="G1276" i="1"/>
  <c r="F1276" i="1"/>
  <c r="D1276" i="1"/>
  <c r="B1276" i="1"/>
  <c r="S1275" i="1"/>
  <c r="L1275" i="1"/>
  <c r="K1275" i="1"/>
  <c r="J1275" i="1"/>
  <c r="H1275" i="1"/>
  <c r="G1275" i="1"/>
  <c r="F1275" i="1"/>
  <c r="D1275" i="1"/>
  <c r="B1275" i="1"/>
  <c r="S1274" i="1"/>
  <c r="L1274" i="1"/>
  <c r="K1274" i="1"/>
  <c r="J1274" i="1"/>
  <c r="H1274" i="1"/>
  <c r="G1274" i="1"/>
  <c r="F1274" i="1"/>
  <c r="D1274" i="1"/>
  <c r="B1274" i="1"/>
  <c r="S1273" i="1"/>
  <c r="L1273" i="1"/>
  <c r="K1273" i="1"/>
  <c r="J1273" i="1"/>
  <c r="H1273" i="1"/>
  <c r="G1273" i="1"/>
  <c r="F1273" i="1"/>
  <c r="D1273" i="1"/>
  <c r="B1273" i="1"/>
  <c r="S1272" i="1"/>
  <c r="L1272" i="1"/>
  <c r="K1272" i="1"/>
  <c r="J1272" i="1"/>
  <c r="H1272" i="1"/>
  <c r="G1272" i="1"/>
  <c r="F1272" i="1"/>
  <c r="D1272" i="1"/>
  <c r="B1272" i="1"/>
  <c r="S1271" i="1"/>
  <c r="L1271" i="1"/>
  <c r="K1271" i="1"/>
  <c r="J1271" i="1"/>
  <c r="H1271" i="1"/>
  <c r="G1271" i="1"/>
  <c r="F1271" i="1"/>
  <c r="D1271" i="1"/>
  <c r="B1271" i="1"/>
  <c r="S1270" i="1"/>
  <c r="L1270" i="1"/>
  <c r="K1270" i="1"/>
  <c r="J1270" i="1"/>
  <c r="H1270" i="1"/>
  <c r="G1270" i="1"/>
  <c r="F1270" i="1"/>
  <c r="D1270" i="1"/>
  <c r="B1270" i="1"/>
  <c r="S1269" i="1"/>
  <c r="L1269" i="1"/>
  <c r="K1269" i="1"/>
  <c r="J1269" i="1"/>
  <c r="H1269" i="1"/>
  <c r="G1269" i="1"/>
  <c r="F1269" i="1"/>
  <c r="D1269" i="1"/>
  <c r="B1269" i="1"/>
  <c r="S1268" i="1"/>
  <c r="Q1268" i="1"/>
  <c r="L1268" i="1"/>
  <c r="K1268" i="1"/>
  <c r="J1268" i="1"/>
  <c r="H1268" i="1"/>
  <c r="G1268" i="1"/>
  <c r="F1268" i="1"/>
  <c r="D1268" i="1"/>
  <c r="B1268" i="1"/>
  <c r="S1267" i="1"/>
  <c r="Q1267" i="1"/>
  <c r="L1267" i="1"/>
  <c r="K1267" i="1"/>
  <c r="J1267" i="1"/>
  <c r="H1267" i="1"/>
  <c r="G1267" i="1"/>
  <c r="F1267" i="1"/>
  <c r="D1267" i="1"/>
  <c r="B1267" i="1"/>
  <c r="S1266" i="1"/>
  <c r="Q1266" i="1"/>
  <c r="L1266" i="1"/>
  <c r="K1266" i="1"/>
  <c r="J1266" i="1"/>
  <c r="H1266" i="1"/>
  <c r="G1266" i="1"/>
  <c r="F1266" i="1"/>
  <c r="D1266" i="1"/>
  <c r="B1266" i="1"/>
  <c r="S1265" i="1"/>
  <c r="Q1265" i="1"/>
  <c r="L1265" i="1"/>
  <c r="K1265" i="1"/>
  <c r="J1265" i="1"/>
  <c r="H1265" i="1"/>
  <c r="G1265" i="1"/>
  <c r="F1265" i="1"/>
  <c r="D1265" i="1"/>
  <c r="B1265" i="1"/>
  <c r="S1264" i="1"/>
  <c r="Q1264" i="1"/>
  <c r="L1264" i="1"/>
  <c r="K1264" i="1"/>
  <c r="J1264" i="1"/>
  <c r="H1264" i="1"/>
  <c r="G1264" i="1"/>
  <c r="F1264" i="1"/>
  <c r="D1264" i="1"/>
  <c r="B1264" i="1"/>
  <c r="S1263" i="1"/>
  <c r="Q1263" i="1"/>
  <c r="L1263" i="1"/>
  <c r="K1263" i="1"/>
  <c r="J1263" i="1"/>
  <c r="H1263" i="1"/>
  <c r="G1263" i="1"/>
  <c r="F1263" i="1"/>
  <c r="D1263" i="1"/>
  <c r="B1263" i="1"/>
  <c r="S1262" i="1"/>
  <c r="Q1262" i="1"/>
  <c r="L1262" i="1"/>
  <c r="K1262" i="1"/>
  <c r="J1262" i="1"/>
  <c r="H1262" i="1"/>
  <c r="G1262" i="1"/>
  <c r="F1262" i="1"/>
  <c r="D1262" i="1"/>
  <c r="B1262" i="1"/>
  <c r="S1261" i="1"/>
  <c r="Q1261" i="1"/>
  <c r="L1261" i="1"/>
  <c r="K1261" i="1"/>
  <c r="J1261" i="1"/>
  <c r="H1261" i="1"/>
  <c r="G1261" i="1"/>
  <c r="F1261" i="1"/>
  <c r="D1261" i="1"/>
  <c r="B1261" i="1"/>
  <c r="S1260" i="1"/>
  <c r="Q1260" i="1"/>
  <c r="L1260" i="1"/>
  <c r="K1260" i="1"/>
  <c r="J1260" i="1"/>
  <c r="H1260" i="1"/>
  <c r="G1260" i="1"/>
  <c r="F1260" i="1"/>
  <c r="D1260" i="1"/>
  <c r="B1260" i="1"/>
  <c r="S1259" i="1"/>
  <c r="L1259" i="1"/>
  <c r="K1259" i="1"/>
  <c r="J1259" i="1"/>
  <c r="H1259" i="1"/>
  <c r="G1259" i="1"/>
  <c r="F1259" i="1"/>
  <c r="D1259" i="1"/>
  <c r="B1259" i="1"/>
  <c r="S1258" i="1"/>
  <c r="Q1258" i="1"/>
  <c r="L1258" i="1"/>
  <c r="K1258" i="1"/>
  <c r="J1258" i="1"/>
  <c r="H1258" i="1"/>
  <c r="G1258" i="1"/>
  <c r="F1258" i="1"/>
  <c r="D1258" i="1"/>
  <c r="B1258" i="1"/>
  <c r="S1257" i="1"/>
  <c r="Q1257" i="1"/>
  <c r="L1257" i="1"/>
  <c r="K1257" i="1"/>
  <c r="J1257" i="1"/>
  <c r="H1257" i="1"/>
  <c r="G1257" i="1"/>
  <c r="F1257" i="1"/>
  <c r="D1257" i="1"/>
  <c r="B1257" i="1"/>
  <c r="S1256" i="1"/>
  <c r="Q1256" i="1"/>
  <c r="L1256" i="1"/>
  <c r="K1256" i="1"/>
  <c r="J1256" i="1"/>
  <c r="H1256" i="1"/>
  <c r="G1256" i="1"/>
  <c r="F1256" i="1"/>
  <c r="D1256" i="1"/>
  <c r="B1256" i="1"/>
  <c r="S1255" i="1"/>
  <c r="Q1255" i="1"/>
  <c r="L1255" i="1"/>
  <c r="K1255" i="1"/>
  <c r="J1255" i="1"/>
  <c r="H1255" i="1"/>
  <c r="G1255" i="1"/>
  <c r="F1255" i="1"/>
  <c r="D1255" i="1"/>
  <c r="B1255" i="1"/>
  <c r="S1254" i="1"/>
  <c r="Q1254" i="1"/>
  <c r="L1254" i="1"/>
  <c r="K1254" i="1"/>
  <c r="J1254" i="1"/>
  <c r="H1254" i="1"/>
  <c r="G1254" i="1"/>
  <c r="F1254" i="1"/>
  <c r="D1254" i="1"/>
  <c r="B1254" i="1"/>
  <c r="S1253" i="1"/>
  <c r="L1253" i="1"/>
  <c r="K1253" i="1"/>
  <c r="J1253" i="1"/>
  <c r="H1253" i="1"/>
  <c r="G1253" i="1"/>
  <c r="F1253" i="1"/>
  <c r="D1253" i="1"/>
  <c r="B1253" i="1"/>
  <c r="S1252" i="1"/>
  <c r="L1252" i="1"/>
  <c r="K1252" i="1"/>
  <c r="J1252" i="1"/>
  <c r="H1252" i="1"/>
  <c r="G1252" i="1"/>
  <c r="F1252" i="1"/>
  <c r="D1252" i="1"/>
  <c r="B1252" i="1"/>
  <c r="S1251" i="1"/>
  <c r="L1251" i="1"/>
  <c r="K1251" i="1"/>
  <c r="J1251" i="1"/>
  <c r="H1251" i="1"/>
  <c r="G1251" i="1"/>
  <c r="F1251" i="1"/>
  <c r="D1251" i="1"/>
  <c r="B1251" i="1"/>
  <c r="S1250" i="1"/>
  <c r="L1250" i="1"/>
  <c r="K1250" i="1"/>
  <c r="J1250" i="1"/>
  <c r="H1250" i="1"/>
  <c r="G1250" i="1"/>
  <c r="F1250" i="1"/>
  <c r="D1250" i="1"/>
  <c r="B1250" i="1"/>
  <c r="S1249" i="1"/>
  <c r="L1249" i="1"/>
  <c r="K1249" i="1"/>
  <c r="J1249" i="1"/>
  <c r="H1249" i="1"/>
  <c r="G1249" i="1"/>
  <c r="F1249" i="1"/>
  <c r="D1249" i="1"/>
  <c r="B1249" i="1"/>
  <c r="S1248" i="1"/>
  <c r="L1248" i="1"/>
  <c r="K1248" i="1"/>
  <c r="J1248" i="1"/>
  <c r="H1248" i="1"/>
  <c r="G1248" i="1"/>
  <c r="F1248" i="1"/>
  <c r="D1248" i="1"/>
  <c r="B1248" i="1"/>
  <c r="S1247" i="1"/>
  <c r="L1247" i="1"/>
  <c r="K1247" i="1"/>
  <c r="J1247" i="1"/>
  <c r="H1247" i="1"/>
  <c r="G1247" i="1"/>
  <c r="F1247" i="1"/>
  <c r="D1247" i="1"/>
  <c r="B1247" i="1"/>
  <c r="S1246" i="1"/>
  <c r="Q1246" i="1"/>
  <c r="L1246" i="1"/>
  <c r="K1246" i="1"/>
  <c r="J1246" i="1"/>
  <c r="I1246" i="1"/>
  <c r="H1246" i="1"/>
  <c r="G1246" i="1"/>
  <c r="F1246" i="1"/>
  <c r="D1246" i="1"/>
  <c r="B1246" i="1"/>
  <c r="S1245" i="1"/>
  <c r="Q1245" i="1"/>
  <c r="L1245" i="1"/>
  <c r="K1245" i="1"/>
  <c r="J1245" i="1"/>
  <c r="I1245" i="1"/>
  <c r="H1245" i="1"/>
  <c r="G1245" i="1"/>
  <c r="F1245" i="1"/>
  <c r="D1245" i="1"/>
  <c r="B1245" i="1"/>
  <c r="S1244" i="1"/>
  <c r="L1244" i="1"/>
  <c r="K1244" i="1"/>
  <c r="J1244" i="1"/>
  <c r="H1244" i="1"/>
  <c r="G1244" i="1"/>
  <c r="F1244" i="1"/>
  <c r="D1244" i="1"/>
  <c r="B1244" i="1"/>
  <c r="S1243" i="1"/>
  <c r="Q1243" i="1"/>
  <c r="L1243" i="1"/>
  <c r="K1243" i="1"/>
  <c r="J1243" i="1"/>
  <c r="H1243" i="1"/>
  <c r="G1243" i="1"/>
  <c r="F1243" i="1"/>
  <c r="D1243" i="1"/>
  <c r="B1243" i="1"/>
  <c r="S1242" i="1"/>
  <c r="L1242" i="1"/>
  <c r="K1242" i="1"/>
  <c r="J1242" i="1"/>
  <c r="H1242" i="1"/>
  <c r="G1242" i="1"/>
  <c r="F1242" i="1"/>
  <c r="D1242" i="1"/>
  <c r="B1242" i="1"/>
  <c r="S1241" i="1"/>
  <c r="L1241" i="1"/>
  <c r="K1241" i="1"/>
  <c r="J1241" i="1"/>
  <c r="H1241" i="1"/>
  <c r="G1241" i="1"/>
  <c r="F1241" i="1"/>
  <c r="D1241" i="1"/>
  <c r="B1241" i="1"/>
  <c r="S1240" i="1"/>
  <c r="L1240" i="1"/>
  <c r="K1240" i="1"/>
  <c r="J1240" i="1"/>
  <c r="H1240" i="1"/>
  <c r="G1240" i="1"/>
  <c r="F1240" i="1"/>
  <c r="D1240" i="1"/>
  <c r="B1240" i="1"/>
  <c r="S1239" i="1"/>
  <c r="L1239" i="1"/>
  <c r="K1239" i="1"/>
  <c r="J1239" i="1"/>
  <c r="H1239" i="1"/>
  <c r="G1239" i="1"/>
  <c r="F1239" i="1"/>
  <c r="D1239" i="1"/>
  <c r="B1239" i="1"/>
  <c r="S1238" i="1"/>
  <c r="L1238" i="1"/>
  <c r="K1238" i="1"/>
  <c r="J1238" i="1"/>
  <c r="H1238" i="1"/>
  <c r="G1238" i="1"/>
  <c r="F1238" i="1"/>
  <c r="D1238" i="1"/>
  <c r="B1238" i="1"/>
  <c r="S1237" i="1"/>
  <c r="L1237" i="1"/>
  <c r="K1237" i="1"/>
  <c r="J1237" i="1"/>
  <c r="H1237" i="1"/>
  <c r="G1237" i="1"/>
  <c r="F1237" i="1"/>
  <c r="D1237" i="1"/>
  <c r="B1237" i="1"/>
  <c r="S1236" i="1"/>
  <c r="Q1236" i="1"/>
  <c r="L1236" i="1"/>
  <c r="K1236" i="1"/>
  <c r="J1236" i="1"/>
  <c r="I1236" i="1"/>
  <c r="H1236" i="1"/>
  <c r="G1236" i="1"/>
  <c r="F1236" i="1"/>
  <c r="D1236" i="1"/>
  <c r="B1236" i="1"/>
  <c r="S1235" i="1"/>
  <c r="Q1235" i="1"/>
  <c r="L1235" i="1"/>
  <c r="K1235" i="1"/>
  <c r="J1235" i="1"/>
  <c r="H1235" i="1"/>
  <c r="G1235" i="1"/>
  <c r="F1235" i="1"/>
  <c r="D1235" i="1"/>
  <c r="B1235" i="1"/>
  <c r="S1234" i="1"/>
  <c r="L1234" i="1"/>
  <c r="K1234" i="1"/>
  <c r="J1234" i="1"/>
  <c r="H1234" i="1"/>
  <c r="G1234" i="1"/>
  <c r="F1234" i="1"/>
  <c r="D1234" i="1"/>
  <c r="B1234" i="1"/>
  <c r="S1233" i="1"/>
  <c r="L1233" i="1"/>
  <c r="K1233" i="1"/>
  <c r="J1233" i="1"/>
  <c r="H1233" i="1"/>
  <c r="G1233" i="1"/>
  <c r="F1233" i="1"/>
  <c r="D1233" i="1"/>
  <c r="B1233" i="1"/>
  <c r="S1232" i="1"/>
  <c r="L1232" i="1"/>
  <c r="K1232" i="1"/>
  <c r="J1232" i="1"/>
  <c r="H1232" i="1"/>
  <c r="G1232" i="1"/>
  <c r="F1232" i="1"/>
  <c r="D1232" i="1"/>
  <c r="B1232" i="1"/>
  <c r="S1231" i="1"/>
  <c r="L1231" i="1"/>
  <c r="K1231" i="1"/>
  <c r="J1231" i="1"/>
  <c r="H1231" i="1"/>
  <c r="G1231" i="1"/>
  <c r="F1231" i="1"/>
  <c r="D1231" i="1"/>
  <c r="B1231" i="1"/>
  <c r="S1230" i="1"/>
  <c r="L1230" i="1"/>
  <c r="K1230" i="1"/>
  <c r="J1230" i="1"/>
  <c r="H1230" i="1"/>
  <c r="G1230" i="1"/>
  <c r="F1230" i="1"/>
  <c r="D1230" i="1"/>
  <c r="B1230" i="1"/>
  <c r="S1229" i="1"/>
  <c r="L1229" i="1"/>
  <c r="K1229" i="1"/>
  <c r="J1229" i="1"/>
  <c r="H1229" i="1"/>
  <c r="G1229" i="1"/>
  <c r="F1229" i="1"/>
  <c r="D1229" i="1"/>
  <c r="B1229" i="1"/>
  <c r="S1228" i="1"/>
  <c r="L1228" i="1"/>
  <c r="K1228" i="1"/>
  <c r="J1228" i="1"/>
  <c r="H1228" i="1"/>
  <c r="G1228" i="1"/>
  <c r="F1228" i="1"/>
  <c r="D1228" i="1"/>
  <c r="B1228" i="1"/>
  <c r="S1227" i="1"/>
  <c r="L1227" i="1"/>
  <c r="K1227" i="1"/>
  <c r="J1227" i="1"/>
  <c r="H1227" i="1"/>
  <c r="G1227" i="1"/>
  <c r="F1227" i="1"/>
  <c r="D1227" i="1"/>
  <c r="B1227" i="1"/>
  <c r="S1226" i="1"/>
  <c r="Q1226" i="1"/>
  <c r="L1226" i="1"/>
  <c r="K1226" i="1"/>
  <c r="J1226" i="1"/>
  <c r="I1226" i="1"/>
  <c r="H1226" i="1"/>
  <c r="G1226" i="1"/>
  <c r="F1226" i="1"/>
  <c r="D1226" i="1"/>
  <c r="B1226" i="1"/>
  <c r="S1225" i="1"/>
  <c r="L1225" i="1"/>
  <c r="K1225" i="1"/>
  <c r="J1225" i="1"/>
  <c r="H1225" i="1"/>
  <c r="G1225" i="1"/>
  <c r="F1225" i="1"/>
  <c r="D1225" i="1"/>
  <c r="B1225" i="1"/>
  <c r="S1224" i="1"/>
  <c r="L1224" i="1"/>
  <c r="K1224" i="1"/>
  <c r="J1224" i="1"/>
  <c r="H1224" i="1"/>
  <c r="G1224" i="1"/>
  <c r="F1224" i="1"/>
  <c r="D1224" i="1"/>
  <c r="B1224" i="1"/>
  <c r="S1223" i="1"/>
  <c r="L1223" i="1"/>
  <c r="K1223" i="1"/>
  <c r="J1223" i="1"/>
  <c r="H1223" i="1"/>
  <c r="G1223" i="1"/>
  <c r="F1223" i="1"/>
  <c r="D1223" i="1"/>
  <c r="B1223" i="1"/>
  <c r="S1222" i="1"/>
  <c r="L1222" i="1"/>
  <c r="K1222" i="1"/>
  <c r="J1222" i="1"/>
  <c r="H1222" i="1"/>
  <c r="G1222" i="1"/>
  <c r="F1222" i="1"/>
  <c r="D1222" i="1"/>
  <c r="B1222" i="1"/>
  <c r="S1221" i="1"/>
  <c r="Q1221" i="1"/>
  <c r="L1221" i="1"/>
  <c r="K1221" i="1"/>
  <c r="J1221" i="1"/>
  <c r="H1221" i="1"/>
  <c r="G1221" i="1"/>
  <c r="F1221" i="1"/>
  <c r="D1221" i="1"/>
  <c r="B1221" i="1"/>
  <c r="S1220" i="1"/>
  <c r="L1220" i="1"/>
  <c r="K1220" i="1"/>
  <c r="J1220" i="1"/>
  <c r="H1220" i="1"/>
  <c r="G1220" i="1"/>
  <c r="F1220" i="1"/>
  <c r="D1220" i="1"/>
  <c r="B1220" i="1"/>
  <c r="S1219" i="1"/>
  <c r="L1219" i="1"/>
  <c r="K1219" i="1"/>
  <c r="J1219" i="1"/>
  <c r="H1219" i="1"/>
  <c r="G1219" i="1"/>
  <c r="F1219" i="1"/>
  <c r="D1219" i="1"/>
  <c r="B1219" i="1"/>
  <c r="S1218" i="1"/>
  <c r="L1218" i="1"/>
  <c r="K1218" i="1"/>
  <c r="J1218" i="1"/>
  <c r="H1218" i="1"/>
  <c r="G1218" i="1"/>
  <c r="F1218" i="1"/>
  <c r="D1218" i="1"/>
  <c r="B1218" i="1"/>
  <c r="S1217" i="1"/>
  <c r="Q1217" i="1"/>
  <c r="L1217" i="1"/>
  <c r="K1217" i="1"/>
  <c r="J1217" i="1"/>
  <c r="H1217" i="1"/>
  <c r="G1217" i="1"/>
  <c r="F1217" i="1"/>
  <c r="D1217" i="1"/>
  <c r="B1217" i="1"/>
  <c r="S1216" i="1"/>
  <c r="Q1216" i="1"/>
  <c r="L1216" i="1"/>
  <c r="K1216" i="1"/>
  <c r="J1216" i="1"/>
  <c r="H1216" i="1"/>
  <c r="G1216" i="1"/>
  <c r="F1216" i="1"/>
  <c r="D1216" i="1"/>
  <c r="B1216" i="1"/>
  <c r="S1215" i="1"/>
  <c r="Q1215" i="1"/>
  <c r="L1215" i="1"/>
  <c r="K1215" i="1"/>
  <c r="J1215" i="1"/>
  <c r="H1215" i="1"/>
  <c r="G1215" i="1"/>
  <c r="F1215" i="1"/>
  <c r="D1215" i="1"/>
  <c r="B1215" i="1"/>
  <c r="S1214" i="1"/>
  <c r="Q1214" i="1"/>
  <c r="L1214" i="1"/>
  <c r="K1214" i="1"/>
  <c r="J1214" i="1"/>
  <c r="H1214" i="1"/>
  <c r="G1214" i="1"/>
  <c r="F1214" i="1"/>
  <c r="D1214" i="1"/>
  <c r="B1214" i="1"/>
  <c r="S1213" i="1"/>
  <c r="Q1213" i="1"/>
  <c r="L1213" i="1"/>
  <c r="K1213" i="1"/>
  <c r="J1213" i="1"/>
  <c r="H1213" i="1"/>
  <c r="G1213" i="1"/>
  <c r="F1213" i="1"/>
  <c r="D1213" i="1"/>
  <c r="B1213" i="1"/>
  <c r="S1212" i="1"/>
  <c r="Q1212" i="1"/>
  <c r="L1212" i="1"/>
  <c r="K1212" i="1"/>
  <c r="J1212" i="1"/>
  <c r="H1212" i="1"/>
  <c r="G1212" i="1"/>
  <c r="F1212" i="1"/>
  <c r="D1212" i="1"/>
  <c r="B1212" i="1"/>
  <c r="S1211" i="1"/>
  <c r="Q1211" i="1"/>
  <c r="L1211" i="1"/>
  <c r="K1211" i="1"/>
  <c r="J1211" i="1"/>
  <c r="H1211" i="1"/>
  <c r="G1211" i="1"/>
  <c r="F1211" i="1"/>
  <c r="D1211" i="1"/>
  <c r="B1211" i="1"/>
  <c r="S1210" i="1"/>
  <c r="Q1210" i="1"/>
  <c r="L1210" i="1"/>
  <c r="K1210" i="1"/>
  <c r="J1210" i="1"/>
  <c r="H1210" i="1"/>
  <c r="G1210" i="1"/>
  <c r="F1210" i="1"/>
  <c r="D1210" i="1"/>
  <c r="B1210" i="1"/>
  <c r="S1209" i="1"/>
  <c r="Q1209" i="1"/>
  <c r="L1209" i="1"/>
  <c r="K1209" i="1"/>
  <c r="J1209" i="1"/>
  <c r="H1209" i="1"/>
  <c r="G1209" i="1"/>
  <c r="F1209" i="1"/>
  <c r="D1209" i="1"/>
  <c r="B1209" i="1"/>
  <c r="S1208" i="1"/>
  <c r="Q1208" i="1"/>
  <c r="L1208" i="1"/>
  <c r="K1208" i="1"/>
  <c r="J1208" i="1"/>
  <c r="H1208" i="1"/>
  <c r="G1208" i="1"/>
  <c r="F1208" i="1"/>
  <c r="D1208" i="1"/>
  <c r="B1208" i="1"/>
  <c r="S1207" i="1"/>
  <c r="Q1207" i="1"/>
  <c r="L1207" i="1"/>
  <c r="K1207" i="1"/>
  <c r="J1207" i="1"/>
  <c r="H1207" i="1"/>
  <c r="G1207" i="1"/>
  <c r="F1207" i="1"/>
  <c r="D1207" i="1"/>
  <c r="B1207" i="1"/>
  <c r="S1206" i="1"/>
  <c r="Q1206" i="1"/>
  <c r="L1206" i="1"/>
  <c r="K1206" i="1"/>
  <c r="J1206" i="1"/>
  <c r="H1206" i="1"/>
  <c r="G1206" i="1"/>
  <c r="F1206" i="1"/>
  <c r="D1206" i="1"/>
  <c r="B1206" i="1"/>
  <c r="S1205" i="1"/>
  <c r="L1205" i="1"/>
  <c r="K1205" i="1"/>
  <c r="J1205" i="1"/>
  <c r="H1205" i="1"/>
  <c r="G1205" i="1"/>
  <c r="F1205" i="1"/>
  <c r="D1205" i="1"/>
  <c r="B1205" i="1"/>
  <c r="S1204" i="1"/>
  <c r="Q1204" i="1"/>
  <c r="L1204" i="1"/>
  <c r="K1204" i="1"/>
  <c r="J1204" i="1"/>
  <c r="H1204" i="1"/>
  <c r="G1204" i="1"/>
  <c r="F1204" i="1"/>
  <c r="D1204" i="1"/>
  <c r="B1204" i="1"/>
  <c r="S1203" i="1"/>
  <c r="L1203" i="1"/>
  <c r="K1203" i="1"/>
  <c r="J1203" i="1"/>
  <c r="H1203" i="1"/>
  <c r="G1203" i="1"/>
  <c r="F1203" i="1"/>
  <c r="D1203" i="1"/>
  <c r="B1203" i="1"/>
  <c r="S1202" i="1"/>
  <c r="Q1202" i="1"/>
  <c r="L1202" i="1"/>
  <c r="K1202" i="1"/>
  <c r="J1202" i="1"/>
  <c r="H1202" i="1"/>
  <c r="G1202" i="1"/>
  <c r="F1202" i="1"/>
  <c r="D1202" i="1"/>
  <c r="B1202" i="1"/>
  <c r="S1201" i="1"/>
  <c r="L1201" i="1"/>
  <c r="K1201" i="1"/>
  <c r="J1201" i="1"/>
  <c r="H1201" i="1"/>
  <c r="G1201" i="1"/>
  <c r="F1201" i="1"/>
  <c r="D1201" i="1"/>
  <c r="B1201" i="1"/>
  <c r="S1200" i="1"/>
  <c r="L1200" i="1"/>
  <c r="K1200" i="1"/>
  <c r="J1200" i="1"/>
  <c r="H1200" i="1"/>
  <c r="G1200" i="1"/>
  <c r="F1200" i="1"/>
  <c r="D1200" i="1"/>
  <c r="B1200" i="1"/>
  <c r="S1199" i="1"/>
  <c r="Q1199" i="1"/>
  <c r="L1199" i="1"/>
  <c r="K1199" i="1"/>
  <c r="J1199" i="1"/>
  <c r="H1199" i="1"/>
  <c r="G1199" i="1"/>
  <c r="F1199" i="1"/>
  <c r="D1199" i="1"/>
  <c r="B1199" i="1"/>
  <c r="S1198" i="1"/>
  <c r="Q1198" i="1"/>
  <c r="L1198" i="1"/>
  <c r="K1198" i="1"/>
  <c r="J1198" i="1"/>
  <c r="H1198" i="1"/>
  <c r="G1198" i="1"/>
  <c r="F1198" i="1"/>
  <c r="D1198" i="1"/>
  <c r="B1198" i="1"/>
  <c r="S1197" i="1"/>
  <c r="Q1197" i="1"/>
  <c r="L1197" i="1"/>
  <c r="K1197" i="1"/>
  <c r="J1197" i="1"/>
  <c r="H1197" i="1"/>
  <c r="G1197" i="1"/>
  <c r="F1197" i="1"/>
  <c r="D1197" i="1"/>
  <c r="B1197" i="1"/>
  <c r="S1196" i="1"/>
  <c r="Q1196" i="1"/>
  <c r="L1196" i="1"/>
  <c r="K1196" i="1"/>
  <c r="J1196" i="1"/>
  <c r="H1196" i="1"/>
  <c r="G1196" i="1"/>
  <c r="F1196" i="1"/>
  <c r="D1196" i="1"/>
  <c r="B1196" i="1"/>
  <c r="S1195" i="1"/>
  <c r="Q1195" i="1"/>
  <c r="L1195" i="1"/>
  <c r="K1195" i="1"/>
  <c r="J1195" i="1"/>
  <c r="H1195" i="1"/>
  <c r="G1195" i="1"/>
  <c r="F1195" i="1"/>
  <c r="D1195" i="1"/>
  <c r="B1195" i="1"/>
  <c r="S1194" i="1"/>
  <c r="Q1194" i="1"/>
  <c r="L1194" i="1"/>
  <c r="K1194" i="1"/>
  <c r="J1194" i="1"/>
  <c r="H1194" i="1"/>
  <c r="G1194" i="1"/>
  <c r="F1194" i="1"/>
  <c r="D1194" i="1"/>
  <c r="B1194" i="1"/>
  <c r="S1193" i="1"/>
  <c r="Q1193" i="1"/>
  <c r="L1193" i="1"/>
  <c r="K1193" i="1"/>
  <c r="J1193" i="1"/>
  <c r="H1193" i="1"/>
  <c r="G1193" i="1"/>
  <c r="F1193" i="1"/>
  <c r="D1193" i="1"/>
  <c r="B1193" i="1"/>
  <c r="S1192" i="1"/>
  <c r="Q1192" i="1"/>
  <c r="L1192" i="1"/>
  <c r="K1192" i="1"/>
  <c r="J1192" i="1"/>
  <c r="H1192" i="1"/>
  <c r="G1192" i="1"/>
  <c r="F1192" i="1"/>
  <c r="D1192" i="1"/>
  <c r="B1192" i="1"/>
  <c r="S1191" i="1"/>
  <c r="Q1191" i="1"/>
  <c r="L1191" i="1"/>
  <c r="K1191" i="1"/>
  <c r="J1191" i="1"/>
  <c r="H1191" i="1"/>
  <c r="G1191" i="1"/>
  <c r="F1191" i="1"/>
  <c r="D1191" i="1"/>
  <c r="B1191" i="1"/>
  <c r="S1190" i="1"/>
  <c r="Q1190" i="1"/>
  <c r="L1190" i="1"/>
  <c r="K1190" i="1"/>
  <c r="J1190" i="1"/>
  <c r="H1190" i="1"/>
  <c r="G1190" i="1"/>
  <c r="F1190" i="1"/>
  <c r="D1190" i="1"/>
  <c r="B1190" i="1"/>
  <c r="S1189" i="1"/>
  <c r="L1189" i="1"/>
  <c r="K1189" i="1"/>
  <c r="J1189" i="1"/>
  <c r="H1189" i="1"/>
  <c r="G1189" i="1"/>
  <c r="F1189" i="1"/>
  <c r="D1189" i="1"/>
  <c r="B1189" i="1"/>
  <c r="S1188" i="1"/>
  <c r="Q1188" i="1"/>
  <c r="L1188" i="1"/>
  <c r="K1188" i="1"/>
  <c r="J1188" i="1"/>
  <c r="H1188" i="1"/>
  <c r="G1188" i="1"/>
  <c r="F1188" i="1"/>
  <c r="D1188" i="1"/>
  <c r="B1188" i="1"/>
  <c r="S1187" i="1"/>
  <c r="Q1187" i="1"/>
  <c r="L1187" i="1"/>
  <c r="K1187" i="1"/>
  <c r="J1187" i="1"/>
  <c r="H1187" i="1"/>
  <c r="G1187" i="1"/>
  <c r="F1187" i="1"/>
  <c r="D1187" i="1"/>
  <c r="B1187" i="1"/>
  <c r="S1186" i="1"/>
  <c r="L1186" i="1"/>
  <c r="K1186" i="1"/>
  <c r="J1186" i="1"/>
  <c r="H1186" i="1"/>
  <c r="G1186" i="1"/>
  <c r="F1186" i="1"/>
  <c r="D1186" i="1"/>
  <c r="B1186" i="1"/>
  <c r="S1185" i="1"/>
  <c r="Q1185" i="1"/>
  <c r="L1185" i="1"/>
  <c r="K1185" i="1"/>
  <c r="J1185" i="1"/>
  <c r="H1185" i="1"/>
  <c r="G1185" i="1"/>
  <c r="F1185" i="1"/>
  <c r="D1185" i="1"/>
  <c r="B1185" i="1"/>
  <c r="S1184" i="1"/>
  <c r="L1184" i="1"/>
  <c r="K1184" i="1"/>
  <c r="J1184" i="1"/>
  <c r="H1184" i="1"/>
  <c r="G1184" i="1"/>
  <c r="F1184" i="1"/>
  <c r="D1184" i="1"/>
  <c r="B1184" i="1"/>
  <c r="S1183" i="1"/>
  <c r="L1183" i="1"/>
  <c r="K1183" i="1"/>
  <c r="J1183" i="1"/>
  <c r="I1183" i="1"/>
  <c r="H1183" i="1"/>
  <c r="F1183" i="1"/>
  <c r="D1183" i="1"/>
  <c r="B1183" i="1"/>
  <c r="S1182" i="1"/>
  <c r="L1182" i="1"/>
  <c r="K1182" i="1"/>
  <c r="J1182" i="1"/>
  <c r="H1182" i="1"/>
  <c r="G1182" i="1"/>
  <c r="F1182" i="1"/>
  <c r="D1182" i="1"/>
  <c r="B1182" i="1"/>
  <c r="S1181" i="1"/>
  <c r="L1181" i="1"/>
  <c r="K1181" i="1"/>
  <c r="J1181" i="1"/>
  <c r="H1181" i="1"/>
  <c r="G1181" i="1"/>
  <c r="F1181" i="1"/>
  <c r="D1181" i="1"/>
  <c r="B1181" i="1"/>
  <c r="S1180" i="1"/>
  <c r="L1180" i="1"/>
  <c r="K1180" i="1"/>
  <c r="J1180" i="1"/>
  <c r="H1180" i="1"/>
  <c r="G1180" i="1"/>
  <c r="F1180" i="1"/>
  <c r="D1180" i="1"/>
  <c r="B1180" i="1"/>
  <c r="S1179" i="1"/>
  <c r="L1179" i="1"/>
  <c r="K1179" i="1"/>
  <c r="J1179" i="1"/>
  <c r="H1179" i="1"/>
  <c r="G1179" i="1"/>
  <c r="F1179" i="1"/>
  <c r="D1179" i="1"/>
  <c r="B1179" i="1"/>
  <c r="S1178" i="1"/>
  <c r="L1178" i="1"/>
  <c r="K1178" i="1"/>
  <c r="J1178" i="1"/>
  <c r="H1178" i="1"/>
  <c r="G1178" i="1"/>
  <c r="F1178" i="1"/>
  <c r="D1178" i="1"/>
  <c r="B1178" i="1"/>
  <c r="S1177" i="1"/>
  <c r="L1177" i="1"/>
  <c r="K1177" i="1"/>
  <c r="J1177" i="1"/>
  <c r="H1177" i="1"/>
  <c r="G1177" i="1"/>
  <c r="F1177" i="1"/>
  <c r="D1177" i="1"/>
  <c r="B1177" i="1"/>
  <c r="S1176" i="1"/>
  <c r="L1176" i="1"/>
  <c r="K1176" i="1"/>
  <c r="J1176" i="1"/>
  <c r="H1176" i="1"/>
  <c r="G1176" i="1"/>
  <c r="F1176" i="1"/>
  <c r="D1176" i="1"/>
  <c r="B1176" i="1"/>
  <c r="S1175" i="1"/>
  <c r="L1175" i="1"/>
  <c r="K1175" i="1"/>
  <c r="J1175" i="1"/>
  <c r="H1175" i="1"/>
  <c r="G1175" i="1"/>
  <c r="F1175" i="1"/>
  <c r="D1175" i="1"/>
  <c r="B1175" i="1"/>
  <c r="S1174" i="1"/>
  <c r="L1174" i="1"/>
  <c r="K1174" i="1"/>
  <c r="J1174" i="1"/>
  <c r="H1174" i="1"/>
  <c r="G1174" i="1"/>
  <c r="F1174" i="1"/>
  <c r="D1174" i="1"/>
  <c r="B1174" i="1"/>
  <c r="S1173" i="1"/>
  <c r="L1173" i="1"/>
  <c r="K1173" i="1"/>
  <c r="J1173" i="1"/>
  <c r="H1173" i="1"/>
  <c r="G1173" i="1"/>
  <c r="F1173" i="1"/>
  <c r="D1173" i="1"/>
  <c r="B1173" i="1"/>
  <c r="S1172" i="1"/>
  <c r="L1172" i="1"/>
  <c r="K1172" i="1"/>
  <c r="J1172" i="1"/>
  <c r="H1172" i="1"/>
  <c r="G1172" i="1"/>
  <c r="F1172" i="1"/>
  <c r="D1172" i="1"/>
  <c r="B1172" i="1"/>
  <c r="S1171" i="1"/>
  <c r="L1171" i="1"/>
  <c r="K1171" i="1"/>
  <c r="J1171" i="1"/>
  <c r="H1171" i="1"/>
  <c r="G1171" i="1"/>
  <c r="F1171" i="1"/>
  <c r="D1171" i="1"/>
  <c r="B1171" i="1"/>
  <c r="S1170" i="1"/>
  <c r="Q1170" i="1"/>
  <c r="L1170" i="1"/>
  <c r="K1170" i="1"/>
  <c r="J1170" i="1"/>
  <c r="H1170" i="1"/>
  <c r="G1170" i="1"/>
  <c r="F1170" i="1"/>
  <c r="D1170" i="1"/>
  <c r="B1170" i="1"/>
  <c r="S1169" i="1"/>
  <c r="L1169" i="1"/>
  <c r="K1169" i="1"/>
  <c r="J1169" i="1"/>
  <c r="H1169" i="1"/>
  <c r="G1169" i="1"/>
  <c r="F1169" i="1"/>
  <c r="D1169" i="1"/>
  <c r="B1169" i="1"/>
  <c r="S1168" i="1"/>
  <c r="L1168" i="1"/>
  <c r="K1168" i="1"/>
  <c r="J1168" i="1"/>
  <c r="H1168" i="1"/>
  <c r="G1168" i="1"/>
  <c r="F1168" i="1"/>
  <c r="D1168" i="1"/>
  <c r="B1168" i="1"/>
  <c r="S1167" i="1"/>
  <c r="Q1167" i="1"/>
  <c r="L1167" i="1"/>
  <c r="K1167" i="1"/>
  <c r="J1167" i="1"/>
  <c r="I1167" i="1"/>
  <c r="H1167" i="1"/>
  <c r="G1167" i="1"/>
  <c r="F1167" i="1"/>
  <c r="D1167" i="1"/>
  <c r="B1167" i="1"/>
  <c r="S1166" i="1"/>
  <c r="Q1166" i="1"/>
  <c r="L1166" i="1"/>
  <c r="K1166" i="1"/>
  <c r="J1166" i="1"/>
  <c r="I1166" i="1"/>
  <c r="H1166" i="1"/>
  <c r="G1166" i="1"/>
  <c r="F1166" i="1"/>
  <c r="D1166" i="1"/>
  <c r="B1166" i="1"/>
  <c r="S1165" i="1"/>
  <c r="Q1165" i="1"/>
  <c r="L1165" i="1"/>
  <c r="K1165" i="1"/>
  <c r="J1165" i="1"/>
  <c r="I1165" i="1"/>
  <c r="H1165" i="1"/>
  <c r="G1165" i="1"/>
  <c r="F1165" i="1"/>
  <c r="D1165" i="1"/>
  <c r="B1165" i="1"/>
  <c r="S1164" i="1"/>
  <c r="Q1164" i="1"/>
  <c r="L1164" i="1"/>
  <c r="K1164" i="1"/>
  <c r="J1164" i="1"/>
  <c r="H1164" i="1"/>
  <c r="G1164" i="1"/>
  <c r="F1164" i="1"/>
  <c r="D1164" i="1"/>
  <c r="B1164" i="1"/>
  <c r="S1163" i="1"/>
  <c r="Q1163" i="1"/>
  <c r="L1163" i="1"/>
  <c r="K1163" i="1"/>
  <c r="J1163" i="1"/>
  <c r="I1163" i="1"/>
  <c r="H1163" i="1"/>
  <c r="G1163" i="1"/>
  <c r="F1163" i="1"/>
  <c r="D1163" i="1"/>
  <c r="B1163" i="1"/>
  <c r="S1162" i="1"/>
  <c r="Q1162" i="1"/>
  <c r="L1162" i="1"/>
  <c r="K1162" i="1"/>
  <c r="J1162" i="1"/>
  <c r="I1162" i="1"/>
  <c r="H1162" i="1"/>
  <c r="G1162" i="1"/>
  <c r="F1162" i="1"/>
  <c r="D1162" i="1"/>
  <c r="B1162" i="1"/>
  <c r="S1161" i="1"/>
  <c r="L1161" i="1"/>
  <c r="K1161" i="1"/>
  <c r="J1161" i="1"/>
  <c r="H1161" i="1"/>
  <c r="G1161" i="1"/>
  <c r="F1161" i="1"/>
  <c r="D1161" i="1"/>
  <c r="B1161" i="1"/>
  <c r="S1160" i="1"/>
  <c r="L1160" i="1"/>
  <c r="K1160" i="1"/>
  <c r="J1160" i="1"/>
  <c r="H1160" i="1"/>
  <c r="G1160" i="1"/>
  <c r="F1160" i="1"/>
  <c r="D1160" i="1"/>
  <c r="B1160" i="1"/>
  <c r="S1159" i="1"/>
  <c r="L1159" i="1"/>
  <c r="K1159" i="1"/>
  <c r="J1159" i="1"/>
  <c r="H1159" i="1"/>
  <c r="G1159" i="1"/>
  <c r="F1159" i="1"/>
  <c r="D1159" i="1"/>
  <c r="B1159" i="1"/>
  <c r="S1158" i="1"/>
  <c r="L1158" i="1"/>
  <c r="K1158" i="1"/>
  <c r="J1158" i="1"/>
  <c r="H1158" i="1"/>
  <c r="G1158" i="1"/>
  <c r="F1158" i="1"/>
  <c r="D1158" i="1"/>
  <c r="B1158" i="1"/>
  <c r="S1157" i="1"/>
  <c r="L1157" i="1"/>
  <c r="K1157" i="1"/>
  <c r="J1157" i="1"/>
  <c r="H1157" i="1"/>
  <c r="G1157" i="1"/>
  <c r="F1157" i="1"/>
  <c r="D1157" i="1"/>
  <c r="B1157" i="1"/>
  <c r="S1156" i="1"/>
  <c r="L1156" i="1"/>
  <c r="K1156" i="1"/>
  <c r="J1156" i="1"/>
  <c r="H1156" i="1"/>
  <c r="G1156" i="1"/>
  <c r="F1156" i="1"/>
  <c r="D1156" i="1"/>
  <c r="B1156" i="1"/>
  <c r="S1155" i="1"/>
  <c r="L1155" i="1"/>
  <c r="K1155" i="1"/>
  <c r="J1155" i="1"/>
  <c r="H1155" i="1"/>
  <c r="G1155" i="1"/>
  <c r="F1155" i="1"/>
  <c r="D1155" i="1"/>
  <c r="B1155" i="1"/>
  <c r="S1154" i="1"/>
  <c r="L1154" i="1"/>
  <c r="K1154" i="1"/>
  <c r="J1154" i="1"/>
  <c r="H1154" i="1"/>
  <c r="G1154" i="1"/>
  <c r="F1154" i="1"/>
  <c r="D1154" i="1"/>
  <c r="B1154" i="1"/>
  <c r="S1153" i="1"/>
  <c r="L1153" i="1"/>
  <c r="K1153" i="1"/>
  <c r="J1153" i="1"/>
  <c r="H1153" i="1"/>
  <c r="G1153" i="1"/>
  <c r="F1153" i="1"/>
  <c r="D1153" i="1"/>
  <c r="B1153" i="1"/>
  <c r="S1152" i="1"/>
  <c r="L1152" i="1"/>
  <c r="K1152" i="1"/>
  <c r="J1152" i="1"/>
  <c r="H1152" i="1"/>
  <c r="G1152" i="1"/>
  <c r="F1152" i="1"/>
  <c r="D1152" i="1"/>
  <c r="B1152" i="1"/>
  <c r="S1151" i="1"/>
  <c r="L1151" i="1"/>
  <c r="K1151" i="1"/>
  <c r="J1151" i="1"/>
  <c r="H1151" i="1"/>
  <c r="G1151" i="1"/>
  <c r="F1151" i="1"/>
  <c r="D1151" i="1"/>
  <c r="B1151" i="1"/>
  <c r="S1150" i="1"/>
  <c r="L1150" i="1"/>
  <c r="K1150" i="1"/>
  <c r="J1150" i="1"/>
  <c r="H1150" i="1"/>
  <c r="G1150" i="1"/>
  <c r="F1150" i="1"/>
  <c r="D1150" i="1"/>
  <c r="B1150" i="1"/>
  <c r="S1149" i="1"/>
  <c r="L1149" i="1"/>
  <c r="K1149" i="1"/>
  <c r="J1149" i="1"/>
  <c r="H1149" i="1"/>
  <c r="G1149" i="1"/>
  <c r="F1149" i="1"/>
  <c r="D1149" i="1"/>
  <c r="B1149" i="1"/>
  <c r="S1148" i="1"/>
  <c r="Q1148" i="1"/>
  <c r="L1148" i="1"/>
  <c r="K1148" i="1"/>
  <c r="J1148" i="1"/>
  <c r="I1148" i="1"/>
  <c r="H1148" i="1"/>
  <c r="G1148" i="1"/>
  <c r="F1148" i="1"/>
  <c r="D1148" i="1"/>
  <c r="B1148" i="1"/>
  <c r="S1147" i="1"/>
  <c r="L1147" i="1"/>
  <c r="K1147" i="1"/>
  <c r="J1147" i="1"/>
  <c r="H1147" i="1"/>
  <c r="G1147" i="1"/>
  <c r="F1147" i="1"/>
  <c r="D1147" i="1"/>
  <c r="B1147" i="1"/>
  <c r="S1146" i="1"/>
  <c r="L1146" i="1"/>
  <c r="K1146" i="1"/>
  <c r="J1146" i="1"/>
  <c r="H1146" i="1"/>
  <c r="G1146" i="1"/>
  <c r="F1146" i="1"/>
  <c r="D1146" i="1"/>
  <c r="B1146" i="1"/>
  <c r="S1145" i="1"/>
  <c r="L1145" i="1"/>
  <c r="K1145" i="1"/>
  <c r="J1145" i="1"/>
  <c r="H1145" i="1"/>
  <c r="G1145" i="1"/>
  <c r="F1145" i="1"/>
  <c r="D1145" i="1"/>
  <c r="B1145" i="1"/>
  <c r="S1144" i="1"/>
  <c r="Q1144" i="1"/>
  <c r="L1144" i="1"/>
  <c r="K1144" i="1"/>
  <c r="J1144" i="1"/>
  <c r="I1144" i="1"/>
  <c r="H1144" i="1"/>
  <c r="G1144" i="1"/>
  <c r="F1144" i="1"/>
  <c r="D1144" i="1"/>
  <c r="B1144" i="1"/>
  <c r="S1143" i="1"/>
  <c r="Q1143" i="1"/>
  <c r="L1143" i="1"/>
  <c r="K1143" i="1"/>
  <c r="J1143" i="1"/>
  <c r="H1143" i="1"/>
  <c r="G1143" i="1"/>
  <c r="F1143" i="1"/>
  <c r="D1143" i="1"/>
  <c r="B1143" i="1"/>
  <c r="S1142" i="1"/>
  <c r="Q1142" i="1"/>
  <c r="L1142" i="1"/>
  <c r="K1142" i="1"/>
  <c r="J1142" i="1"/>
  <c r="H1142" i="1"/>
  <c r="G1142" i="1"/>
  <c r="F1142" i="1"/>
  <c r="D1142" i="1"/>
  <c r="B1142" i="1"/>
  <c r="S1141" i="1"/>
  <c r="Q1141" i="1"/>
  <c r="L1141" i="1"/>
  <c r="K1141" i="1"/>
  <c r="J1141" i="1"/>
  <c r="H1141" i="1"/>
  <c r="G1141" i="1"/>
  <c r="F1141" i="1"/>
  <c r="D1141" i="1"/>
  <c r="B1141" i="1"/>
  <c r="S1140" i="1"/>
  <c r="L1140" i="1"/>
  <c r="K1140" i="1"/>
  <c r="J1140" i="1"/>
  <c r="H1140" i="1"/>
  <c r="G1140" i="1"/>
  <c r="F1140" i="1"/>
  <c r="D1140" i="1"/>
  <c r="B1140" i="1"/>
  <c r="S1139" i="1"/>
  <c r="Q1139" i="1"/>
  <c r="L1139" i="1"/>
  <c r="K1139" i="1"/>
  <c r="J1139" i="1"/>
  <c r="H1139" i="1"/>
  <c r="G1139" i="1"/>
  <c r="F1139" i="1"/>
  <c r="D1139" i="1"/>
  <c r="B1139" i="1"/>
  <c r="S1138" i="1"/>
  <c r="Q1138" i="1"/>
  <c r="L1138" i="1"/>
  <c r="K1138" i="1"/>
  <c r="J1138" i="1"/>
  <c r="H1138" i="1"/>
  <c r="G1138" i="1"/>
  <c r="F1138" i="1"/>
  <c r="D1138" i="1"/>
  <c r="B1138" i="1"/>
  <c r="S1137" i="1"/>
  <c r="L1137" i="1"/>
  <c r="K1137" i="1"/>
  <c r="J1137" i="1"/>
  <c r="H1137" i="1"/>
  <c r="G1137" i="1"/>
  <c r="F1137" i="1"/>
  <c r="D1137" i="1"/>
  <c r="B1137" i="1"/>
  <c r="S1136" i="1"/>
  <c r="L1136" i="1"/>
  <c r="K1136" i="1"/>
  <c r="J1136" i="1"/>
  <c r="H1136" i="1"/>
  <c r="G1136" i="1"/>
  <c r="F1136" i="1"/>
  <c r="D1136" i="1"/>
  <c r="B1136" i="1"/>
  <c r="S1135" i="1"/>
  <c r="Q1135" i="1"/>
  <c r="L1135" i="1"/>
  <c r="K1135" i="1"/>
  <c r="J1135" i="1"/>
  <c r="H1135" i="1"/>
  <c r="G1135" i="1"/>
  <c r="F1135" i="1"/>
  <c r="D1135" i="1"/>
  <c r="B1135" i="1"/>
  <c r="S1134" i="1"/>
  <c r="Q1134" i="1"/>
  <c r="L1134" i="1"/>
  <c r="K1134" i="1"/>
  <c r="J1134" i="1"/>
  <c r="H1134" i="1"/>
  <c r="G1134" i="1"/>
  <c r="F1134" i="1"/>
  <c r="D1134" i="1"/>
  <c r="B1134" i="1"/>
  <c r="S1133" i="1"/>
  <c r="L1133" i="1"/>
  <c r="K1133" i="1"/>
  <c r="J1133" i="1"/>
  <c r="H1133" i="1"/>
  <c r="G1133" i="1"/>
  <c r="F1133" i="1"/>
  <c r="D1133" i="1"/>
  <c r="B1133" i="1"/>
  <c r="S1132" i="1"/>
  <c r="L1132" i="1"/>
  <c r="K1132" i="1"/>
  <c r="J1132" i="1"/>
  <c r="H1132" i="1"/>
  <c r="G1132" i="1"/>
  <c r="F1132" i="1"/>
  <c r="D1132" i="1"/>
  <c r="B1132" i="1"/>
  <c r="S1131" i="1"/>
  <c r="Q1131" i="1"/>
  <c r="L1131" i="1"/>
  <c r="K1131" i="1"/>
  <c r="J1131" i="1"/>
  <c r="H1131" i="1"/>
  <c r="G1131" i="1"/>
  <c r="F1131" i="1"/>
  <c r="D1131" i="1"/>
  <c r="B1131" i="1"/>
  <c r="S1130" i="1"/>
  <c r="Q1130" i="1"/>
  <c r="L1130" i="1"/>
  <c r="K1130" i="1"/>
  <c r="J1130" i="1"/>
  <c r="H1130" i="1"/>
  <c r="G1130" i="1"/>
  <c r="F1130" i="1"/>
  <c r="D1130" i="1"/>
  <c r="B1130" i="1"/>
  <c r="S1129" i="1"/>
  <c r="Q1129" i="1"/>
  <c r="L1129" i="1"/>
  <c r="K1129" i="1"/>
  <c r="J1129" i="1"/>
  <c r="H1129" i="1"/>
  <c r="G1129" i="1"/>
  <c r="F1129" i="1"/>
  <c r="D1129" i="1"/>
  <c r="B1129" i="1"/>
  <c r="S1128" i="1"/>
  <c r="Q1128" i="1"/>
  <c r="L1128" i="1"/>
  <c r="K1128" i="1"/>
  <c r="J1128" i="1"/>
  <c r="H1128" i="1"/>
  <c r="G1128" i="1"/>
  <c r="F1128" i="1"/>
  <c r="D1128" i="1"/>
  <c r="B1128" i="1"/>
  <c r="S1127" i="1"/>
  <c r="Q1127" i="1"/>
  <c r="L1127" i="1"/>
  <c r="K1127" i="1"/>
  <c r="J1127" i="1"/>
  <c r="H1127" i="1"/>
  <c r="G1127" i="1"/>
  <c r="F1127" i="1"/>
  <c r="D1127" i="1"/>
  <c r="B1127" i="1"/>
  <c r="S1126" i="1"/>
  <c r="Q1126" i="1"/>
  <c r="L1126" i="1"/>
  <c r="K1126" i="1"/>
  <c r="J1126" i="1"/>
  <c r="H1126" i="1"/>
  <c r="G1126" i="1"/>
  <c r="F1126" i="1"/>
  <c r="D1126" i="1"/>
  <c r="B1126" i="1"/>
  <c r="S1125" i="1"/>
  <c r="Q1125" i="1"/>
  <c r="L1125" i="1"/>
  <c r="K1125" i="1"/>
  <c r="J1125" i="1"/>
  <c r="H1125" i="1"/>
  <c r="G1125" i="1"/>
  <c r="F1125" i="1"/>
  <c r="D1125" i="1"/>
  <c r="B1125" i="1"/>
  <c r="S1124" i="1"/>
  <c r="Q1124" i="1"/>
  <c r="L1124" i="1"/>
  <c r="K1124" i="1"/>
  <c r="J1124" i="1"/>
  <c r="H1124" i="1"/>
  <c r="G1124" i="1"/>
  <c r="F1124" i="1"/>
  <c r="D1124" i="1"/>
  <c r="B1124" i="1"/>
  <c r="S1123" i="1"/>
  <c r="Q1123" i="1"/>
  <c r="L1123" i="1"/>
  <c r="K1123" i="1"/>
  <c r="J1123" i="1"/>
  <c r="H1123" i="1"/>
  <c r="G1123" i="1"/>
  <c r="F1123" i="1"/>
  <c r="D1123" i="1"/>
  <c r="B1123" i="1"/>
  <c r="S1122" i="1"/>
  <c r="Q1122" i="1"/>
  <c r="L1122" i="1"/>
  <c r="K1122" i="1"/>
  <c r="J1122" i="1"/>
  <c r="H1122" i="1"/>
  <c r="G1122" i="1"/>
  <c r="F1122" i="1"/>
  <c r="D1122" i="1"/>
  <c r="B1122" i="1"/>
  <c r="S1121" i="1"/>
  <c r="Q1121" i="1"/>
  <c r="L1121" i="1"/>
  <c r="K1121" i="1"/>
  <c r="J1121" i="1"/>
  <c r="H1121" i="1"/>
  <c r="G1121" i="1"/>
  <c r="F1121" i="1"/>
  <c r="D1121" i="1"/>
  <c r="B1121" i="1"/>
  <c r="S1120" i="1"/>
  <c r="Q1120" i="1"/>
  <c r="L1120" i="1"/>
  <c r="K1120" i="1"/>
  <c r="J1120" i="1"/>
  <c r="H1120" i="1"/>
  <c r="G1120" i="1"/>
  <c r="F1120" i="1"/>
  <c r="D1120" i="1"/>
  <c r="B1120" i="1"/>
  <c r="S1119" i="1"/>
  <c r="Q1119" i="1"/>
  <c r="L1119" i="1"/>
  <c r="K1119" i="1"/>
  <c r="J1119" i="1"/>
  <c r="H1119" i="1"/>
  <c r="G1119" i="1"/>
  <c r="F1119" i="1"/>
  <c r="D1119" i="1"/>
  <c r="B1119" i="1"/>
  <c r="S1118" i="1"/>
  <c r="Q1118" i="1"/>
  <c r="L1118" i="1"/>
  <c r="K1118" i="1"/>
  <c r="J1118" i="1"/>
  <c r="H1118" i="1"/>
  <c r="G1118" i="1"/>
  <c r="F1118" i="1"/>
  <c r="D1118" i="1"/>
  <c r="B1118" i="1"/>
  <c r="S1117" i="1"/>
  <c r="Q1117" i="1"/>
  <c r="L1117" i="1"/>
  <c r="K1117" i="1"/>
  <c r="J1117" i="1"/>
  <c r="H1117" i="1"/>
  <c r="G1117" i="1"/>
  <c r="F1117" i="1"/>
  <c r="D1117" i="1"/>
  <c r="B1117" i="1"/>
  <c r="S1116" i="1"/>
  <c r="Q1116" i="1"/>
  <c r="L1116" i="1"/>
  <c r="K1116" i="1"/>
  <c r="J1116" i="1"/>
  <c r="H1116" i="1"/>
  <c r="G1116" i="1"/>
  <c r="F1116" i="1"/>
  <c r="D1116" i="1"/>
  <c r="B1116" i="1"/>
  <c r="S1115" i="1"/>
  <c r="Q1115" i="1"/>
  <c r="L1115" i="1"/>
  <c r="K1115" i="1"/>
  <c r="J1115" i="1"/>
  <c r="H1115" i="1"/>
  <c r="G1115" i="1"/>
  <c r="F1115" i="1"/>
  <c r="D1115" i="1"/>
  <c r="B1115" i="1"/>
  <c r="S1114" i="1"/>
  <c r="Q1114" i="1"/>
  <c r="L1114" i="1"/>
  <c r="K1114" i="1"/>
  <c r="J1114" i="1"/>
  <c r="H1114" i="1"/>
  <c r="G1114" i="1"/>
  <c r="F1114" i="1"/>
  <c r="D1114" i="1"/>
  <c r="B1114" i="1"/>
  <c r="S1113" i="1"/>
  <c r="Q1113" i="1"/>
  <c r="L1113" i="1"/>
  <c r="K1113" i="1"/>
  <c r="J1113" i="1"/>
  <c r="H1113" i="1"/>
  <c r="G1113" i="1"/>
  <c r="F1113" i="1"/>
  <c r="D1113" i="1"/>
  <c r="B1113" i="1"/>
  <c r="S1112" i="1"/>
  <c r="Q1112" i="1"/>
  <c r="L1112" i="1"/>
  <c r="K1112" i="1"/>
  <c r="J1112" i="1"/>
  <c r="H1112" i="1"/>
  <c r="G1112" i="1"/>
  <c r="F1112" i="1"/>
  <c r="D1112" i="1"/>
  <c r="B1112" i="1"/>
  <c r="S1111" i="1"/>
  <c r="L1111" i="1"/>
  <c r="K1111" i="1"/>
  <c r="J1111" i="1"/>
  <c r="H1111" i="1"/>
  <c r="G1111" i="1"/>
  <c r="F1111" i="1"/>
  <c r="D1111" i="1"/>
  <c r="B1111" i="1"/>
  <c r="S1110" i="1"/>
  <c r="Q1110" i="1"/>
  <c r="L1110" i="1"/>
  <c r="K1110" i="1"/>
  <c r="J1110" i="1"/>
  <c r="H1110" i="1"/>
  <c r="G1110" i="1"/>
  <c r="F1110" i="1"/>
  <c r="D1110" i="1"/>
  <c r="B1110" i="1"/>
  <c r="S1109" i="1"/>
  <c r="Q1109" i="1"/>
  <c r="L1109" i="1"/>
  <c r="K1109" i="1"/>
  <c r="J1109" i="1"/>
  <c r="H1109" i="1"/>
  <c r="G1109" i="1"/>
  <c r="F1109" i="1"/>
  <c r="D1109" i="1"/>
  <c r="B1109" i="1"/>
  <c r="S1108" i="1"/>
  <c r="Q1108" i="1"/>
  <c r="L1108" i="1"/>
  <c r="K1108" i="1"/>
  <c r="J1108" i="1"/>
  <c r="H1108" i="1"/>
  <c r="G1108" i="1"/>
  <c r="F1108" i="1"/>
  <c r="D1108" i="1"/>
  <c r="B1108" i="1"/>
  <c r="S1107" i="1"/>
  <c r="Q1107" i="1"/>
  <c r="L1107" i="1"/>
  <c r="K1107" i="1"/>
  <c r="J1107" i="1"/>
  <c r="H1107" i="1"/>
  <c r="G1107" i="1"/>
  <c r="F1107" i="1"/>
  <c r="D1107" i="1"/>
  <c r="B1107" i="1"/>
  <c r="S1106" i="1"/>
  <c r="Q1106" i="1"/>
  <c r="L1106" i="1"/>
  <c r="K1106" i="1"/>
  <c r="J1106" i="1"/>
  <c r="H1106" i="1"/>
  <c r="G1106" i="1"/>
  <c r="F1106" i="1"/>
  <c r="D1106" i="1"/>
  <c r="B1106" i="1"/>
  <c r="S1105" i="1"/>
  <c r="Q1105" i="1"/>
  <c r="L1105" i="1"/>
  <c r="K1105" i="1"/>
  <c r="J1105" i="1"/>
  <c r="H1105" i="1"/>
  <c r="G1105" i="1"/>
  <c r="F1105" i="1"/>
  <c r="D1105" i="1"/>
  <c r="B1105" i="1"/>
  <c r="S1104" i="1"/>
  <c r="Q1104" i="1"/>
  <c r="L1104" i="1"/>
  <c r="K1104" i="1"/>
  <c r="J1104" i="1"/>
  <c r="H1104" i="1"/>
  <c r="G1104" i="1"/>
  <c r="F1104" i="1"/>
  <c r="D1104" i="1"/>
  <c r="B1104" i="1"/>
  <c r="S1103" i="1"/>
  <c r="Q1103" i="1"/>
  <c r="L1103" i="1"/>
  <c r="K1103" i="1"/>
  <c r="J1103" i="1"/>
  <c r="H1103" i="1"/>
  <c r="G1103" i="1"/>
  <c r="F1103" i="1"/>
  <c r="D1103" i="1"/>
  <c r="B1103" i="1"/>
  <c r="S1102" i="1"/>
  <c r="Q1102" i="1"/>
  <c r="L1102" i="1"/>
  <c r="K1102" i="1"/>
  <c r="J1102" i="1"/>
  <c r="H1102" i="1"/>
  <c r="G1102" i="1"/>
  <c r="F1102" i="1"/>
  <c r="D1102" i="1"/>
  <c r="B1102" i="1"/>
  <c r="S1101" i="1"/>
  <c r="Q1101" i="1"/>
  <c r="L1101" i="1"/>
  <c r="K1101" i="1"/>
  <c r="J1101" i="1"/>
  <c r="H1101" i="1"/>
  <c r="G1101" i="1"/>
  <c r="F1101" i="1"/>
  <c r="D1101" i="1"/>
  <c r="B1101" i="1"/>
  <c r="S1100" i="1"/>
  <c r="Q1100" i="1"/>
  <c r="L1100" i="1"/>
  <c r="K1100" i="1"/>
  <c r="J1100" i="1"/>
  <c r="H1100" i="1"/>
  <c r="G1100" i="1"/>
  <c r="F1100" i="1"/>
  <c r="D1100" i="1"/>
  <c r="B1100" i="1"/>
  <c r="S1099" i="1"/>
  <c r="Q1099" i="1"/>
  <c r="L1099" i="1"/>
  <c r="K1099" i="1"/>
  <c r="J1099" i="1"/>
  <c r="H1099" i="1"/>
  <c r="G1099" i="1"/>
  <c r="F1099" i="1"/>
  <c r="D1099" i="1"/>
  <c r="B1099" i="1"/>
  <c r="S1098" i="1"/>
  <c r="Q1098" i="1"/>
  <c r="L1098" i="1"/>
  <c r="K1098" i="1"/>
  <c r="J1098" i="1"/>
  <c r="H1098" i="1"/>
  <c r="G1098" i="1"/>
  <c r="F1098" i="1"/>
  <c r="D1098" i="1"/>
  <c r="B1098" i="1"/>
  <c r="S1097" i="1"/>
  <c r="Q1097" i="1"/>
  <c r="L1097" i="1"/>
  <c r="K1097" i="1"/>
  <c r="J1097" i="1"/>
  <c r="H1097" i="1"/>
  <c r="G1097" i="1"/>
  <c r="F1097" i="1"/>
  <c r="D1097" i="1"/>
  <c r="B1097" i="1"/>
  <c r="S1096" i="1"/>
  <c r="Q1096" i="1"/>
  <c r="L1096" i="1"/>
  <c r="K1096" i="1"/>
  <c r="J1096" i="1"/>
  <c r="H1096" i="1"/>
  <c r="G1096" i="1"/>
  <c r="F1096" i="1"/>
  <c r="D1096" i="1"/>
  <c r="B1096" i="1"/>
  <c r="S1095" i="1"/>
  <c r="Q1095" i="1"/>
  <c r="L1095" i="1"/>
  <c r="K1095" i="1"/>
  <c r="J1095" i="1"/>
  <c r="H1095" i="1"/>
  <c r="G1095" i="1"/>
  <c r="F1095" i="1"/>
  <c r="D1095" i="1"/>
  <c r="B1095" i="1"/>
  <c r="S1094" i="1"/>
  <c r="Q1094" i="1"/>
  <c r="L1094" i="1"/>
  <c r="K1094" i="1"/>
  <c r="J1094" i="1"/>
  <c r="H1094" i="1"/>
  <c r="G1094" i="1"/>
  <c r="F1094" i="1"/>
  <c r="D1094" i="1"/>
  <c r="B1094" i="1"/>
  <c r="S1093" i="1"/>
  <c r="Q1093" i="1"/>
  <c r="L1093" i="1"/>
  <c r="K1093" i="1"/>
  <c r="J1093" i="1"/>
  <c r="H1093" i="1"/>
  <c r="G1093" i="1"/>
  <c r="F1093" i="1"/>
  <c r="D1093" i="1"/>
  <c r="B1093" i="1"/>
  <c r="S1092" i="1"/>
  <c r="L1092" i="1"/>
  <c r="K1092" i="1"/>
  <c r="J1092" i="1"/>
  <c r="H1092" i="1"/>
  <c r="G1092" i="1"/>
  <c r="F1092" i="1"/>
  <c r="D1092" i="1"/>
  <c r="B1092" i="1"/>
  <c r="S1091" i="1"/>
  <c r="Q1091" i="1"/>
  <c r="L1091" i="1"/>
  <c r="K1091" i="1"/>
  <c r="J1091" i="1"/>
  <c r="H1091" i="1"/>
  <c r="G1091" i="1"/>
  <c r="F1091" i="1"/>
  <c r="D1091" i="1"/>
  <c r="B1091" i="1"/>
  <c r="S1090" i="1"/>
  <c r="Q1090" i="1"/>
  <c r="L1090" i="1"/>
  <c r="K1090" i="1"/>
  <c r="J1090" i="1"/>
  <c r="H1090" i="1"/>
  <c r="G1090" i="1"/>
  <c r="F1090" i="1"/>
  <c r="D1090" i="1"/>
  <c r="B1090" i="1"/>
  <c r="S1089" i="1"/>
  <c r="L1089" i="1"/>
  <c r="K1089" i="1"/>
  <c r="J1089" i="1"/>
  <c r="H1089" i="1"/>
  <c r="G1089" i="1"/>
  <c r="F1089" i="1"/>
  <c r="D1089" i="1"/>
  <c r="B1089" i="1"/>
  <c r="S1088" i="1"/>
  <c r="Q1088" i="1"/>
  <c r="L1088" i="1"/>
  <c r="K1088" i="1"/>
  <c r="J1088" i="1"/>
  <c r="H1088" i="1"/>
  <c r="G1088" i="1"/>
  <c r="F1088" i="1"/>
  <c r="D1088" i="1"/>
  <c r="B1088" i="1"/>
  <c r="S1087" i="1"/>
  <c r="L1087" i="1"/>
  <c r="K1087" i="1"/>
  <c r="J1087" i="1"/>
  <c r="H1087" i="1"/>
  <c r="G1087" i="1"/>
  <c r="F1087" i="1"/>
  <c r="D1087" i="1"/>
  <c r="B1087" i="1"/>
  <c r="S1086" i="1"/>
  <c r="L1086" i="1"/>
  <c r="K1086" i="1"/>
  <c r="J1086" i="1"/>
  <c r="H1086" i="1"/>
  <c r="G1086" i="1"/>
  <c r="F1086" i="1"/>
  <c r="D1086" i="1"/>
  <c r="B1086" i="1"/>
  <c r="S1085" i="1"/>
  <c r="L1085" i="1"/>
  <c r="K1085" i="1"/>
  <c r="J1085" i="1"/>
  <c r="H1085" i="1"/>
  <c r="G1085" i="1"/>
  <c r="F1085" i="1"/>
  <c r="D1085" i="1"/>
  <c r="B1085" i="1"/>
  <c r="S1084" i="1"/>
  <c r="L1084" i="1"/>
  <c r="K1084" i="1"/>
  <c r="J1084" i="1"/>
  <c r="H1084" i="1"/>
  <c r="G1084" i="1"/>
  <c r="F1084" i="1"/>
  <c r="D1084" i="1"/>
  <c r="B1084" i="1"/>
  <c r="S1083" i="1"/>
  <c r="L1083" i="1"/>
  <c r="K1083" i="1"/>
  <c r="J1083" i="1"/>
  <c r="H1083" i="1"/>
  <c r="G1083" i="1"/>
  <c r="F1083" i="1"/>
  <c r="D1083" i="1"/>
  <c r="B1083" i="1"/>
  <c r="S1082" i="1"/>
  <c r="L1082" i="1"/>
  <c r="K1082" i="1"/>
  <c r="J1082" i="1"/>
  <c r="H1082" i="1"/>
  <c r="G1082" i="1"/>
  <c r="F1082" i="1"/>
  <c r="D1082" i="1"/>
  <c r="B1082" i="1"/>
  <c r="S1081" i="1"/>
  <c r="L1081" i="1"/>
  <c r="K1081" i="1"/>
  <c r="J1081" i="1"/>
  <c r="H1081" i="1"/>
  <c r="G1081" i="1"/>
  <c r="F1081" i="1"/>
  <c r="D1081" i="1"/>
  <c r="B1081" i="1"/>
  <c r="S1080" i="1"/>
  <c r="L1080" i="1"/>
  <c r="K1080" i="1"/>
  <c r="J1080" i="1"/>
  <c r="H1080" i="1"/>
  <c r="G1080" i="1"/>
  <c r="F1080" i="1"/>
  <c r="D1080" i="1"/>
  <c r="B1080" i="1"/>
  <c r="S1079" i="1"/>
  <c r="L1079" i="1"/>
  <c r="K1079" i="1"/>
  <c r="J1079" i="1"/>
  <c r="H1079" i="1"/>
  <c r="G1079" i="1"/>
  <c r="F1079" i="1"/>
  <c r="D1079" i="1"/>
  <c r="B1079" i="1"/>
  <c r="S1078" i="1"/>
  <c r="Q1078" i="1"/>
  <c r="L1078" i="1"/>
  <c r="K1078" i="1"/>
  <c r="J1078" i="1"/>
  <c r="H1078" i="1"/>
  <c r="G1078" i="1"/>
  <c r="F1078" i="1"/>
  <c r="D1078" i="1"/>
  <c r="B1078" i="1"/>
  <c r="S1077" i="1"/>
  <c r="Q1077" i="1"/>
  <c r="L1077" i="1"/>
  <c r="K1077" i="1"/>
  <c r="J1077" i="1"/>
  <c r="H1077" i="1"/>
  <c r="G1077" i="1"/>
  <c r="F1077" i="1"/>
  <c r="D1077" i="1"/>
  <c r="B1077" i="1"/>
  <c r="S1076" i="1"/>
  <c r="Q1076" i="1"/>
  <c r="L1076" i="1"/>
  <c r="K1076" i="1"/>
  <c r="J1076" i="1"/>
  <c r="H1076" i="1"/>
  <c r="G1076" i="1"/>
  <c r="F1076" i="1"/>
  <c r="D1076" i="1"/>
  <c r="B1076" i="1"/>
  <c r="S1075" i="1"/>
  <c r="Q1075" i="1"/>
  <c r="L1075" i="1"/>
  <c r="K1075" i="1"/>
  <c r="J1075" i="1"/>
  <c r="H1075" i="1"/>
  <c r="G1075" i="1"/>
  <c r="F1075" i="1"/>
  <c r="D1075" i="1"/>
  <c r="B1075" i="1"/>
  <c r="S1074" i="1"/>
  <c r="Q1074" i="1"/>
  <c r="L1074" i="1"/>
  <c r="K1074" i="1"/>
  <c r="J1074" i="1"/>
  <c r="H1074" i="1"/>
  <c r="G1074" i="1"/>
  <c r="F1074" i="1"/>
  <c r="D1074" i="1"/>
  <c r="B1074" i="1"/>
  <c r="S1073" i="1"/>
  <c r="L1073" i="1"/>
  <c r="K1073" i="1"/>
  <c r="J1073" i="1"/>
  <c r="H1073" i="1"/>
  <c r="G1073" i="1"/>
  <c r="F1073" i="1"/>
  <c r="D1073" i="1"/>
  <c r="B1073" i="1"/>
  <c r="S1072" i="1"/>
  <c r="Q1072" i="1"/>
  <c r="L1072" i="1"/>
  <c r="K1072" i="1"/>
  <c r="J1072" i="1"/>
  <c r="I1072" i="1"/>
  <c r="H1072" i="1"/>
  <c r="G1072" i="1"/>
  <c r="F1072" i="1"/>
  <c r="D1072" i="1"/>
  <c r="B1072" i="1"/>
  <c r="S1071" i="1"/>
  <c r="L1071" i="1"/>
  <c r="K1071" i="1"/>
  <c r="J1071" i="1"/>
  <c r="I1071" i="1"/>
  <c r="H1071" i="1"/>
  <c r="G1071" i="1"/>
  <c r="F1071" i="1"/>
  <c r="D1071" i="1"/>
  <c r="B1071" i="1"/>
  <c r="S1070" i="1"/>
  <c r="Q1070" i="1"/>
  <c r="L1070" i="1"/>
  <c r="K1070" i="1"/>
  <c r="J1070" i="1"/>
  <c r="I1070" i="1"/>
  <c r="H1070" i="1"/>
  <c r="G1070" i="1"/>
  <c r="F1070" i="1"/>
  <c r="D1070" i="1"/>
  <c r="B1070" i="1"/>
  <c r="S1069" i="1"/>
  <c r="Q1069" i="1"/>
  <c r="L1069" i="1"/>
  <c r="K1069" i="1"/>
  <c r="J1069" i="1"/>
  <c r="I1069" i="1"/>
  <c r="H1069" i="1"/>
  <c r="G1069" i="1"/>
  <c r="F1069" i="1"/>
  <c r="D1069" i="1"/>
  <c r="B1069" i="1"/>
  <c r="S1068" i="1"/>
  <c r="Q1068" i="1"/>
  <c r="L1068" i="1"/>
  <c r="K1068" i="1"/>
  <c r="J1068" i="1"/>
  <c r="H1068" i="1"/>
  <c r="G1068" i="1"/>
  <c r="F1068" i="1"/>
  <c r="D1068" i="1"/>
  <c r="B1068" i="1"/>
  <c r="S1067" i="1"/>
  <c r="Q1067" i="1"/>
  <c r="L1067" i="1"/>
  <c r="K1067" i="1"/>
  <c r="J1067" i="1"/>
  <c r="H1067" i="1"/>
  <c r="G1067" i="1"/>
  <c r="F1067" i="1"/>
  <c r="D1067" i="1"/>
  <c r="B1067" i="1"/>
  <c r="S1066" i="1"/>
  <c r="L1066" i="1"/>
  <c r="K1066" i="1"/>
  <c r="J1066" i="1"/>
  <c r="H1066" i="1"/>
  <c r="G1066" i="1"/>
  <c r="F1066" i="1"/>
  <c r="D1066" i="1"/>
  <c r="B1066" i="1"/>
  <c r="S1065" i="1"/>
  <c r="L1065" i="1"/>
  <c r="K1065" i="1"/>
  <c r="J1065" i="1"/>
  <c r="H1065" i="1"/>
  <c r="G1065" i="1"/>
  <c r="F1065" i="1"/>
  <c r="D1065" i="1"/>
  <c r="B1065" i="1"/>
  <c r="S1064" i="1"/>
  <c r="L1064" i="1"/>
  <c r="K1064" i="1"/>
  <c r="J1064" i="1"/>
  <c r="H1064" i="1"/>
  <c r="G1064" i="1"/>
  <c r="F1064" i="1"/>
  <c r="D1064" i="1"/>
  <c r="B1064" i="1"/>
  <c r="S1063" i="1"/>
  <c r="L1063" i="1"/>
  <c r="K1063" i="1"/>
  <c r="J1063" i="1"/>
  <c r="H1063" i="1"/>
  <c r="G1063" i="1"/>
  <c r="F1063" i="1"/>
  <c r="D1063" i="1"/>
  <c r="B1063" i="1"/>
  <c r="S1062" i="1"/>
  <c r="L1062" i="1"/>
  <c r="K1062" i="1"/>
  <c r="J1062" i="1"/>
  <c r="H1062" i="1"/>
  <c r="G1062" i="1"/>
  <c r="F1062" i="1"/>
  <c r="D1062" i="1"/>
  <c r="B1062" i="1"/>
  <c r="S1061" i="1"/>
  <c r="L1061" i="1"/>
  <c r="K1061" i="1"/>
  <c r="J1061" i="1"/>
  <c r="H1061" i="1"/>
  <c r="G1061" i="1"/>
  <c r="F1061" i="1"/>
  <c r="D1061" i="1"/>
  <c r="B1061" i="1"/>
  <c r="S1060" i="1"/>
  <c r="L1060" i="1"/>
  <c r="K1060" i="1"/>
  <c r="J1060" i="1"/>
  <c r="H1060" i="1"/>
  <c r="G1060" i="1"/>
  <c r="F1060" i="1"/>
  <c r="D1060" i="1"/>
  <c r="B1060" i="1"/>
  <c r="S1059" i="1"/>
  <c r="L1059" i="1"/>
  <c r="K1059" i="1"/>
  <c r="J1059" i="1"/>
  <c r="H1059" i="1"/>
  <c r="G1059" i="1"/>
  <c r="F1059" i="1"/>
  <c r="D1059" i="1"/>
  <c r="B1059" i="1"/>
  <c r="S1058" i="1"/>
  <c r="L1058" i="1"/>
  <c r="K1058" i="1"/>
  <c r="J1058" i="1"/>
  <c r="H1058" i="1"/>
  <c r="G1058" i="1"/>
  <c r="F1058" i="1"/>
  <c r="D1058" i="1"/>
  <c r="B1058" i="1"/>
  <c r="S1057" i="1"/>
  <c r="L1057" i="1"/>
  <c r="K1057" i="1"/>
  <c r="J1057" i="1"/>
  <c r="H1057" i="1"/>
  <c r="G1057" i="1"/>
  <c r="F1057" i="1"/>
  <c r="D1057" i="1"/>
  <c r="B1057" i="1"/>
  <c r="S1056" i="1"/>
  <c r="L1056" i="1"/>
  <c r="K1056" i="1"/>
  <c r="J1056" i="1"/>
  <c r="H1056" i="1"/>
  <c r="G1056" i="1"/>
  <c r="F1056" i="1"/>
  <c r="D1056" i="1"/>
  <c r="B1056" i="1"/>
  <c r="S1055" i="1"/>
  <c r="L1055" i="1"/>
  <c r="K1055" i="1"/>
  <c r="J1055" i="1"/>
  <c r="H1055" i="1"/>
  <c r="G1055" i="1"/>
  <c r="F1055" i="1"/>
  <c r="D1055" i="1"/>
  <c r="B1055" i="1"/>
  <c r="S1054" i="1"/>
  <c r="L1054" i="1"/>
  <c r="K1054" i="1"/>
  <c r="J1054" i="1"/>
  <c r="H1054" i="1"/>
  <c r="G1054" i="1"/>
  <c r="F1054" i="1"/>
  <c r="D1054" i="1"/>
  <c r="B1054" i="1"/>
  <c r="S1053" i="1"/>
  <c r="L1053" i="1"/>
  <c r="K1053" i="1"/>
  <c r="J1053" i="1"/>
  <c r="H1053" i="1"/>
  <c r="G1053" i="1"/>
  <c r="F1053" i="1"/>
  <c r="D1053" i="1"/>
  <c r="B1053" i="1"/>
  <c r="S1052" i="1"/>
  <c r="L1052" i="1"/>
  <c r="K1052" i="1"/>
  <c r="J1052" i="1"/>
  <c r="H1052" i="1"/>
  <c r="G1052" i="1"/>
  <c r="F1052" i="1"/>
  <c r="D1052" i="1"/>
  <c r="B1052" i="1"/>
  <c r="S1051" i="1"/>
  <c r="L1051" i="1"/>
  <c r="K1051" i="1"/>
  <c r="J1051" i="1"/>
  <c r="H1051" i="1"/>
  <c r="G1051" i="1"/>
  <c r="F1051" i="1"/>
  <c r="D1051" i="1"/>
  <c r="B1051" i="1"/>
  <c r="S1050" i="1"/>
  <c r="L1050" i="1"/>
  <c r="K1050" i="1"/>
  <c r="J1050" i="1"/>
  <c r="H1050" i="1"/>
  <c r="G1050" i="1"/>
  <c r="F1050" i="1"/>
  <c r="D1050" i="1"/>
  <c r="B1050" i="1"/>
  <c r="S1049" i="1"/>
  <c r="L1049" i="1"/>
  <c r="K1049" i="1"/>
  <c r="J1049" i="1"/>
  <c r="H1049" i="1"/>
  <c r="G1049" i="1"/>
  <c r="F1049" i="1"/>
  <c r="D1049" i="1"/>
  <c r="B1049" i="1"/>
  <c r="S1048" i="1"/>
  <c r="L1048" i="1"/>
  <c r="K1048" i="1"/>
  <c r="J1048" i="1"/>
  <c r="H1048" i="1"/>
  <c r="G1048" i="1"/>
  <c r="F1048" i="1"/>
  <c r="D1048" i="1"/>
  <c r="B1048" i="1"/>
  <c r="S1047" i="1"/>
  <c r="Q1047" i="1"/>
  <c r="L1047" i="1"/>
  <c r="K1047" i="1"/>
  <c r="J1047" i="1"/>
  <c r="I1047" i="1"/>
  <c r="H1047" i="1"/>
  <c r="G1047" i="1"/>
  <c r="F1047" i="1"/>
  <c r="D1047" i="1"/>
  <c r="B1047" i="1"/>
  <c r="S1046" i="1"/>
  <c r="L1046" i="1"/>
  <c r="K1046" i="1"/>
  <c r="J1046" i="1"/>
  <c r="H1046" i="1"/>
  <c r="G1046" i="1"/>
  <c r="F1046" i="1"/>
  <c r="D1046" i="1"/>
  <c r="B1046" i="1"/>
  <c r="S1045" i="1"/>
  <c r="L1045" i="1"/>
  <c r="K1045" i="1"/>
  <c r="J1045" i="1"/>
  <c r="H1045" i="1"/>
  <c r="G1045" i="1"/>
  <c r="F1045" i="1"/>
  <c r="D1045" i="1"/>
  <c r="B1045" i="1"/>
  <c r="S1044" i="1"/>
  <c r="L1044" i="1"/>
  <c r="K1044" i="1"/>
  <c r="J1044" i="1"/>
  <c r="H1044" i="1"/>
  <c r="G1044" i="1"/>
  <c r="F1044" i="1"/>
  <c r="D1044" i="1"/>
  <c r="B1044" i="1"/>
  <c r="S1043" i="1"/>
  <c r="L1043" i="1"/>
  <c r="K1043" i="1"/>
  <c r="J1043" i="1"/>
  <c r="H1043" i="1"/>
  <c r="G1043" i="1"/>
  <c r="F1043" i="1"/>
  <c r="D1043" i="1"/>
  <c r="B1043" i="1"/>
  <c r="S1042" i="1"/>
  <c r="L1042" i="1"/>
  <c r="K1042" i="1"/>
  <c r="J1042" i="1"/>
  <c r="H1042" i="1"/>
  <c r="G1042" i="1"/>
  <c r="F1042" i="1"/>
  <c r="D1042" i="1"/>
  <c r="B1042" i="1"/>
  <c r="S1041" i="1"/>
  <c r="Q1041" i="1"/>
  <c r="L1041" i="1"/>
  <c r="K1041" i="1"/>
  <c r="J1041" i="1"/>
  <c r="H1041" i="1"/>
  <c r="G1041" i="1"/>
  <c r="F1041" i="1"/>
  <c r="D1041" i="1"/>
  <c r="B1041" i="1"/>
  <c r="S1040" i="1"/>
  <c r="L1040" i="1"/>
  <c r="K1040" i="1"/>
  <c r="J1040" i="1"/>
  <c r="H1040" i="1"/>
  <c r="G1040" i="1"/>
  <c r="F1040" i="1"/>
  <c r="D1040" i="1"/>
  <c r="B1040" i="1"/>
  <c r="S1039" i="1"/>
  <c r="Q1039" i="1"/>
  <c r="L1039" i="1"/>
  <c r="K1039" i="1"/>
  <c r="J1039" i="1"/>
  <c r="H1039" i="1"/>
  <c r="G1039" i="1"/>
  <c r="F1039" i="1"/>
  <c r="D1039" i="1"/>
  <c r="B1039" i="1"/>
  <c r="S1038" i="1"/>
  <c r="Q1038" i="1"/>
  <c r="L1038" i="1"/>
  <c r="K1038" i="1"/>
  <c r="J1038" i="1"/>
  <c r="H1038" i="1"/>
  <c r="G1038" i="1"/>
  <c r="F1038" i="1"/>
  <c r="D1038" i="1"/>
  <c r="B1038" i="1"/>
  <c r="S1037" i="1"/>
  <c r="Q1037" i="1"/>
  <c r="L1037" i="1"/>
  <c r="K1037" i="1"/>
  <c r="J1037" i="1"/>
  <c r="H1037" i="1"/>
  <c r="G1037" i="1"/>
  <c r="F1037" i="1"/>
  <c r="D1037" i="1"/>
  <c r="B1037" i="1"/>
  <c r="S1036" i="1"/>
  <c r="L1036" i="1"/>
  <c r="K1036" i="1"/>
  <c r="J1036" i="1"/>
  <c r="H1036" i="1"/>
  <c r="G1036" i="1"/>
  <c r="F1036" i="1"/>
  <c r="D1036" i="1"/>
  <c r="B1036" i="1"/>
  <c r="S1035" i="1"/>
  <c r="Q1035" i="1"/>
  <c r="L1035" i="1"/>
  <c r="K1035" i="1"/>
  <c r="J1035" i="1"/>
  <c r="H1035" i="1"/>
  <c r="G1035" i="1"/>
  <c r="F1035" i="1"/>
  <c r="D1035" i="1"/>
  <c r="B1035" i="1"/>
  <c r="S1034" i="1"/>
  <c r="Q1034" i="1"/>
  <c r="L1034" i="1"/>
  <c r="K1034" i="1"/>
  <c r="J1034" i="1"/>
  <c r="H1034" i="1"/>
  <c r="G1034" i="1"/>
  <c r="F1034" i="1"/>
  <c r="D1034" i="1"/>
  <c r="B1034" i="1"/>
  <c r="S1033" i="1"/>
  <c r="L1033" i="1"/>
  <c r="K1033" i="1"/>
  <c r="J1033" i="1"/>
  <c r="H1033" i="1"/>
  <c r="G1033" i="1"/>
  <c r="F1033" i="1"/>
  <c r="D1033" i="1"/>
  <c r="B1033" i="1"/>
  <c r="S1032" i="1"/>
  <c r="L1032" i="1"/>
  <c r="K1032" i="1"/>
  <c r="J1032" i="1"/>
  <c r="H1032" i="1"/>
  <c r="G1032" i="1"/>
  <c r="F1032" i="1"/>
  <c r="D1032" i="1"/>
  <c r="B1032" i="1"/>
  <c r="S1031" i="1"/>
  <c r="L1031" i="1"/>
  <c r="K1031" i="1"/>
  <c r="J1031" i="1"/>
  <c r="H1031" i="1"/>
  <c r="G1031" i="1"/>
  <c r="F1031" i="1"/>
  <c r="D1031" i="1"/>
  <c r="B1031" i="1"/>
  <c r="S1030" i="1"/>
  <c r="L1030" i="1"/>
  <c r="K1030" i="1"/>
  <c r="J1030" i="1"/>
  <c r="H1030" i="1"/>
  <c r="G1030" i="1"/>
  <c r="F1030" i="1"/>
  <c r="D1030" i="1"/>
  <c r="B1030" i="1"/>
  <c r="S1029" i="1"/>
  <c r="L1029" i="1"/>
  <c r="K1029" i="1"/>
  <c r="J1029" i="1"/>
  <c r="H1029" i="1"/>
  <c r="G1029" i="1"/>
  <c r="F1029" i="1"/>
  <c r="D1029" i="1"/>
  <c r="B1029" i="1"/>
  <c r="S1028" i="1"/>
  <c r="L1028" i="1"/>
  <c r="K1028" i="1"/>
  <c r="J1028" i="1"/>
  <c r="H1028" i="1"/>
  <c r="G1028" i="1"/>
  <c r="F1028" i="1"/>
  <c r="D1028" i="1"/>
  <c r="B1028" i="1"/>
  <c r="S1027" i="1"/>
  <c r="Q1027" i="1"/>
  <c r="L1027" i="1"/>
  <c r="K1027" i="1"/>
  <c r="J1027" i="1"/>
  <c r="H1027" i="1"/>
  <c r="G1027" i="1"/>
  <c r="F1027" i="1"/>
  <c r="D1027" i="1"/>
  <c r="B1027" i="1"/>
  <c r="S1026" i="1"/>
  <c r="Q1026" i="1"/>
  <c r="L1026" i="1"/>
  <c r="K1026" i="1"/>
  <c r="J1026" i="1"/>
  <c r="H1026" i="1"/>
  <c r="G1026" i="1"/>
  <c r="F1026" i="1"/>
  <c r="D1026" i="1"/>
  <c r="B1026" i="1"/>
  <c r="S1025" i="1"/>
  <c r="Q1025" i="1"/>
  <c r="L1025" i="1"/>
  <c r="K1025" i="1"/>
  <c r="J1025" i="1"/>
  <c r="H1025" i="1"/>
  <c r="G1025" i="1"/>
  <c r="F1025" i="1"/>
  <c r="D1025" i="1"/>
  <c r="B1025" i="1"/>
  <c r="S1024" i="1"/>
  <c r="Q1024" i="1"/>
  <c r="L1024" i="1"/>
  <c r="K1024" i="1"/>
  <c r="J1024" i="1"/>
  <c r="H1024" i="1"/>
  <c r="G1024" i="1"/>
  <c r="F1024" i="1"/>
  <c r="D1024" i="1"/>
  <c r="B1024" i="1"/>
  <c r="S1023" i="1"/>
  <c r="Q1023" i="1"/>
  <c r="L1023" i="1"/>
  <c r="K1023" i="1"/>
  <c r="J1023" i="1"/>
  <c r="H1023" i="1"/>
  <c r="G1023" i="1"/>
  <c r="F1023" i="1"/>
  <c r="D1023" i="1"/>
  <c r="B1023" i="1"/>
  <c r="S1022" i="1"/>
  <c r="Q1022" i="1"/>
  <c r="L1022" i="1"/>
  <c r="K1022" i="1"/>
  <c r="J1022" i="1"/>
  <c r="I1022" i="1"/>
  <c r="H1022" i="1"/>
  <c r="G1022" i="1"/>
  <c r="F1022" i="1"/>
  <c r="D1022" i="1"/>
  <c r="B1022" i="1"/>
  <c r="S1021" i="1"/>
  <c r="Q1021" i="1"/>
  <c r="L1021" i="1"/>
  <c r="K1021" i="1"/>
  <c r="J1021" i="1"/>
  <c r="H1021" i="1"/>
  <c r="G1021" i="1"/>
  <c r="F1021" i="1"/>
  <c r="D1021" i="1"/>
  <c r="B1021" i="1"/>
  <c r="S1020" i="1"/>
  <c r="Q1020" i="1"/>
  <c r="L1020" i="1"/>
  <c r="K1020" i="1"/>
  <c r="J1020" i="1"/>
  <c r="H1020" i="1"/>
  <c r="G1020" i="1"/>
  <c r="F1020" i="1"/>
  <c r="D1020" i="1"/>
  <c r="B1020" i="1"/>
  <c r="S1019" i="1"/>
  <c r="Q1019" i="1"/>
  <c r="L1019" i="1"/>
  <c r="K1019" i="1"/>
  <c r="J1019" i="1"/>
  <c r="H1019" i="1"/>
  <c r="G1019" i="1"/>
  <c r="F1019" i="1"/>
  <c r="D1019" i="1"/>
  <c r="B1019" i="1"/>
  <c r="S1018" i="1"/>
  <c r="Q1018" i="1"/>
  <c r="L1018" i="1"/>
  <c r="K1018" i="1"/>
  <c r="J1018" i="1"/>
  <c r="H1018" i="1"/>
  <c r="G1018" i="1"/>
  <c r="F1018" i="1"/>
  <c r="D1018" i="1"/>
  <c r="B1018" i="1"/>
  <c r="S1017" i="1"/>
  <c r="L1017" i="1"/>
  <c r="K1017" i="1"/>
  <c r="J1017" i="1"/>
  <c r="H1017" i="1"/>
  <c r="G1017" i="1"/>
  <c r="F1017" i="1"/>
  <c r="D1017" i="1"/>
  <c r="B1017" i="1"/>
  <c r="S1016" i="1"/>
  <c r="L1016" i="1"/>
  <c r="K1016" i="1"/>
  <c r="J1016" i="1"/>
  <c r="H1016" i="1"/>
  <c r="G1016" i="1"/>
  <c r="F1016" i="1"/>
  <c r="D1016" i="1"/>
  <c r="B1016" i="1"/>
  <c r="S1015" i="1"/>
  <c r="L1015" i="1"/>
  <c r="K1015" i="1"/>
  <c r="J1015" i="1"/>
  <c r="H1015" i="1"/>
  <c r="G1015" i="1"/>
  <c r="F1015" i="1"/>
  <c r="D1015" i="1"/>
  <c r="B1015" i="1"/>
  <c r="S1014" i="1"/>
  <c r="L1014" i="1"/>
  <c r="K1014" i="1"/>
  <c r="J1014" i="1"/>
  <c r="H1014" i="1"/>
  <c r="G1014" i="1"/>
  <c r="F1014" i="1"/>
  <c r="D1014" i="1"/>
  <c r="B1014" i="1"/>
  <c r="S1013" i="1"/>
  <c r="L1013" i="1"/>
  <c r="K1013" i="1"/>
  <c r="J1013" i="1"/>
  <c r="H1013" i="1"/>
  <c r="G1013" i="1"/>
  <c r="F1013" i="1"/>
  <c r="D1013" i="1"/>
  <c r="B1013" i="1"/>
  <c r="S1012" i="1"/>
  <c r="L1012" i="1"/>
  <c r="K1012" i="1"/>
  <c r="J1012" i="1"/>
  <c r="H1012" i="1"/>
  <c r="G1012" i="1"/>
  <c r="F1012" i="1"/>
  <c r="D1012" i="1"/>
  <c r="B1012" i="1"/>
  <c r="S1011" i="1"/>
  <c r="Q1011" i="1"/>
  <c r="L1011" i="1"/>
  <c r="K1011" i="1"/>
  <c r="J1011" i="1"/>
  <c r="H1011" i="1"/>
  <c r="G1011" i="1"/>
  <c r="F1011" i="1"/>
  <c r="D1011" i="1"/>
  <c r="B1011" i="1"/>
  <c r="S1010" i="1"/>
  <c r="Q1010" i="1"/>
  <c r="L1010" i="1"/>
  <c r="K1010" i="1"/>
  <c r="J1010" i="1"/>
  <c r="H1010" i="1"/>
  <c r="G1010" i="1"/>
  <c r="F1010" i="1"/>
  <c r="D1010" i="1"/>
  <c r="B1010" i="1"/>
  <c r="S1009" i="1"/>
  <c r="Q1009" i="1"/>
  <c r="L1009" i="1"/>
  <c r="K1009" i="1"/>
  <c r="J1009" i="1"/>
  <c r="H1009" i="1"/>
  <c r="G1009" i="1"/>
  <c r="F1009" i="1"/>
  <c r="D1009" i="1"/>
  <c r="B1009" i="1"/>
  <c r="S1008" i="1"/>
  <c r="Q1008" i="1"/>
  <c r="L1008" i="1"/>
  <c r="K1008" i="1"/>
  <c r="J1008" i="1"/>
  <c r="H1008" i="1"/>
  <c r="G1008" i="1"/>
  <c r="F1008" i="1"/>
  <c r="D1008" i="1"/>
  <c r="B1008" i="1"/>
  <c r="S1007" i="1"/>
  <c r="Q1007" i="1"/>
  <c r="L1007" i="1"/>
  <c r="K1007" i="1"/>
  <c r="J1007" i="1"/>
  <c r="H1007" i="1"/>
  <c r="G1007" i="1"/>
  <c r="F1007" i="1"/>
  <c r="D1007" i="1"/>
  <c r="B1007" i="1"/>
  <c r="S1006" i="1"/>
  <c r="Q1006" i="1"/>
  <c r="L1006" i="1"/>
  <c r="K1006" i="1"/>
  <c r="J1006" i="1"/>
  <c r="H1006" i="1"/>
  <c r="G1006" i="1"/>
  <c r="F1006" i="1"/>
  <c r="D1006" i="1"/>
  <c r="B1006" i="1"/>
  <c r="S1005" i="1"/>
  <c r="Q1005" i="1"/>
  <c r="L1005" i="1"/>
  <c r="K1005" i="1"/>
  <c r="J1005" i="1"/>
  <c r="H1005" i="1"/>
  <c r="G1005" i="1"/>
  <c r="F1005" i="1"/>
  <c r="D1005" i="1"/>
  <c r="B1005" i="1"/>
  <c r="S1004" i="1"/>
  <c r="L1004" i="1"/>
  <c r="K1004" i="1"/>
  <c r="J1004" i="1"/>
  <c r="H1004" i="1"/>
  <c r="G1004" i="1"/>
  <c r="F1004" i="1"/>
  <c r="D1004" i="1"/>
  <c r="B1004" i="1"/>
  <c r="S1003" i="1"/>
  <c r="Q1003" i="1"/>
  <c r="L1003" i="1"/>
  <c r="K1003" i="1"/>
  <c r="J1003" i="1"/>
  <c r="I1003" i="1"/>
  <c r="H1003" i="1"/>
  <c r="G1003" i="1"/>
  <c r="F1003" i="1"/>
  <c r="D1003" i="1"/>
  <c r="B1003" i="1"/>
  <c r="S1002" i="1"/>
  <c r="L1002" i="1"/>
  <c r="K1002" i="1"/>
  <c r="J1002" i="1"/>
  <c r="H1002" i="1"/>
  <c r="G1002" i="1"/>
  <c r="F1002" i="1"/>
  <c r="D1002" i="1"/>
  <c r="B1002" i="1"/>
  <c r="S1001" i="1"/>
  <c r="L1001" i="1"/>
  <c r="K1001" i="1"/>
  <c r="J1001" i="1"/>
  <c r="H1001" i="1"/>
  <c r="G1001" i="1"/>
  <c r="F1001" i="1"/>
  <c r="D1001" i="1"/>
  <c r="B1001" i="1"/>
  <c r="S1000" i="1"/>
  <c r="L1000" i="1"/>
  <c r="K1000" i="1"/>
  <c r="J1000" i="1"/>
  <c r="H1000" i="1"/>
  <c r="G1000" i="1"/>
  <c r="F1000" i="1"/>
  <c r="D1000" i="1"/>
  <c r="B1000" i="1"/>
  <c r="S999" i="1"/>
  <c r="L999" i="1"/>
  <c r="K999" i="1"/>
  <c r="J999" i="1"/>
  <c r="H999" i="1"/>
  <c r="G999" i="1"/>
  <c r="F999" i="1"/>
  <c r="D999" i="1"/>
  <c r="B999" i="1"/>
  <c r="S998" i="1"/>
  <c r="L998" i="1"/>
  <c r="K998" i="1"/>
  <c r="J998" i="1"/>
  <c r="H998" i="1"/>
  <c r="G998" i="1"/>
  <c r="F998" i="1"/>
  <c r="D998" i="1"/>
  <c r="B998" i="1"/>
  <c r="S997" i="1"/>
  <c r="L997" i="1"/>
  <c r="K997" i="1"/>
  <c r="J997" i="1"/>
  <c r="H997" i="1"/>
  <c r="G997" i="1"/>
  <c r="F997" i="1"/>
  <c r="D997" i="1"/>
  <c r="B997" i="1"/>
  <c r="S996" i="1"/>
  <c r="L996" i="1"/>
  <c r="K996" i="1"/>
  <c r="J996" i="1"/>
  <c r="H996" i="1"/>
  <c r="G996" i="1"/>
  <c r="F996" i="1"/>
  <c r="D996" i="1"/>
  <c r="B996" i="1"/>
  <c r="S995" i="1"/>
  <c r="L995" i="1"/>
  <c r="K995" i="1"/>
  <c r="J995" i="1"/>
  <c r="H995" i="1"/>
  <c r="G995" i="1"/>
  <c r="F995" i="1"/>
  <c r="D995" i="1"/>
  <c r="B995" i="1"/>
  <c r="S994" i="1"/>
  <c r="Q994" i="1"/>
  <c r="L994" i="1"/>
  <c r="K994" i="1"/>
  <c r="J994" i="1"/>
  <c r="H994" i="1"/>
  <c r="G994" i="1"/>
  <c r="F994" i="1"/>
  <c r="D994" i="1"/>
  <c r="B994" i="1"/>
  <c r="S993" i="1"/>
  <c r="L993" i="1"/>
  <c r="K993" i="1"/>
  <c r="J993" i="1"/>
  <c r="H993" i="1"/>
  <c r="G993" i="1"/>
  <c r="F993" i="1"/>
  <c r="D993" i="1"/>
  <c r="B993" i="1"/>
  <c r="S992" i="1"/>
  <c r="Q992" i="1"/>
  <c r="L992" i="1"/>
  <c r="K992" i="1"/>
  <c r="J992" i="1"/>
  <c r="I992" i="1"/>
  <c r="H992" i="1"/>
  <c r="G992" i="1"/>
  <c r="F992" i="1"/>
  <c r="D992" i="1"/>
  <c r="B992" i="1"/>
  <c r="S991" i="1"/>
  <c r="L991" i="1"/>
  <c r="K991" i="1"/>
  <c r="J991" i="1"/>
  <c r="H991" i="1"/>
  <c r="G991" i="1"/>
  <c r="F991" i="1"/>
  <c r="D991" i="1"/>
  <c r="B991" i="1"/>
  <c r="S990" i="1"/>
  <c r="L990" i="1"/>
  <c r="K990" i="1"/>
  <c r="J990" i="1"/>
  <c r="H990" i="1"/>
  <c r="G990" i="1"/>
  <c r="F990" i="1"/>
  <c r="D990" i="1"/>
  <c r="B990" i="1"/>
  <c r="S989" i="1"/>
  <c r="Q989" i="1"/>
  <c r="L989" i="1"/>
  <c r="K989" i="1"/>
  <c r="J989" i="1"/>
  <c r="H989" i="1"/>
  <c r="G989" i="1"/>
  <c r="F989" i="1"/>
  <c r="D989" i="1"/>
  <c r="B989" i="1"/>
  <c r="S988" i="1"/>
  <c r="Q988" i="1"/>
  <c r="L988" i="1"/>
  <c r="K988" i="1"/>
  <c r="J988" i="1"/>
  <c r="H988" i="1"/>
  <c r="G988" i="1"/>
  <c r="F988" i="1"/>
  <c r="D988" i="1"/>
  <c r="B988" i="1"/>
  <c r="S987" i="1"/>
  <c r="Q987" i="1"/>
  <c r="L987" i="1"/>
  <c r="K987" i="1"/>
  <c r="J987" i="1"/>
  <c r="H987" i="1"/>
  <c r="G987" i="1"/>
  <c r="F987" i="1"/>
  <c r="D987" i="1"/>
  <c r="B987" i="1"/>
  <c r="S986" i="1"/>
  <c r="L986" i="1"/>
  <c r="K986" i="1"/>
  <c r="J986" i="1"/>
  <c r="H986" i="1"/>
  <c r="G986" i="1"/>
  <c r="F986" i="1"/>
  <c r="D986" i="1"/>
  <c r="B986" i="1"/>
  <c r="S985" i="1"/>
  <c r="L985" i="1"/>
  <c r="K985" i="1"/>
  <c r="J985" i="1"/>
  <c r="H985" i="1"/>
  <c r="G985" i="1"/>
  <c r="F985" i="1"/>
  <c r="D985" i="1"/>
  <c r="B985" i="1"/>
  <c r="S984" i="1"/>
  <c r="L984" i="1"/>
  <c r="K984" i="1"/>
  <c r="J984" i="1"/>
  <c r="H984" i="1"/>
  <c r="G984" i="1"/>
  <c r="F984" i="1"/>
  <c r="D984" i="1"/>
  <c r="B984" i="1"/>
  <c r="S983" i="1"/>
  <c r="Q983" i="1"/>
  <c r="L983" i="1"/>
  <c r="K983" i="1"/>
  <c r="J983" i="1"/>
  <c r="H983" i="1"/>
  <c r="G983" i="1"/>
  <c r="F983" i="1"/>
  <c r="D983" i="1"/>
  <c r="B983" i="1"/>
  <c r="S982" i="1"/>
  <c r="Q982" i="1"/>
  <c r="L982" i="1"/>
  <c r="K982" i="1"/>
  <c r="J982" i="1"/>
  <c r="H982" i="1"/>
  <c r="G982" i="1"/>
  <c r="F982" i="1"/>
  <c r="D982" i="1"/>
  <c r="B982" i="1"/>
  <c r="S981" i="1"/>
  <c r="L981" i="1"/>
  <c r="K981" i="1"/>
  <c r="J981" i="1"/>
  <c r="H981" i="1"/>
  <c r="G981" i="1"/>
  <c r="F981" i="1"/>
  <c r="D981" i="1"/>
  <c r="B981" i="1"/>
  <c r="S980" i="1"/>
  <c r="Q980" i="1"/>
  <c r="L980" i="1"/>
  <c r="K980" i="1"/>
  <c r="J980" i="1"/>
  <c r="H980" i="1"/>
  <c r="G980" i="1"/>
  <c r="F980" i="1"/>
  <c r="D980" i="1"/>
  <c r="B980" i="1"/>
  <c r="S979" i="1"/>
  <c r="Q979" i="1"/>
  <c r="L979" i="1"/>
  <c r="K979" i="1"/>
  <c r="J979" i="1"/>
  <c r="H979" i="1"/>
  <c r="G979" i="1"/>
  <c r="F979" i="1"/>
  <c r="D979" i="1"/>
  <c r="B979" i="1"/>
  <c r="S978" i="1"/>
  <c r="Q978" i="1"/>
  <c r="L978" i="1"/>
  <c r="K978" i="1"/>
  <c r="J978" i="1"/>
  <c r="H978" i="1"/>
  <c r="G978" i="1"/>
  <c r="F978" i="1"/>
  <c r="D978" i="1"/>
  <c r="B978" i="1"/>
  <c r="S977" i="1"/>
  <c r="Q977" i="1"/>
  <c r="L977" i="1"/>
  <c r="K977" i="1"/>
  <c r="J977" i="1"/>
  <c r="H977" i="1"/>
  <c r="G977" i="1"/>
  <c r="F977" i="1"/>
  <c r="D977" i="1"/>
  <c r="B977" i="1"/>
  <c r="S976" i="1"/>
  <c r="Q976" i="1"/>
  <c r="L976" i="1"/>
  <c r="K976" i="1"/>
  <c r="J976" i="1"/>
  <c r="H976" i="1"/>
  <c r="G976" i="1"/>
  <c r="F976" i="1"/>
  <c r="D976" i="1"/>
  <c r="B976" i="1"/>
  <c r="S975" i="1"/>
  <c r="Q975" i="1"/>
  <c r="L975" i="1"/>
  <c r="K975" i="1"/>
  <c r="J975" i="1"/>
  <c r="H975" i="1"/>
  <c r="G975" i="1"/>
  <c r="F975" i="1"/>
  <c r="D975" i="1"/>
  <c r="B975" i="1"/>
  <c r="S974" i="1"/>
  <c r="L974" i="1"/>
  <c r="K974" i="1"/>
  <c r="J974" i="1"/>
  <c r="H974" i="1"/>
  <c r="G974" i="1"/>
  <c r="F974" i="1"/>
  <c r="D974" i="1"/>
  <c r="B974" i="1"/>
  <c r="S973" i="1"/>
  <c r="Q973" i="1"/>
  <c r="L973" i="1"/>
  <c r="K973" i="1"/>
  <c r="J973" i="1"/>
  <c r="H973" i="1"/>
  <c r="G973" i="1"/>
  <c r="F973" i="1"/>
  <c r="D973" i="1"/>
  <c r="B973" i="1"/>
  <c r="S972" i="1"/>
  <c r="Q972" i="1"/>
  <c r="L972" i="1"/>
  <c r="K972" i="1"/>
  <c r="J972" i="1"/>
  <c r="H972" i="1"/>
  <c r="G972" i="1"/>
  <c r="F972" i="1"/>
  <c r="D972" i="1"/>
  <c r="B972" i="1"/>
  <c r="S971" i="1"/>
  <c r="L971" i="1"/>
  <c r="K971" i="1"/>
  <c r="J971" i="1"/>
  <c r="H971" i="1"/>
  <c r="G971" i="1"/>
  <c r="F971" i="1"/>
  <c r="D971" i="1"/>
  <c r="B971" i="1"/>
  <c r="S970" i="1"/>
  <c r="L970" i="1"/>
  <c r="K970" i="1"/>
  <c r="J970" i="1"/>
  <c r="H970" i="1"/>
  <c r="G970" i="1"/>
  <c r="F970" i="1"/>
  <c r="D970" i="1"/>
  <c r="B970" i="1"/>
  <c r="S969" i="1"/>
  <c r="L969" i="1"/>
  <c r="K969" i="1"/>
  <c r="J969" i="1"/>
  <c r="H969" i="1"/>
  <c r="G969" i="1"/>
  <c r="F969" i="1"/>
  <c r="D969" i="1"/>
  <c r="B969" i="1"/>
  <c r="S968" i="1"/>
  <c r="L968" i="1"/>
  <c r="K968" i="1"/>
  <c r="J968" i="1"/>
  <c r="H968" i="1"/>
  <c r="G968" i="1"/>
  <c r="F968" i="1"/>
  <c r="D968" i="1"/>
  <c r="B968" i="1"/>
  <c r="S967" i="1"/>
  <c r="L967" i="1"/>
  <c r="K967" i="1"/>
  <c r="J967" i="1"/>
  <c r="H967" i="1"/>
  <c r="G967" i="1"/>
  <c r="F967" i="1"/>
  <c r="D967" i="1"/>
  <c r="B967" i="1"/>
  <c r="S966" i="1"/>
  <c r="L966" i="1"/>
  <c r="K966" i="1"/>
  <c r="J966" i="1"/>
  <c r="H966" i="1"/>
  <c r="G966" i="1"/>
  <c r="F966" i="1"/>
  <c r="D966" i="1"/>
  <c r="B966" i="1"/>
  <c r="S965" i="1"/>
  <c r="L965" i="1"/>
  <c r="K965" i="1"/>
  <c r="J965" i="1"/>
  <c r="H965" i="1"/>
  <c r="G965" i="1"/>
  <c r="F965" i="1"/>
  <c r="D965" i="1"/>
  <c r="B965" i="1"/>
  <c r="S964" i="1"/>
  <c r="Q964" i="1"/>
  <c r="L964" i="1"/>
  <c r="K964" i="1"/>
  <c r="J964" i="1"/>
  <c r="H964" i="1"/>
  <c r="G964" i="1"/>
  <c r="F964" i="1"/>
  <c r="D964" i="1"/>
  <c r="B964" i="1"/>
  <c r="S963" i="1"/>
  <c r="Q963" i="1"/>
  <c r="L963" i="1"/>
  <c r="K963" i="1"/>
  <c r="J963" i="1"/>
  <c r="H963" i="1"/>
  <c r="G963" i="1"/>
  <c r="F963" i="1"/>
  <c r="D963" i="1"/>
  <c r="B963" i="1"/>
  <c r="S962" i="1"/>
  <c r="Q962" i="1"/>
  <c r="L962" i="1"/>
  <c r="K962" i="1"/>
  <c r="J962" i="1"/>
  <c r="H962" i="1"/>
  <c r="G962" i="1"/>
  <c r="F962" i="1"/>
  <c r="D962" i="1"/>
  <c r="B962" i="1"/>
  <c r="S961" i="1"/>
  <c r="Q961" i="1"/>
  <c r="L961" i="1"/>
  <c r="K961" i="1"/>
  <c r="J961" i="1"/>
  <c r="H961" i="1"/>
  <c r="G961" i="1"/>
  <c r="F961" i="1"/>
  <c r="D961" i="1"/>
  <c r="B961" i="1"/>
  <c r="S960" i="1"/>
  <c r="Q960" i="1"/>
  <c r="L960" i="1"/>
  <c r="K960" i="1"/>
  <c r="J960" i="1"/>
  <c r="H960" i="1"/>
  <c r="G960" i="1"/>
  <c r="F960" i="1"/>
  <c r="D960" i="1"/>
  <c r="B960" i="1"/>
  <c r="S959" i="1"/>
  <c r="Q959" i="1"/>
  <c r="L959" i="1"/>
  <c r="K959" i="1"/>
  <c r="J959" i="1"/>
  <c r="H959" i="1"/>
  <c r="G959" i="1"/>
  <c r="F959" i="1"/>
  <c r="D959" i="1"/>
  <c r="B959" i="1"/>
  <c r="S958" i="1"/>
  <c r="L958" i="1"/>
  <c r="K958" i="1"/>
  <c r="J958" i="1"/>
  <c r="H958" i="1"/>
  <c r="G958" i="1"/>
  <c r="F958" i="1"/>
  <c r="D958" i="1"/>
  <c r="B958" i="1"/>
  <c r="S957" i="1"/>
  <c r="L957" i="1"/>
  <c r="K957" i="1"/>
  <c r="J957" i="1"/>
  <c r="H957" i="1"/>
  <c r="G957" i="1"/>
  <c r="F957" i="1"/>
  <c r="D957" i="1"/>
  <c r="B957" i="1"/>
  <c r="S956" i="1"/>
  <c r="Q956" i="1"/>
  <c r="L956" i="1"/>
  <c r="K956" i="1"/>
  <c r="J956" i="1"/>
  <c r="H956" i="1"/>
  <c r="G956" i="1"/>
  <c r="F956" i="1"/>
  <c r="D956" i="1"/>
  <c r="B956" i="1"/>
  <c r="S955" i="1"/>
  <c r="Q955" i="1"/>
  <c r="L955" i="1"/>
  <c r="K955" i="1"/>
  <c r="J955" i="1"/>
  <c r="H955" i="1"/>
  <c r="G955" i="1"/>
  <c r="F955" i="1"/>
  <c r="D955" i="1"/>
  <c r="B955" i="1"/>
  <c r="S954" i="1"/>
  <c r="L954" i="1"/>
  <c r="K954" i="1"/>
  <c r="J954" i="1"/>
  <c r="H954" i="1"/>
  <c r="G954" i="1"/>
  <c r="F954" i="1"/>
  <c r="D954" i="1"/>
  <c r="B954" i="1"/>
  <c r="S953" i="1"/>
  <c r="Q953" i="1"/>
  <c r="L953" i="1"/>
  <c r="K953" i="1"/>
  <c r="J953" i="1"/>
  <c r="H953" i="1"/>
  <c r="G953" i="1"/>
  <c r="F953" i="1"/>
  <c r="D953" i="1"/>
  <c r="B953" i="1"/>
  <c r="S952" i="1"/>
  <c r="L952" i="1"/>
  <c r="K952" i="1"/>
  <c r="J952" i="1"/>
  <c r="H952" i="1"/>
  <c r="G952" i="1"/>
  <c r="F952" i="1"/>
  <c r="D952" i="1"/>
  <c r="B952" i="1"/>
  <c r="S951" i="1"/>
  <c r="Q951" i="1"/>
  <c r="L951" i="1"/>
  <c r="K951" i="1"/>
  <c r="J951" i="1"/>
  <c r="I951" i="1"/>
  <c r="H951" i="1"/>
  <c r="G951" i="1"/>
  <c r="F951" i="1"/>
  <c r="D951" i="1"/>
  <c r="B951" i="1"/>
  <c r="S950" i="1"/>
  <c r="L950" i="1"/>
  <c r="K950" i="1"/>
  <c r="J950" i="1"/>
  <c r="H950" i="1"/>
  <c r="G950" i="1"/>
  <c r="F950" i="1"/>
  <c r="D950" i="1"/>
  <c r="B950" i="1"/>
  <c r="S949" i="1"/>
  <c r="L949" i="1"/>
  <c r="K949" i="1"/>
  <c r="J949" i="1"/>
  <c r="H949" i="1"/>
  <c r="G949" i="1"/>
  <c r="F949" i="1"/>
  <c r="D949" i="1"/>
  <c r="B949" i="1"/>
  <c r="S948" i="1"/>
  <c r="L948" i="1"/>
  <c r="K948" i="1"/>
  <c r="J948" i="1"/>
  <c r="H948" i="1"/>
  <c r="G948" i="1"/>
  <c r="F948" i="1"/>
  <c r="D948" i="1"/>
  <c r="B948" i="1"/>
  <c r="S947" i="1"/>
  <c r="L947" i="1"/>
  <c r="K947" i="1"/>
  <c r="J947" i="1"/>
  <c r="H947" i="1"/>
  <c r="G947" i="1"/>
  <c r="F947" i="1"/>
  <c r="D947" i="1"/>
  <c r="B947" i="1"/>
  <c r="S946" i="1"/>
  <c r="L946" i="1"/>
  <c r="K946" i="1"/>
  <c r="J946" i="1"/>
  <c r="H946" i="1"/>
  <c r="G946" i="1"/>
  <c r="F946" i="1"/>
  <c r="D946" i="1"/>
  <c r="B946" i="1"/>
  <c r="S945" i="1"/>
  <c r="L945" i="1"/>
  <c r="K945" i="1"/>
  <c r="J945" i="1"/>
  <c r="H945" i="1"/>
  <c r="G945" i="1"/>
  <c r="F945" i="1"/>
  <c r="D945" i="1"/>
  <c r="B945" i="1"/>
  <c r="S944" i="1"/>
  <c r="L944" i="1"/>
  <c r="K944" i="1"/>
  <c r="J944" i="1"/>
  <c r="H944" i="1"/>
  <c r="G944" i="1"/>
  <c r="F944" i="1"/>
  <c r="D944" i="1"/>
  <c r="B944" i="1"/>
  <c r="S943" i="1"/>
  <c r="L943" i="1"/>
  <c r="K943" i="1"/>
  <c r="J943" i="1"/>
  <c r="H943" i="1"/>
  <c r="G943" i="1"/>
  <c r="F943" i="1"/>
  <c r="D943" i="1"/>
  <c r="B943" i="1"/>
  <c r="S942" i="1"/>
  <c r="L942" i="1"/>
  <c r="K942" i="1"/>
  <c r="J942" i="1"/>
  <c r="H942" i="1"/>
  <c r="G942" i="1"/>
  <c r="F942" i="1"/>
  <c r="D942" i="1"/>
  <c r="B942" i="1"/>
  <c r="S941" i="1"/>
  <c r="L941" i="1"/>
  <c r="K941" i="1"/>
  <c r="J941" i="1"/>
  <c r="H941" i="1"/>
  <c r="G941" i="1"/>
  <c r="F941" i="1"/>
  <c r="D941" i="1"/>
  <c r="B941" i="1"/>
  <c r="S940" i="1"/>
  <c r="L940" i="1"/>
  <c r="K940" i="1"/>
  <c r="J940" i="1"/>
  <c r="H940" i="1"/>
  <c r="G940" i="1"/>
  <c r="F940" i="1"/>
  <c r="D940" i="1"/>
  <c r="B940" i="1"/>
  <c r="S939" i="1"/>
  <c r="L939" i="1"/>
  <c r="K939" i="1"/>
  <c r="J939" i="1"/>
  <c r="H939" i="1"/>
  <c r="G939" i="1"/>
  <c r="F939" i="1"/>
  <c r="D939" i="1"/>
  <c r="B939" i="1"/>
  <c r="S938" i="1"/>
  <c r="L938" i="1"/>
  <c r="K938" i="1"/>
  <c r="J938" i="1"/>
  <c r="H938" i="1"/>
  <c r="G938" i="1"/>
  <c r="F938" i="1"/>
  <c r="D938" i="1"/>
  <c r="B938" i="1"/>
  <c r="S937" i="1"/>
  <c r="Q937" i="1"/>
  <c r="L937" i="1"/>
  <c r="K937" i="1"/>
  <c r="J937" i="1"/>
  <c r="H937" i="1"/>
  <c r="G937" i="1"/>
  <c r="F937" i="1"/>
  <c r="D937" i="1"/>
  <c r="B937" i="1"/>
  <c r="S936" i="1"/>
  <c r="Q936" i="1"/>
  <c r="L936" i="1"/>
  <c r="K936" i="1"/>
  <c r="J936" i="1"/>
  <c r="I936" i="1"/>
  <c r="H936" i="1"/>
  <c r="G936" i="1"/>
  <c r="F936" i="1"/>
  <c r="D936" i="1"/>
  <c r="B936" i="1"/>
  <c r="S935" i="1"/>
  <c r="Q935" i="1"/>
  <c r="L935" i="1"/>
  <c r="K935" i="1"/>
  <c r="J935" i="1"/>
  <c r="I935" i="1"/>
  <c r="H935" i="1"/>
  <c r="G935" i="1"/>
  <c r="F935" i="1"/>
  <c r="D935" i="1"/>
  <c r="B935" i="1"/>
  <c r="S934" i="1"/>
  <c r="L934" i="1"/>
  <c r="K934" i="1"/>
  <c r="J934" i="1"/>
  <c r="H934" i="1"/>
  <c r="G934" i="1"/>
  <c r="F934" i="1"/>
  <c r="D934" i="1"/>
  <c r="B934" i="1"/>
  <c r="S933" i="1"/>
  <c r="Q933" i="1"/>
  <c r="L933" i="1"/>
  <c r="K933" i="1"/>
  <c r="J933" i="1"/>
  <c r="H933" i="1"/>
  <c r="G933" i="1"/>
  <c r="F933" i="1"/>
  <c r="D933" i="1"/>
  <c r="B933" i="1"/>
  <c r="S932" i="1"/>
  <c r="Q932" i="1"/>
  <c r="L932" i="1"/>
  <c r="K932" i="1"/>
  <c r="J932" i="1"/>
  <c r="H932" i="1"/>
  <c r="G932" i="1"/>
  <c r="F932" i="1"/>
  <c r="D932" i="1"/>
  <c r="B932" i="1"/>
  <c r="S931" i="1"/>
  <c r="L931" i="1"/>
  <c r="K931" i="1"/>
  <c r="J931" i="1"/>
  <c r="H931" i="1"/>
  <c r="G931" i="1"/>
  <c r="F931" i="1"/>
  <c r="D931" i="1"/>
  <c r="B931" i="1"/>
  <c r="S930" i="1"/>
  <c r="Q930" i="1"/>
  <c r="L930" i="1"/>
  <c r="K930" i="1"/>
  <c r="J930" i="1"/>
  <c r="H930" i="1"/>
  <c r="G930" i="1"/>
  <c r="F930" i="1"/>
  <c r="D930" i="1"/>
  <c r="B930" i="1"/>
  <c r="S929" i="1"/>
  <c r="L929" i="1"/>
  <c r="K929" i="1"/>
  <c r="J929" i="1"/>
  <c r="H929" i="1"/>
  <c r="G929" i="1"/>
  <c r="F929" i="1"/>
  <c r="D929" i="1"/>
  <c r="B929" i="1"/>
  <c r="S928" i="1"/>
  <c r="L928" i="1"/>
  <c r="K928" i="1"/>
  <c r="J928" i="1"/>
  <c r="H928" i="1"/>
  <c r="G928" i="1"/>
  <c r="F928" i="1"/>
  <c r="D928" i="1"/>
  <c r="B928" i="1"/>
  <c r="S927" i="1"/>
  <c r="L927" i="1"/>
  <c r="K927" i="1"/>
  <c r="J927" i="1"/>
  <c r="H927" i="1"/>
  <c r="G927" i="1"/>
  <c r="F927" i="1"/>
  <c r="D927" i="1"/>
  <c r="B927" i="1"/>
  <c r="S926" i="1"/>
  <c r="L926" i="1"/>
  <c r="K926" i="1"/>
  <c r="J926" i="1"/>
  <c r="H926" i="1"/>
  <c r="G926" i="1"/>
  <c r="F926" i="1"/>
  <c r="D926" i="1"/>
  <c r="B926" i="1"/>
  <c r="S925" i="1"/>
  <c r="L925" i="1"/>
  <c r="K925" i="1"/>
  <c r="J925" i="1"/>
  <c r="H925" i="1"/>
  <c r="G925" i="1"/>
  <c r="F925" i="1"/>
  <c r="D925" i="1"/>
  <c r="B925" i="1"/>
  <c r="S924" i="1"/>
  <c r="L924" i="1"/>
  <c r="K924" i="1"/>
  <c r="J924" i="1"/>
  <c r="H924" i="1"/>
  <c r="G924" i="1"/>
  <c r="F924" i="1"/>
  <c r="D924" i="1"/>
  <c r="B924" i="1"/>
  <c r="S923" i="1"/>
  <c r="Q923" i="1"/>
  <c r="L923" i="1"/>
  <c r="K923" i="1"/>
  <c r="J923" i="1"/>
  <c r="I923" i="1"/>
  <c r="H923" i="1"/>
  <c r="G923" i="1"/>
  <c r="F923" i="1"/>
  <c r="D923" i="1"/>
  <c r="B923" i="1"/>
  <c r="S922" i="1"/>
  <c r="L922" i="1"/>
  <c r="K922" i="1"/>
  <c r="J922" i="1"/>
  <c r="H922" i="1"/>
  <c r="G922" i="1"/>
  <c r="F922" i="1"/>
  <c r="D922" i="1"/>
  <c r="B922" i="1"/>
  <c r="S921" i="1"/>
  <c r="L921" i="1"/>
  <c r="K921" i="1"/>
  <c r="J921" i="1"/>
  <c r="H921" i="1"/>
  <c r="G921" i="1"/>
  <c r="F921" i="1"/>
  <c r="D921" i="1"/>
  <c r="B921" i="1"/>
  <c r="S920" i="1"/>
  <c r="L920" i="1"/>
  <c r="K920" i="1"/>
  <c r="J920" i="1"/>
  <c r="H920" i="1"/>
  <c r="G920" i="1"/>
  <c r="F920" i="1"/>
  <c r="D920" i="1"/>
  <c r="B920" i="1"/>
  <c r="S919" i="1"/>
  <c r="L919" i="1"/>
  <c r="K919" i="1"/>
  <c r="J919" i="1"/>
  <c r="H919" i="1"/>
  <c r="G919" i="1"/>
  <c r="F919" i="1"/>
  <c r="D919" i="1"/>
  <c r="B919" i="1"/>
  <c r="S918" i="1"/>
  <c r="L918" i="1"/>
  <c r="K918" i="1"/>
  <c r="J918" i="1"/>
  <c r="H918" i="1"/>
  <c r="G918" i="1"/>
  <c r="F918" i="1"/>
  <c r="D918" i="1"/>
  <c r="B918" i="1"/>
  <c r="S917" i="1"/>
  <c r="L917" i="1"/>
  <c r="K917" i="1"/>
  <c r="J917" i="1"/>
  <c r="H917" i="1"/>
  <c r="G917" i="1"/>
  <c r="F917" i="1"/>
  <c r="D917" i="1"/>
  <c r="B917" i="1"/>
  <c r="S916" i="1"/>
  <c r="L916" i="1"/>
  <c r="K916" i="1"/>
  <c r="J916" i="1"/>
  <c r="H916" i="1"/>
  <c r="G916" i="1"/>
  <c r="F916" i="1"/>
  <c r="D916" i="1"/>
  <c r="B916" i="1"/>
  <c r="S915" i="1"/>
  <c r="L915" i="1"/>
  <c r="K915" i="1"/>
  <c r="J915" i="1"/>
  <c r="H915" i="1"/>
  <c r="G915" i="1"/>
  <c r="F915" i="1"/>
  <c r="D915" i="1"/>
  <c r="B915" i="1"/>
  <c r="S914" i="1"/>
  <c r="L914" i="1"/>
  <c r="K914" i="1"/>
  <c r="J914" i="1"/>
  <c r="H914" i="1"/>
  <c r="G914" i="1"/>
  <c r="F914" i="1"/>
  <c r="D914" i="1"/>
  <c r="B914" i="1"/>
  <c r="S913" i="1"/>
  <c r="L913" i="1"/>
  <c r="K913" i="1"/>
  <c r="J913" i="1"/>
  <c r="H913" i="1"/>
  <c r="G913" i="1"/>
  <c r="F913" i="1"/>
  <c r="D913" i="1"/>
  <c r="B913" i="1"/>
  <c r="S912" i="1"/>
  <c r="L912" i="1"/>
  <c r="K912" i="1"/>
  <c r="J912" i="1"/>
  <c r="H912" i="1"/>
  <c r="G912" i="1"/>
  <c r="F912" i="1"/>
  <c r="D912" i="1"/>
  <c r="B912" i="1"/>
  <c r="S911" i="1"/>
  <c r="L911" i="1"/>
  <c r="K911" i="1"/>
  <c r="J911" i="1"/>
  <c r="H911" i="1"/>
  <c r="G911" i="1"/>
  <c r="F911" i="1"/>
  <c r="D911" i="1"/>
  <c r="B911" i="1"/>
  <c r="S910" i="1"/>
  <c r="L910" i="1"/>
  <c r="K910" i="1"/>
  <c r="J910" i="1"/>
  <c r="H910" i="1"/>
  <c r="G910" i="1"/>
  <c r="F910" i="1"/>
  <c r="D910" i="1"/>
  <c r="B910" i="1"/>
  <c r="S909" i="1"/>
  <c r="L909" i="1"/>
  <c r="K909" i="1"/>
  <c r="J909" i="1"/>
  <c r="H909" i="1"/>
  <c r="G909" i="1"/>
  <c r="F909" i="1"/>
  <c r="D909" i="1"/>
  <c r="B909" i="1"/>
  <c r="S908" i="1"/>
  <c r="Q908" i="1"/>
  <c r="L908" i="1"/>
  <c r="K908" i="1"/>
  <c r="J908" i="1"/>
  <c r="H908" i="1"/>
  <c r="G908" i="1"/>
  <c r="F908" i="1"/>
  <c r="D908" i="1"/>
  <c r="B908" i="1"/>
  <c r="S907" i="1"/>
  <c r="Q907" i="1"/>
  <c r="L907" i="1"/>
  <c r="K907" i="1"/>
  <c r="J907" i="1"/>
  <c r="H907" i="1"/>
  <c r="G907" i="1"/>
  <c r="F907" i="1"/>
  <c r="D907" i="1"/>
  <c r="B907" i="1"/>
  <c r="S906" i="1"/>
  <c r="Q906" i="1"/>
  <c r="L906" i="1"/>
  <c r="K906" i="1"/>
  <c r="J906" i="1"/>
  <c r="H906" i="1"/>
  <c r="G906" i="1"/>
  <c r="F906" i="1"/>
  <c r="D906" i="1"/>
  <c r="B906" i="1"/>
  <c r="S905" i="1"/>
  <c r="Q905" i="1"/>
  <c r="L905" i="1"/>
  <c r="K905" i="1"/>
  <c r="J905" i="1"/>
  <c r="H905" i="1"/>
  <c r="G905" i="1"/>
  <c r="F905" i="1"/>
  <c r="D905" i="1"/>
  <c r="B905" i="1"/>
  <c r="S904" i="1"/>
  <c r="Q904" i="1"/>
  <c r="L904" i="1"/>
  <c r="K904" i="1"/>
  <c r="J904" i="1"/>
  <c r="H904" i="1"/>
  <c r="G904" i="1"/>
  <c r="F904" i="1"/>
  <c r="D904" i="1"/>
  <c r="B904" i="1"/>
  <c r="S903" i="1"/>
  <c r="Q903" i="1"/>
  <c r="L903" i="1"/>
  <c r="K903" i="1"/>
  <c r="J903" i="1"/>
  <c r="H903" i="1"/>
  <c r="G903" i="1"/>
  <c r="F903" i="1"/>
  <c r="D903" i="1"/>
  <c r="B903" i="1"/>
  <c r="S902" i="1"/>
  <c r="Q902" i="1"/>
  <c r="L902" i="1"/>
  <c r="K902" i="1"/>
  <c r="J902" i="1"/>
  <c r="I902" i="1"/>
  <c r="H902" i="1"/>
  <c r="G902" i="1"/>
  <c r="F902" i="1"/>
  <c r="E902" i="1"/>
  <c r="D902" i="1"/>
  <c r="B902" i="1"/>
  <c r="S901" i="1"/>
  <c r="Q901" i="1"/>
  <c r="L901" i="1"/>
  <c r="K901" i="1"/>
  <c r="J901" i="1"/>
  <c r="H901" i="1"/>
  <c r="G901" i="1"/>
  <c r="F901" i="1"/>
  <c r="D901" i="1"/>
  <c r="B901" i="1"/>
  <c r="S900" i="1"/>
  <c r="L900" i="1"/>
  <c r="K900" i="1"/>
  <c r="J900" i="1"/>
  <c r="H900" i="1"/>
  <c r="G900" i="1"/>
  <c r="F900" i="1"/>
  <c r="D900" i="1"/>
  <c r="B900" i="1"/>
  <c r="S899" i="1"/>
  <c r="Q899" i="1"/>
  <c r="L899" i="1"/>
  <c r="K899" i="1"/>
  <c r="J899" i="1"/>
  <c r="H899" i="1"/>
  <c r="G899" i="1"/>
  <c r="F899" i="1"/>
  <c r="D899" i="1"/>
  <c r="B899" i="1"/>
  <c r="S898" i="1"/>
  <c r="Q898" i="1"/>
  <c r="L898" i="1"/>
  <c r="K898" i="1"/>
  <c r="J898" i="1"/>
  <c r="H898" i="1"/>
  <c r="G898" i="1"/>
  <c r="F898" i="1"/>
  <c r="D898" i="1"/>
  <c r="B898" i="1"/>
  <c r="S897" i="1"/>
  <c r="L897" i="1"/>
  <c r="K897" i="1"/>
  <c r="J897" i="1"/>
  <c r="H897" i="1"/>
  <c r="G897" i="1"/>
  <c r="F897" i="1"/>
  <c r="D897" i="1"/>
  <c r="B897" i="1"/>
  <c r="S896" i="1"/>
  <c r="L896" i="1"/>
  <c r="K896" i="1"/>
  <c r="J896" i="1"/>
  <c r="H896" i="1"/>
  <c r="G896" i="1"/>
  <c r="F896" i="1"/>
  <c r="D896" i="1"/>
  <c r="B896" i="1"/>
  <c r="S895" i="1"/>
  <c r="Q895" i="1"/>
  <c r="L895" i="1"/>
  <c r="K895" i="1"/>
  <c r="J895" i="1"/>
  <c r="H895" i="1"/>
  <c r="G895" i="1"/>
  <c r="F895" i="1"/>
  <c r="D895" i="1"/>
  <c r="B895" i="1"/>
  <c r="S894" i="1"/>
  <c r="L894" i="1"/>
  <c r="K894" i="1"/>
  <c r="J894" i="1"/>
  <c r="H894" i="1"/>
  <c r="G894" i="1"/>
  <c r="F894" i="1"/>
  <c r="D894" i="1"/>
  <c r="B894" i="1"/>
  <c r="S893" i="1"/>
  <c r="L893" i="1"/>
  <c r="K893" i="1"/>
  <c r="J893" i="1"/>
  <c r="H893" i="1"/>
  <c r="G893" i="1"/>
  <c r="F893" i="1"/>
  <c r="D893" i="1"/>
  <c r="B893" i="1"/>
  <c r="S892" i="1"/>
  <c r="L892" i="1"/>
  <c r="K892" i="1"/>
  <c r="J892" i="1"/>
  <c r="H892" i="1"/>
  <c r="G892" i="1"/>
  <c r="F892" i="1"/>
  <c r="D892" i="1"/>
  <c r="B892" i="1"/>
  <c r="S891" i="1"/>
  <c r="L891" i="1"/>
  <c r="K891" i="1"/>
  <c r="J891" i="1"/>
  <c r="H891" i="1"/>
  <c r="G891" i="1"/>
  <c r="F891" i="1"/>
  <c r="D891" i="1"/>
  <c r="B891" i="1"/>
  <c r="S890" i="1"/>
  <c r="L890" i="1"/>
  <c r="K890" i="1"/>
  <c r="J890" i="1"/>
  <c r="H890" i="1"/>
  <c r="G890" i="1"/>
  <c r="F890" i="1"/>
  <c r="D890" i="1"/>
  <c r="B890" i="1"/>
  <c r="S889" i="1"/>
  <c r="L889" i="1"/>
  <c r="K889" i="1"/>
  <c r="J889" i="1"/>
  <c r="H889" i="1"/>
  <c r="G889" i="1"/>
  <c r="F889" i="1"/>
  <c r="D889" i="1"/>
  <c r="B889" i="1"/>
  <c r="S888" i="1"/>
  <c r="Q888" i="1"/>
  <c r="L888" i="1"/>
  <c r="K888" i="1"/>
  <c r="J888" i="1"/>
  <c r="H888" i="1"/>
  <c r="G888" i="1"/>
  <c r="F888" i="1"/>
  <c r="D888" i="1"/>
  <c r="B888" i="1"/>
  <c r="S887" i="1"/>
  <c r="L887" i="1"/>
  <c r="K887" i="1"/>
  <c r="J887" i="1"/>
  <c r="H887" i="1"/>
  <c r="G887" i="1"/>
  <c r="F887" i="1"/>
  <c r="D887" i="1"/>
  <c r="B887" i="1"/>
  <c r="S886" i="1"/>
  <c r="Q886" i="1"/>
  <c r="L886" i="1"/>
  <c r="K886" i="1"/>
  <c r="J886" i="1"/>
  <c r="H886" i="1"/>
  <c r="G886" i="1"/>
  <c r="F886" i="1"/>
  <c r="D886" i="1"/>
  <c r="B886" i="1"/>
  <c r="S885" i="1"/>
  <c r="Q885" i="1"/>
  <c r="L885" i="1"/>
  <c r="K885" i="1"/>
  <c r="J885" i="1"/>
  <c r="H885" i="1"/>
  <c r="G885" i="1"/>
  <c r="F885" i="1"/>
  <c r="D885" i="1"/>
  <c r="B885" i="1"/>
  <c r="S884" i="1"/>
  <c r="Q884" i="1"/>
  <c r="L884" i="1"/>
  <c r="K884" i="1"/>
  <c r="J884" i="1"/>
  <c r="H884" i="1"/>
  <c r="G884" i="1"/>
  <c r="F884" i="1"/>
  <c r="D884" i="1"/>
  <c r="B884" i="1"/>
  <c r="S883" i="1"/>
  <c r="L883" i="1"/>
  <c r="K883" i="1"/>
  <c r="J883" i="1"/>
  <c r="H883" i="1"/>
  <c r="G883" i="1"/>
  <c r="F883" i="1"/>
  <c r="D883" i="1"/>
  <c r="B883" i="1"/>
  <c r="S882" i="1"/>
  <c r="L882" i="1"/>
  <c r="K882" i="1"/>
  <c r="J882" i="1"/>
  <c r="H882" i="1"/>
  <c r="G882" i="1"/>
  <c r="F882" i="1"/>
  <c r="D882" i="1"/>
  <c r="B882" i="1"/>
  <c r="S881" i="1"/>
  <c r="L881" i="1"/>
  <c r="K881" i="1"/>
  <c r="J881" i="1"/>
  <c r="H881" i="1"/>
  <c r="G881" i="1"/>
  <c r="F881" i="1"/>
  <c r="D881" i="1"/>
  <c r="B881" i="1"/>
  <c r="S880" i="1"/>
  <c r="L880" i="1"/>
  <c r="K880" i="1"/>
  <c r="J880" i="1"/>
  <c r="H880" i="1"/>
  <c r="G880" i="1"/>
  <c r="F880" i="1"/>
  <c r="D880" i="1"/>
  <c r="B880" i="1"/>
  <c r="S879" i="1"/>
  <c r="Q879" i="1"/>
  <c r="L879" i="1"/>
  <c r="K879" i="1"/>
  <c r="J879" i="1"/>
  <c r="H879" i="1"/>
  <c r="G879" i="1"/>
  <c r="F879" i="1"/>
  <c r="D879" i="1"/>
  <c r="B879" i="1"/>
  <c r="S878" i="1"/>
  <c r="Q878" i="1"/>
  <c r="L878" i="1"/>
  <c r="K878" i="1"/>
  <c r="J878" i="1"/>
  <c r="H878" i="1"/>
  <c r="G878" i="1"/>
  <c r="F878" i="1"/>
  <c r="D878" i="1"/>
  <c r="B878" i="1"/>
  <c r="S877" i="1"/>
  <c r="Q877" i="1"/>
  <c r="L877" i="1"/>
  <c r="K877" i="1"/>
  <c r="J877" i="1"/>
  <c r="H877" i="1"/>
  <c r="G877" i="1"/>
  <c r="F877" i="1"/>
  <c r="D877" i="1"/>
  <c r="B877" i="1"/>
  <c r="S876" i="1"/>
  <c r="L876" i="1"/>
  <c r="K876" i="1"/>
  <c r="J876" i="1"/>
  <c r="H876" i="1"/>
  <c r="G876" i="1"/>
  <c r="F876" i="1"/>
  <c r="D876" i="1"/>
  <c r="B876" i="1"/>
  <c r="S875" i="1"/>
  <c r="L875" i="1"/>
  <c r="K875" i="1"/>
  <c r="J875" i="1"/>
  <c r="H875" i="1"/>
  <c r="G875" i="1"/>
  <c r="F875" i="1"/>
  <c r="D875" i="1"/>
  <c r="B875" i="1"/>
  <c r="S874" i="1"/>
  <c r="L874" i="1"/>
  <c r="K874" i="1"/>
  <c r="J874" i="1"/>
  <c r="H874" i="1"/>
  <c r="G874" i="1"/>
  <c r="F874" i="1"/>
  <c r="D874" i="1"/>
  <c r="B874" i="1"/>
  <c r="S873" i="1"/>
  <c r="L873" i="1"/>
  <c r="K873" i="1"/>
  <c r="J873" i="1"/>
  <c r="H873" i="1"/>
  <c r="G873" i="1"/>
  <c r="F873" i="1"/>
  <c r="D873" i="1"/>
  <c r="B873" i="1"/>
  <c r="S872" i="1"/>
  <c r="L872" i="1"/>
  <c r="K872" i="1"/>
  <c r="J872" i="1"/>
  <c r="H872" i="1"/>
  <c r="G872" i="1"/>
  <c r="F872" i="1"/>
  <c r="D872" i="1"/>
  <c r="B872" i="1"/>
  <c r="S871" i="1"/>
  <c r="L871" i="1"/>
  <c r="K871" i="1"/>
  <c r="J871" i="1"/>
  <c r="H871" i="1"/>
  <c r="G871" i="1"/>
  <c r="F871" i="1"/>
  <c r="D871" i="1"/>
  <c r="B871" i="1"/>
  <c r="S870" i="1"/>
  <c r="L870" i="1"/>
  <c r="K870" i="1"/>
  <c r="J870" i="1"/>
  <c r="H870" i="1"/>
  <c r="G870" i="1"/>
  <c r="F870" i="1"/>
  <c r="D870" i="1"/>
  <c r="B870" i="1"/>
  <c r="S869" i="1"/>
  <c r="L869" i="1"/>
  <c r="K869" i="1"/>
  <c r="J869" i="1"/>
  <c r="H869" i="1"/>
  <c r="G869" i="1"/>
  <c r="F869" i="1"/>
  <c r="D869" i="1"/>
  <c r="B869" i="1"/>
  <c r="S868" i="1"/>
  <c r="L868" i="1"/>
  <c r="K868" i="1"/>
  <c r="J868" i="1"/>
  <c r="H868" i="1"/>
  <c r="G868" i="1"/>
  <c r="F868" i="1"/>
  <c r="D868" i="1"/>
  <c r="B868" i="1"/>
  <c r="S867" i="1"/>
  <c r="L867" i="1"/>
  <c r="K867" i="1"/>
  <c r="J867" i="1"/>
  <c r="H867" i="1"/>
  <c r="G867" i="1"/>
  <c r="F867" i="1"/>
  <c r="D867" i="1"/>
  <c r="B867" i="1"/>
  <c r="S866" i="1"/>
  <c r="L866" i="1"/>
  <c r="K866" i="1"/>
  <c r="J866" i="1"/>
  <c r="H866" i="1"/>
  <c r="G866" i="1"/>
  <c r="F866" i="1"/>
  <c r="D866" i="1"/>
  <c r="B866" i="1"/>
  <c r="S865" i="1"/>
  <c r="L865" i="1"/>
  <c r="K865" i="1"/>
  <c r="J865" i="1"/>
  <c r="H865" i="1"/>
  <c r="G865" i="1"/>
  <c r="F865" i="1"/>
  <c r="D865" i="1"/>
  <c r="B865" i="1"/>
  <c r="S864" i="1"/>
  <c r="L864" i="1"/>
  <c r="K864" i="1"/>
  <c r="J864" i="1"/>
  <c r="H864" i="1"/>
  <c r="G864" i="1"/>
  <c r="F864" i="1"/>
  <c r="D864" i="1"/>
  <c r="B864" i="1"/>
  <c r="S863" i="1"/>
  <c r="L863" i="1"/>
  <c r="K863" i="1"/>
  <c r="J863" i="1"/>
  <c r="H863" i="1"/>
  <c r="G863" i="1"/>
  <c r="F863" i="1"/>
  <c r="D863" i="1"/>
  <c r="B863" i="1"/>
  <c r="S862" i="1"/>
  <c r="L862" i="1"/>
  <c r="K862" i="1"/>
  <c r="J862" i="1"/>
  <c r="H862" i="1"/>
  <c r="G862" i="1"/>
  <c r="F862" i="1"/>
  <c r="D862" i="1"/>
  <c r="B862" i="1"/>
  <c r="S861" i="1"/>
  <c r="L861" i="1"/>
  <c r="K861" i="1"/>
  <c r="J861" i="1"/>
  <c r="H861" i="1"/>
  <c r="G861" i="1"/>
  <c r="F861" i="1"/>
  <c r="D861" i="1"/>
  <c r="B861" i="1"/>
  <c r="S860" i="1"/>
  <c r="L860" i="1"/>
  <c r="K860" i="1"/>
  <c r="J860" i="1"/>
  <c r="H860" i="1"/>
  <c r="G860" i="1"/>
  <c r="F860" i="1"/>
  <c r="D860" i="1"/>
  <c r="B860" i="1"/>
  <c r="S859" i="1"/>
  <c r="L859" i="1"/>
  <c r="K859" i="1"/>
  <c r="J859" i="1"/>
  <c r="H859" i="1"/>
  <c r="G859" i="1"/>
  <c r="F859" i="1"/>
  <c r="D859" i="1"/>
  <c r="B859" i="1"/>
  <c r="S858" i="1"/>
  <c r="L858" i="1"/>
  <c r="K858" i="1"/>
  <c r="J858" i="1"/>
  <c r="H858" i="1"/>
  <c r="G858" i="1"/>
  <c r="F858" i="1"/>
  <c r="D858" i="1"/>
  <c r="B858" i="1"/>
  <c r="S857" i="1"/>
  <c r="L857" i="1"/>
  <c r="K857" i="1"/>
  <c r="J857" i="1"/>
  <c r="H857" i="1"/>
  <c r="G857" i="1"/>
  <c r="F857" i="1"/>
  <c r="D857" i="1"/>
  <c r="B857" i="1"/>
  <c r="S856" i="1"/>
  <c r="L856" i="1"/>
  <c r="K856" i="1"/>
  <c r="J856" i="1"/>
  <c r="H856" i="1"/>
  <c r="G856" i="1"/>
  <c r="F856" i="1"/>
  <c r="D856" i="1"/>
  <c r="B856" i="1"/>
  <c r="S855" i="1"/>
  <c r="L855" i="1"/>
  <c r="K855" i="1"/>
  <c r="J855" i="1"/>
  <c r="H855" i="1"/>
  <c r="G855" i="1"/>
  <c r="F855" i="1"/>
  <c r="D855" i="1"/>
  <c r="B855" i="1"/>
  <c r="S854" i="1"/>
  <c r="L854" i="1"/>
  <c r="K854" i="1"/>
  <c r="J854" i="1"/>
  <c r="H854" i="1"/>
  <c r="G854" i="1"/>
  <c r="F854" i="1"/>
  <c r="D854" i="1"/>
  <c r="B854" i="1"/>
  <c r="S853" i="1"/>
  <c r="L853" i="1"/>
  <c r="K853" i="1"/>
  <c r="J853" i="1"/>
  <c r="H853" i="1"/>
  <c r="G853" i="1"/>
  <c r="F853" i="1"/>
  <c r="D853" i="1"/>
  <c r="B853" i="1"/>
  <c r="S852" i="1"/>
  <c r="L852" i="1"/>
  <c r="K852" i="1"/>
  <c r="J852" i="1"/>
  <c r="H852" i="1"/>
  <c r="G852" i="1"/>
  <c r="F852" i="1"/>
  <c r="D852" i="1"/>
  <c r="B852" i="1"/>
  <c r="S851" i="1"/>
  <c r="L851" i="1"/>
  <c r="K851" i="1"/>
  <c r="J851" i="1"/>
  <c r="H851" i="1"/>
  <c r="G851" i="1"/>
  <c r="F851" i="1"/>
  <c r="D851" i="1"/>
  <c r="B851" i="1"/>
  <c r="S850" i="1"/>
  <c r="Q850" i="1"/>
  <c r="L850" i="1"/>
  <c r="K850" i="1"/>
  <c r="J850" i="1"/>
  <c r="H850" i="1"/>
  <c r="G850" i="1"/>
  <c r="F850" i="1"/>
  <c r="D850" i="1"/>
  <c r="B850" i="1"/>
  <c r="S849" i="1"/>
  <c r="L849" i="1"/>
  <c r="K849" i="1"/>
  <c r="J849" i="1"/>
  <c r="H849" i="1"/>
  <c r="G849" i="1"/>
  <c r="F849" i="1"/>
  <c r="D849" i="1"/>
  <c r="B849" i="1"/>
  <c r="S848" i="1"/>
  <c r="Q848" i="1"/>
  <c r="L848" i="1"/>
  <c r="K848" i="1"/>
  <c r="J848" i="1"/>
  <c r="H848" i="1"/>
  <c r="G848" i="1"/>
  <c r="F848" i="1"/>
  <c r="D848" i="1"/>
  <c r="B848" i="1"/>
  <c r="S847" i="1"/>
  <c r="Q847" i="1"/>
  <c r="L847" i="1"/>
  <c r="K847" i="1"/>
  <c r="J847" i="1"/>
  <c r="H847" i="1"/>
  <c r="G847" i="1"/>
  <c r="F847" i="1"/>
  <c r="D847" i="1"/>
  <c r="B847" i="1"/>
  <c r="S846" i="1"/>
  <c r="Q846" i="1"/>
  <c r="L846" i="1"/>
  <c r="K846" i="1"/>
  <c r="J846" i="1"/>
  <c r="H846" i="1"/>
  <c r="G846" i="1"/>
  <c r="F846" i="1"/>
  <c r="D846" i="1"/>
  <c r="B846" i="1"/>
  <c r="S845" i="1"/>
  <c r="Q845" i="1"/>
  <c r="L845" i="1"/>
  <c r="K845" i="1"/>
  <c r="J845" i="1"/>
  <c r="H845" i="1"/>
  <c r="G845" i="1"/>
  <c r="F845" i="1"/>
  <c r="D845" i="1"/>
  <c r="B845" i="1"/>
  <c r="S844" i="1"/>
  <c r="L844" i="1"/>
  <c r="K844" i="1"/>
  <c r="J844" i="1"/>
  <c r="H844" i="1"/>
  <c r="G844" i="1"/>
  <c r="F844" i="1"/>
  <c r="D844" i="1"/>
  <c r="B844" i="1"/>
  <c r="S843" i="1"/>
  <c r="Q843" i="1"/>
  <c r="L843" i="1"/>
  <c r="K843" i="1"/>
  <c r="J843" i="1"/>
  <c r="H843" i="1"/>
  <c r="G843" i="1"/>
  <c r="F843" i="1"/>
  <c r="D843" i="1"/>
  <c r="B843" i="1"/>
  <c r="S842" i="1"/>
  <c r="Q842" i="1"/>
  <c r="L842" i="1"/>
  <c r="K842" i="1"/>
  <c r="J842" i="1"/>
  <c r="H842" i="1"/>
  <c r="G842" i="1"/>
  <c r="F842" i="1"/>
  <c r="D842" i="1"/>
  <c r="B842" i="1"/>
  <c r="S841" i="1"/>
  <c r="Q841" i="1"/>
  <c r="L841" i="1"/>
  <c r="K841" i="1"/>
  <c r="J841" i="1"/>
  <c r="H841" i="1"/>
  <c r="G841" i="1"/>
  <c r="F841" i="1"/>
  <c r="D841" i="1"/>
  <c r="B841" i="1"/>
  <c r="S840" i="1"/>
  <c r="Q840" i="1"/>
  <c r="L840" i="1"/>
  <c r="K840" i="1"/>
  <c r="J840" i="1"/>
  <c r="H840" i="1"/>
  <c r="G840" i="1"/>
  <c r="F840" i="1"/>
  <c r="D840" i="1"/>
  <c r="B840" i="1"/>
  <c r="S839" i="1"/>
  <c r="Q839" i="1"/>
  <c r="L839" i="1"/>
  <c r="K839" i="1"/>
  <c r="J839" i="1"/>
  <c r="H839" i="1"/>
  <c r="G839" i="1"/>
  <c r="F839" i="1"/>
  <c r="D839" i="1"/>
  <c r="B839" i="1"/>
  <c r="S838" i="1"/>
  <c r="L838" i="1"/>
  <c r="K838" i="1"/>
  <c r="J838" i="1"/>
  <c r="H838" i="1"/>
  <c r="G838" i="1"/>
  <c r="F838" i="1"/>
  <c r="D838" i="1"/>
  <c r="B838" i="1"/>
  <c r="S837" i="1"/>
  <c r="L837" i="1"/>
  <c r="K837" i="1"/>
  <c r="J837" i="1"/>
  <c r="H837" i="1"/>
  <c r="G837" i="1"/>
  <c r="F837" i="1"/>
  <c r="D837" i="1"/>
  <c r="B837" i="1"/>
  <c r="S836" i="1"/>
  <c r="L836" i="1"/>
  <c r="K836" i="1"/>
  <c r="J836" i="1"/>
  <c r="H836" i="1"/>
  <c r="G836" i="1"/>
  <c r="F836" i="1"/>
  <c r="D836" i="1"/>
  <c r="B836" i="1"/>
  <c r="S835" i="1"/>
  <c r="L835" i="1"/>
  <c r="K835" i="1"/>
  <c r="J835" i="1"/>
  <c r="H835" i="1"/>
  <c r="G835" i="1"/>
  <c r="F835" i="1"/>
  <c r="D835" i="1"/>
  <c r="B835" i="1"/>
  <c r="S834" i="1"/>
  <c r="L834" i="1"/>
  <c r="K834" i="1"/>
  <c r="J834" i="1"/>
  <c r="H834" i="1"/>
  <c r="G834" i="1"/>
  <c r="F834" i="1"/>
  <c r="D834" i="1"/>
  <c r="B834" i="1"/>
  <c r="S833" i="1"/>
  <c r="L833" i="1"/>
  <c r="K833" i="1"/>
  <c r="J833" i="1"/>
  <c r="H833" i="1"/>
  <c r="G833" i="1"/>
  <c r="F833" i="1"/>
  <c r="D833" i="1"/>
  <c r="B833" i="1"/>
  <c r="S832" i="1"/>
  <c r="L832" i="1"/>
  <c r="K832" i="1"/>
  <c r="J832" i="1"/>
  <c r="H832" i="1"/>
  <c r="G832" i="1"/>
  <c r="F832" i="1"/>
  <c r="D832" i="1"/>
  <c r="B832" i="1"/>
  <c r="S831" i="1"/>
  <c r="L831" i="1"/>
  <c r="K831" i="1"/>
  <c r="J831" i="1"/>
  <c r="H831" i="1"/>
  <c r="G831" i="1"/>
  <c r="F831" i="1"/>
  <c r="D831" i="1"/>
  <c r="B831" i="1"/>
  <c r="S830" i="1"/>
  <c r="L830" i="1"/>
  <c r="K830" i="1"/>
  <c r="J830" i="1"/>
  <c r="H830" i="1"/>
  <c r="G830" i="1"/>
  <c r="F830" i="1"/>
  <c r="D830" i="1"/>
  <c r="B830" i="1"/>
  <c r="S829" i="1"/>
  <c r="L829" i="1"/>
  <c r="K829" i="1"/>
  <c r="J829" i="1"/>
  <c r="H829" i="1"/>
  <c r="G829" i="1"/>
  <c r="F829" i="1"/>
  <c r="D829" i="1"/>
  <c r="B829" i="1"/>
  <c r="S828" i="1"/>
  <c r="L828" i="1"/>
  <c r="K828" i="1"/>
  <c r="J828" i="1"/>
  <c r="H828" i="1"/>
  <c r="G828" i="1"/>
  <c r="F828" i="1"/>
  <c r="D828" i="1"/>
  <c r="B828" i="1"/>
  <c r="S827" i="1"/>
  <c r="L827" i="1"/>
  <c r="K827" i="1"/>
  <c r="J827" i="1"/>
  <c r="H827" i="1"/>
  <c r="G827" i="1"/>
  <c r="F827" i="1"/>
  <c r="D827" i="1"/>
  <c r="B827" i="1"/>
  <c r="S826" i="1"/>
  <c r="Q826" i="1"/>
  <c r="L826" i="1"/>
  <c r="K826" i="1"/>
  <c r="J826" i="1"/>
  <c r="I826" i="1"/>
  <c r="H826" i="1"/>
  <c r="G826" i="1"/>
  <c r="F826" i="1"/>
  <c r="D826" i="1"/>
  <c r="B826" i="1"/>
  <c r="S825" i="1"/>
  <c r="Q825" i="1"/>
  <c r="L825" i="1"/>
  <c r="K825" i="1"/>
  <c r="J825" i="1"/>
  <c r="I825" i="1"/>
  <c r="H825" i="1"/>
  <c r="G825" i="1"/>
  <c r="F825" i="1"/>
  <c r="D825" i="1"/>
  <c r="B825" i="1"/>
  <c r="S824" i="1"/>
  <c r="Q824" i="1"/>
  <c r="L824" i="1"/>
  <c r="K824" i="1"/>
  <c r="J824" i="1"/>
  <c r="H824" i="1"/>
  <c r="G824" i="1"/>
  <c r="F824" i="1"/>
  <c r="D824" i="1"/>
  <c r="B824" i="1"/>
  <c r="S823" i="1"/>
  <c r="L823" i="1"/>
  <c r="K823" i="1"/>
  <c r="J823" i="1"/>
  <c r="H823" i="1"/>
  <c r="G823" i="1"/>
  <c r="F823" i="1"/>
  <c r="D823" i="1"/>
  <c r="B823" i="1"/>
  <c r="S822" i="1"/>
  <c r="L822" i="1"/>
  <c r="K822" i="1"/>
  <c r="J822" i="1"/>
  <c r="H822" i="1"/>
  <c r="G822" i="1"/>
  <c r="F822" i="1"/>
  <c r="D822" i="1"/>
  <c r="B822" i="1"/>
  <c r="S821" i="1"/>
  <c r="L821" i="1"/>
  <c r="K821" i="1"/>
  <c r="J821" i="1"/>
  <c r="H821" i="1"/>
  <c r="G821" i="1"/>
  <c r="F821" i="1"/>
  <c r="D821" i="1"/>
  <c r="B821" i="1"/>
  <c r="S820" i="1"/>
  <c r="L820" i="1"/>
  <c r="K820" i="1"/>
  <c r="J820" i="1"/>
  <c r="H820" i="1"/>
  <c r="G820" i="1"/>
  <c r="F820" i="1"/>
  <c r="D820" i="1"/>
  <c r="B820" i="1"/>
  <c r="S819" i="1"/>
  <c r="Q819" i="1"/>
  <c r="L819" i="1"/>
  <c r="K819" i="1"/>
  <c r="J819" i="1"/>
  <c r="I819" i="1"/>
  <c r="H819" i="1"/>
  <c r="G819" i="1"/>
  <c r="F819" i="1"/>
  <c r="D819" i="1"/>
  <c r="B819" i="1"/>
  <c r="S818" i="1"/>
  <c r="L818" i="1"/>
  <c r="K818" i="1"/>
  <c r="J818" i="1"/>
  <c r="H818" i="1"/>
  <c r="G818" i="1"/>
  <c r="F818" i="1"/>
  <c r="D818" i="1"/>
  <c r="B818" i="1"/>
  <c r="S817" i="1"/>
  <c r="Q817" i="1"/>
  <c r="L817" i="1"/>
  <c r="K817" i="1"/>
  <c r="J817" i="1"/>
  <c r="H817" i="1"/>
  <c r="G817" i="1"/>
  <c r="F817" i="1"/>
  <c r="D817" i="1"/>
  <c r="B817" i="1"/>
  <c r="S816" i="1"/>
  <c r="Q816" i="1"/>
  <c r="L816" i="1"/>
  <c r="K816" i="1"/>
  <c r="J816" i="1"/>
  <c r="H816" i="1"/>
  <c r="G816" i="1"/>
  <c r="F816" i="1"/>
  <c r="D816" i="1"/>
  <c r="B816" i="1"/>
  <c r="S815" i="1"/>
  <c r="L815" i="1"/>
  <c r="K815" i="1"/>
  <c r="J815" i="1"/>
  <c r="H815" i="1"/>
  <c r="G815" i="1"/>
  <c r="F815" i="1"/>
  <c r="D815" i="1"/>
  <c r="B815" i="1"/>
  <c r="S814" i="1"/>
  <c r="L814" i="1"/>
  <c r="K814" i="1"/>
  <c r="J814" i="1"/>
  <c r="H814" i="1"/>
  <c r="G814" i="1"/>
  <c r="F814" i="1"/>
  <c r="D814" i="1"/>
  <c r="B814" i="1"/>
  <c r="S813" i="1"/>
  <c r="L813" i="1"/>
  <c r="K813" i="1"/>
  <c r="J813" i="1"/>
  <c r="H813" i="1"/>
  <c r="G813" i="1"/>
  <c r="F813" i="1"/>
  <c r="D813" i="1"/>
  <c r="B813" i="1"/>
  <c r="S812" i="1"/>
  <c r="L812" i="1"/>
  <c r="K812" i="1"/>
  <c r="J812" i="1"/>
  <c r="H812" i="1"/>
  <c r="G812" i="1"/>
  <c r="F812" i="1"/>
  <c r="D812" i="1"/>
  <c r="B812" i="1"/>
  <c r="S811" i="1"/>
  <c r="L811" i="1"/>
  <c r="K811" i="1"/>
  <c r="J811" i="1"/>
  <c r="H811" i="1"/>
  <c r="G811" i="1"/>
  <c r="F811" i="1"/>
  <c r="D811" i="1"/>
  <c r="B811" i="1"/>
  <c r="S810" i="1"/>
  <c r="L810" i="1"/>
  <c r="K810" i="1"/>
  <c r="J810" i="1"/>
  <c r="H810" i="1"/>
  <c r="G810" i="1"/>
  <c r="F810" i="1"/>
  <c r="D810" i="1"/>
  <c r="B810" i="1"/>
  <c r="S809" i="1"/>
  <c r="L809" i="1"/>
  <c r="K809" i="1"/>
  <c r="J809" i="1"/>
  <c r="H809" i="1"/>
  <c r="G809" i="1"/>
  <c r="F809" i="1"/>
  <c r="D809" i="1"/>
  <c r="B809" i="1"/>
  <c r="S808" i="1"/>
  <c r="Q808" i="1"/>
  <c r="L808" i="1"/>
  <c r="K808" i="1"/>
  <c r="J808" i="1"/>
  <c r="H808" i="1"/>
  <c r="G808" i="1"/>
  <c r="F808" i="1"/>
  <c r="D808" i="1"/>
  <c r="B808" i="1"/>
  <c r="S807" i="1"/>
  <c r="L807" i="1"/>
  <c r="K807" i="1"/>
  <c r="J807" i="1"/>
  <c r="H807" i="1"/>
  <c r="G807" i="1"/>
  <c r="F807" i="1"/>
  <c r="D807" i="1"/>
  <c r="B807" i="1"/>
  <c r="S806" i="1"/>
  <c r="L806" i="1"/>
  <c r="K806" i="1"/>
  <c r="J806" i="1"/>
  <c r="H806" i="1"/>
  <c r="G806" i="1"/>
  <c r="F806" i="1"/>
  <c r="D806" i="1"/>
  <c r="B806" i="1"/>
  <c r="S805" i="1"/>
  <c r="Q805" i="1"/>
  <c r="L805" i="1"/>
  <c r="K805" i="1"/>
  <c r="J805" i="1"/>
  <c r="H805" i="1"/>
  <c r="G805" i="1"/>
  <c r="F805" i="1"/>
  <c r="D805" i="1"/>
  <c r="B805" i="1"/>
  <c r="S804" i="1"/>
  <c r="L804" i="1"/>
  <c r="K804" i="1"/>
  <c r="J804" i="1"/>
  <c r="H804" i="1"/>
  <c r="G804" i="1"/>
  <c r="F804" i="1"/>
  <c r="D804" i="1"/>
  <c r="B804" i="1"/>
  <c r="S803" i="1"/>
  <c r="Q803" i="1"/>
  <c r="L803" i="1"/>
  <c r="K803" i="1"/>
  <c r="J803" i="1"/>
  <c r="I803" i="1"/>
  <c r="H803" i="1"/>
  <c r="G803" i="1"/>
  <c r="F803" i="1"/>
  <c r="D803" i="1"/>
  <c r="B803" i="1"/>
  <c r="S802" i="1"/>
  <c r="Q802" i="1"/>
  <c r="L802" i="1"/>
  <c r="K802" i="1"/>
  <c r="J802" i="1"/>
  <c r="H802" i="1"/>
  <c r="G802" i="1"/>
  <c r="F802" i="1"/>
  <c r="D802" i="1"/>
  <c r="B802" i="1"/>
  <c r="S801" i="1"/>
  <c r="L801" i="1"/>
  <c r="K801" i="1"/>
  <c r="J801" i="1"/>
  <c r="H801" i="1"/>
  <c r="G801" i="1"/>
  <c r="F801" i="1"/>
  <c r="D801" i="1"/>
  <c r="B801" i="1"/>
  <c r="S800" i="1"/>
  <c r="L800" i="1"/>
  <c r="K800" i="1"/>
  <c r="J800" i="1"/>
  <c r="H800" i="1"/>
  <c r="G800" i="1"/>
  <c r="F800" i="1"/>
  <c r="D800" i="1"/>
  <c r="B800" i="1"/>
  <c r="S799" i="1"/>
  <c r="Q799" i="1"/>
  <c r="L799" i="1"/>
  <c r="K799" i="1"/>
  <c r="J799" i="1"/>
  <c r="H799" i="1"/>
  <c r="G799" i="1"/>
  <c r="F799" i="1"/>
  <c r="D799" i="1"/>
  <c r="B799" i="1"/>
  <c r="S798" i="1"/>
  <c r="Q798" i="1"/>
  <c r="L798" i="1"/>
  <c r="K798" i="1"/>
  <c r="J798" i="1"/>
  <c r="H798" i="1"/>
  <c r="G798" i="1"/>
  <c r="F798" i="1"/>
  <c r="D798" i="1"/>
  <c r="B798" i="1"/>
  <c r="S797" i="1"/>
  <c r="L797" i="1"/>
  <c r="K797" i="1"/>
  <c r="J797" i="1"/>
  <c r="H797" i="1"/>
  <c r="G797" i="1"/>
  <c r="F797" i="1"/>
  <c r="D797" i="1"/>
  <c r="B797" i="1"/>
  <c r="S796" i="1"/>
  <c r="L796" i="1"/>
  <c r="K796" i="1"/>
  <c r="J796" i="1"/>
  <c r="H796" i="1"/>
  <c r="G796" i="1"/>
  <c r="F796" i="1"/>
  <c r="D796" i="1"/>
  <c r="B796" i="1"/>
  <c r="S795" i="1"/>
  <c r="L795" i="1"/>
  <c r="K795" i="1"/>
  <c r="J795" i="1"/>
  <c r="H795" i="1"/>
  <c r="G795" i="1"/>
  <c r="F795" i="1"/>
  <c r="D795" i="1"/>
  <c r="B795" i="1"/>
  <c r="S794" i="1"/>
  <c r="L794" i="1"/>
  <c r="K794" i="1"/>
  <c r="J794" i="1"/>
  <c r="H794" i="1"/>
  <c r="G794" i="1"/>
  <c r="F794" i="1"/>
  <c r="D794" i="1"/>
  <c r="B794" i="1"/>
  <c r="S793" i="1"/>
  <c r="L793" i="1"/>
  <c r="K793" i="1"/>
  <c r="J793" i="1"/>
  <c r="H793" i="1"/>
  <c r="G793" i="1"/>
  <c r="F793" i="1"/>
  <c r="D793" i="1"/>
  <c r="B793" i="1"/>
  <c r="S792" i="1"/>
  <c r="L792" i="1"/>
  <c r="K792" i="1"/>
  <c r="J792" i="1"/>
  <c r="H792" i="1"/>
  <c r="G792" i="1"/>
  <c r="F792" i="1"/>
  <c r="D792" i="1"/>
  <c r="B792" i="1"/>
  <c r="S791" i="1"/>
  <c r="L791" i="1"/>
  <c r="K791" i="1"/>
  <c r="J791" i="1"/>
  <c r="H791" i="1"/>
  <c r="G791" i="1"/>
  <c r="F791" i="1"/>
  <c r="D791" i="1"/>
  <c r="B791" i="1"/>
  <c r="S790" i="1"/>
  <c r="L790" i="1"/>
  <c r="K790" i="1"/>
  <c r="J790" i="1"/>
  <c r="H790" i="1"/>
  <c r="G790" i="1"/>
  <c r="F790" i="1"/>
  <c r="D790" i="1"/>
  <c r="B790" i="1"/>
  <c r="S789" i="1"/>
  <c r="L789" i="1"/>
  <c r="K789" i="1"/>
  <c r="J789" i="1"/>
  <c r="H789" i="1"/>
  <c r="G789" i="1"/>
  <c r="F789" i="1"/>
  <c r="D789" i="1"/>
  <c r="B789" i="1"/>
  <c r="S788" i="1"/>
  <c r="L788" i="1"/>
  <c r="K788" i="1"/>
  <c r="J788" i="1"/>
  <c r="H788" i="1"/>
  <c r="G788" i="1"/>
  <c r="F788" i="1"/>
  <c r="D788" i="1"/>
  <c r="B788" i="1"/>
  <c r="S787" i="1"/>
  <c r="L787" i="1"/>
  <c r="K787" i="1"/>
  <c r="J787" i="1"/>
  <c r="H787" i="1"/>
  <c r="G787" i="1"/>
  <c r="F787" i="1"/>
  <c r="D787" i="1"/>
  <c r="B787" i="1"/>
  <c r="S786" i="1"/>
  <c r="L786" i="1"/>
  <c r="K786" i="1"/>
  <c r="J786" i="1"/>
  <c r="H786" i="1"/>
  <c r="G786" i="1"/>
  <c r="F786" i="1"/>
  <c r="D786" i="1"/>
  <c r="B786" i="1"/>
  <c r="S785" i="1"/>
  <c r="L785" i="1"/>
  <c r="K785" i="1"/>
  <c r="J785" i="1"/>
  <c r="H785" i="1"/>
  <c r="G785" i="1"/>
  <c r="F785" i="1"/>
  <c r="D785" i="1"/>
  <c r="B785" i="1"/>
  <c r="S784" i="1"/>
  <c r="L784" i="1"/>
  <c r="K784" i="1"/>
  <c r="J784" i="1"/>
  <c r="H784" i="1"/>
  <c r="G784" i="1"/>
  <c r="F784" i="1"/>
  <c r="D784" i="1"/>
  <c r="B784" i="1"/>
  <c r="S783" i="1"/>
  <c r="L783" i="1"/>
  <c r="K783" i="1"/>
  <c r="J783" i="1"/>
  <c r="H783" i="1"/>
  <c r="G783" i="1"/>
  <c r="F783" i="1"/>
  <c r="D783" i="1"/>
  <c r="B783" i="1"/>
  <c r="S782" i="1"/>
  <c r="L782" i="1"/>
  <c r="K782" i="1"/>
  <c r="J782" i="1"/>
  <c r="H782" i="1"/>
  <c r="G782" i="1"/>
  <c r="F782" i="1"/>
  <c r="D782" i="1"/>
  <c r="B782" i="1"/>
  <c r="S781" i="1"/>
  <c r="L781" i="1"/>
  <c r="K781" i="1"/>
  <c r="J781" i="1"/>
  <c r="H781" i="1"/>
  <c r="G781" i="1"/>
  <c r="F781" i="1"/>
  <c r="D781" i="1"/>
  <c r="B781" i="1"/>
  <c r="S780" i="1"/>
  <c r="L780" i="1"/>
  <c r="K780" i="1"/>
  <c r="J780" i="1"/>
  <c r="H780" i="1"/>
  <c r="G780" i="1"/>
  <c r="F780" i="1"/>
  <c r="D780" i="1"/>
  <c r="B780" i="1"/>
  <c r="S779" i="1"/>
  <c r="L779" i="1"/>
  <c r="K779" i="1"/>
  <c r="J779" i="1"/>
  <c r="H779" i="1"/>
  <c r="G779" i="1"/>
  <c r="F779" i="1"/>
  <c r="D779" i="1"/>
  <c r="B779" i="1"/>
  <c r="S778" i="1"/>
  <c r="L778" i="1"/>
  <c r="K778" i="1"/>
  <c r="J778" i="1"/>
  <c r="H778" i="1"/>
  <c r="G778" i="1"/>
  <c r="F778" i="1"/>
  <c r="D778" i="1"/>
  <c r="B778" i="1"/>
  <c r="S777" i="1"/>
  <c r="L777" i="1"/>
  <c r="K777" i="1"/>
  <c r="J777" i="1"/>
  <c r="H777" i="1"/>
  <c r="G777" i="1"/>
  <c r="F777" i="1"/>
  <c r="D777" i="1"/>
  <c r="B777" i="1"/>
  <c r="S776" i="1"/>
  <c r="L776" i="1"/>
  <c r="K776" i="1"/>
  <c r="J776" i="1"/>
  <c r="H776" i="1"/>
  <c r="G776" i="1"/>
  <c r="F776" i="1"/>
  <c r="D776" i="1"/>
  <c r="B776" i="1"/>
  <c r="S775" i="1"/>
  <c r="L775" i="1"/>
  <c r="K775" i="1"/>
  <c r="J775" i="1"/>
  <c r="H775" i="1"/>
  <c r="G775" i="1"/>
  <c r="F775" i="1"/>
  <c r="D775" i="1"/>
  <c r="B775" i="1"/>
  <c r="S774" i="1"/>
  <c r="L774" i="1"/>
  <c r="K774" i="1"/>
  <c r="J774" i="1"/>
  <c r="H774" i="1"/>
  <c r="G774" i="1"/>
  <c r="F774" i="1"/>
  <c r="D774" i="1"/>
  <c r="B774" i="1"/>
  <c r="S773" i="1"/>
  <c r="L773" i="1"/>
  <c r="K773" i="1"/>
  <c r="J773" i="1"/>
  <c r="H773" i="1"/>
  <c r="G773" i="1"/>
  <c r="F773" i="1"/>
  <c r="D773" i="1"/>
  <c r="B773" i="1"/>
  <c r="S772" i="1"/>
  <c r="L772" i="1"/>
  <c r="K772" i="1"/>
  <c r="J772" i="1"/>
  <c r="H772" i="1"/>
  <c r="G772" i="1"/>
  <c r="F772" i="1"/>
  <c r="D772" i="1"/>
  <c r="B772" i="1"/>
  <c r="S771" i="1"/>
  <c r="L771" i="1"/>
  <c r="K771" i="1"/>
  <c r="J771" i="1"/>
  <c r="H771" i="1"/>
  <c r="G771" i="1"/>
  <c r="F771" i="1"/>
  <c r="D771" i="1"/>
  <c r="B771" i="1"/>
  <c r="S770" i="1"/>
  <c r="L770" i="1"/>
  <c r="K770" i="1"/>
  <c r="J770" i="1"/>
  <c r="H770" i="1"/>
  <c r="G770" i="1"/>
  <c r="F770" i="1"/>
  <c r="D770" i="1"/>
  <c r="B770" i="1"/>
  <c r="S769" i="1"/>
  <c r="L769" i="1"/>
  <c r="K769" i="1"/>
  <c r="J769" i="1"/>
  <c r="H769" i="1"/>
  <c r="G769" i="1"/>
  <c r="F769" i="1"/>
  <c r="D769" i="1"/>
  <c r="B769" i="1"/>
  <c r="S768" i="1"/>
  <c r="L768" i="1"/>
  <c r="K768" i="1"/>
  <c r="J768" i="1"/>
  <c r="H768" i="1"/>
  <c r="G768" i="1"/>
  <c r="F768" i="1"/>
  <c r="D768" i="1"/>
  <c r="B768" i="1"/>
  <c r="S767" i="1"/>
  <c r="Q767" i="1"/>
  <c r="L767" i="1"/>
  <c r="K767" i="1"/>
  <c r="J767" i="1"/>
  <c r="H767" i="1"/>
  <c r="G767" i="1"/>
  <c r="F767" i="1"/>
  <c r="D767" i="1"/>
  <c r="B767" i="1"/>
  <c r="S766" i="1"/>
  <c r="L766" i="1"/>
  <c r="K766" i="1"/>
  <c r="J766" i="1"/>
  <c r="H766" i="1"/>
  <c r="G766" i="1"/>
  <c r="F766" i="1"/>
  <c r="D766" i="1"/>
  <c r="B766" i="1"/>
  <c r="S765" i="1"/>
  <c r="Q765" i="1"/>
  <c r="L765" i="1"/>
  <c r="K765" i="1"/>
  <c r="J765" i="1"/>
  <c r="H765" i="1"/>
  <c r="G765" i="1"/>
  <c r="F765" i="1"/>
  <c r="D765" i="1"/>
  <c r="B765" i="1"/>
  <c r="S764" i="1"/>
  <c r="Q764" i="1"/>
  <c r="L764" i="1"/>
  <c r="K764" i="1"/>
  <c r="J764" i="1"/>
  <c r="H764" i="1"/>
  <c r="G764" i="1"/>
  <c r="F764" i="1"/>
  <c r="D764" i="1"/>
  <c r="B764" i="1"/>
  <c r="S763" i="1"/>
  <c r="Q763" i="1"/>
  <c r="L763" i="1"/>
  <c r="K763" i="1"/>
  <c r="J763" i="1"/>
  <c r="H763" i="1"/>
  <c r="G763" i="1"/>
  <c r="F763" i="1"/>
  <c r="D763" i="1"/>
  <c r="B763" i="1"/>
  <c r="S762" i="1"/>
  <c r="Q762" i="1"/>
  <c r="L762" i="1"/>
  <c r="K762" i="1"/>
  <c r="J762" i="1"/>
  <c r="H762" i="1"/>
  <c r="G762" i="1"/>
  <c r="F762" i="1"/>
  <c r="D762" i="1"/>
  <c r="B762" i="1"/>
  <c r="S761" i="1"/>
  <c r="L761" i="1"/>
  <c r="K761" i="1"/>
  <c r="J761" i="1"/>
  <c r="H761" i="1"/>
  <c r="G761" i="1"/>
  <c r="F761" i="1"/>
  <c r="D761" i="1"/>
  <c r="B761" i="1"/>
  <c r="S760" i="1"/>
  <c r="L760" i="1"/>
  <c r="K760" i="1"/>
  <c r="J760" i="1"/>
  <c r="H760" i="1"/>
  <c r="G760" i="1"/>
  <c r="F760" i="1"/>
  <c r="D760" i="1"/>
  <c r="B760" i="1"/>
  <c r="S759" i="1"/>
  <c r="L759" i="1"/>
  <c r="K759" i="1"/>
  <c r="J759" i="1"/>
  <c r="H759" i="1"/>
  <c r="G759" i="1"/>
  <c r="F759" i="1"/>
  <c r="D759" i="1"/>
  <c r="B759" i="1"/>
  <c r="S758" i="1"/>
  <c r="L758" i="1"/>
  <c r="K758" i="1"/>
  <c r="J758" i="1"/>
  <c r="H758" i="1"/>
  <c r="G758" i="1"/>
  <c r="F758" i="1"/>
  <c r="D758" i="1"/>
  <c r="B758" i="1"/>
  <c r="S757" i="1"/>
  <c r="L757" i="1"/>
  <c r="K757" i="1"/>
  <c r="J757" i="1"/>
  <c r="H757" i="1"/>
  <c r="G757" i="1"/>
  <c r="F757" i="1"/>
  <c r="D757" i="1"/>
  <c r="B757" i="1"/>
  <c r="S756" i="1"/>
  <c r="Q756" i="1"/>
  <c r="L756" i="1"/>
  <c r="K756" i="1"/>
  <c r="J756" i="1"/>
  <c r="H756" i="1"/>
  <c r="G756" i="1"/>
  <c r="F756" i="1"/>
  <c r="D756" i="1"/>
  <c r="B756" i="1"/>
  <c r="S755" i="1"/>
  <c r="L755" i="1"/>
  <c r="K755" i="1"/>
  <c r="J755" i="1"/>
  <c r="H755" i="1"/>
  <c r="G755" i="1"/>
  <c r="F755" i="1"/>
  <c r="D755" i="1"/>
  <c r="B755" i="1"/>
  <c r="S754" i="1"/>
  <c r="L754" i="1"/>
  <c r="K754" i="1"/>
  <c r="J754" i="1"/>
  <c r="H754" i="1"/>
  <c r="G754" i="1"/>
  <c r="F754" i="1"/>
  <c r="D754" i="1"/>
  <c r="B754" i="1"/>
  <c r="S753" i="1"/>
  <c r="L753" i="1"/>
  <c r="K753" i="1"/>
  <c r="J753" i="1"/>
  <c r="H753" i="1"/>
  <c r="G753" i="1"/>
  <c r="F753" i="1"/>
  <c r="D753" i="1"/>
  <c r="B753" i="1"/>
  <c r="S752" i="1"/>
  <c r="L752" i="1"/>
  <c r="K752" i="1"/>
  <c r="J752" i="1"/>
  <c r="H752" i="1"/>
  <c r="G752" i="1"/>
  <c r="F752" i="1"/>
  <c r="D752" i="1"/>
  <c r="B752" i="1"/>
  <c r="S751" i="1"/>
  <c r="L751" i="1"/>
  <c r="K751" i="1"/>
  <c r="J751" i="1"/>
  <c r="H751" i="1"/>
  <c r="G751" i="1"/>
  <c r="F751" i="1"/>
  <c r="D751" i="1"/>
  <c r="B751" i="1"/>
  <c r="S750" i="1"/>
  <c r="Q750" i="1"/>
  <c r="L750" i="1"/>
  <c r="K750" i="1"/>
  <c r="J750" i="1"/>
  <c r="H750" i="1"/>
  <c r="G750" i="1"/>
  <c r="F750" i="1"/>
  <c r="D750" i="1"/>
  <c r="B750" i="1"/>
  <c r="S749" i="1"/>
  <c r="L749" i="1"/>
  <c r="K749" i="1"/>
  <c r="J749" i="1"/>
  <c r="H749" i="1"/>
  <c r="G749" i="1"/>
  <c r="F749" i="1"/>
  <c r="D749" i="1"/>
  <c r="B749" i="1"/>
  <c r="S748" i="1"/>
  <c r="L748" i="1"/>
  <c r="K748" i="1"/>
  <c r="J748" i="1"/>
  <c r="H748" i="1"/>
  <c r="G748" i="1"/>
  <c r="F748" i="1"/>
  <c r="D748" i="1"/>
  <c r="B748" i="1"/>
  <c r="S747" i="1"/>
  <c r="L747" i="1"/>
  <c r="K747" i="1"/>
  <c r="J747" i="1"/>
  <c r="H747" i="1"/>
  <c r="G747" i="1"/>
  <c r="F747" i="1"/>
  <c r="D747" i="1"/>
  <c r="B747" i="1"/>
  <c r="S746" i="1"/>
  <c r="L746" i="1"/>
  <c r="K746" i="1"/>
  <c r="J746" i="1"/>
  <c r="H746" i="1"/>
  <c r="G746" i="1"/>
  <c r="F746" i="1"/>
  <c r="D746" i="1"/>
  <c r="B746" i="1"/>
  <c r="S745" i="1"/>
  <c r="L745" i="1"/>
  <c r="K745" i="1"/>
  <c r="J745" i="1"/>
  <c r="H745" i="1"/>
  <c r="G745" i="1"/>
  <c r="F745" i="1"/>
  <c r="D745" i="1"/>
  <c r="B745" i="1"/>
  <c r="S744" i="1"/>
  <c r="L744" i="1"/>
  <c r="K744" i="1"/>
  <c r="J744" i="1"/>
  <c r="H744" i="1"/>
  <c r="G744" i="1"/>
  <c r="F744" i="1"/>
  <c r="D744" i="1"/>
  <c r="B744" i="1"/>
  <c r="S743" i="1"/>
  <c r="L743" i="1"/>
  <c r="K743" i="1"/>
  <c r="J743" i="1"/>
  <c r="H743" i="1"/>
  <c r="G743" i="1"/>
  <c r="F743" i="1"/>
  <c r="D743" i="1"/>
  <c r="B743" i="1"/>
  <c r="S742" i="1"/>
  <c r="L742" i="1"/>
  <c r="K742" i="1"/>
  <c r="J742" i="1"/>
  <c r="H742" i="1"/>
  <c r="G742" i="1"/>
  <c r="F742" i="1"/>
  <c r="D742" i="1"/>
  <c r="B742" i="1"/>
  <c r="S741" i="1"/>
  <c r="L741" i="1"/>
  <c r="K741" i="1"/>
  <c r="J741" i="1"/>
  <c r="H741" i="1"/>
  <c r="G741" i="1"/>
  <c r="F741" i="1"/>
  <c r="D741" i="1"/>
  <c r="B741" i="1"/>
  <c r="S740" i="1"/>
  <c r="Q740" i="1"/>
  <c r="L740" i="1"/>
  <c r="K740" i="1"/>
  <c r="J740" i="1"/>
  <c r="H740" i="1"/>
  <c r="G740" i="1"/>
  <c r="F740" i="1"/>
  <c r="D740" i="1"/>
  <c r="B740" i="1"/>
  <c r="S739" i="1"/>
  <c r="L739" i="1"/>
  <c r="K739" i="1"/>
  <c r="J739" i="1"/>
  <c r="H739" i="1"/>
  <c r="G739" i="1"/>
  <c r="F739" i="1"/>
  <c r="D739" i="1"/>
  <c r="B739" i="1"/>
  <c r="S738" i="1"/>
  <c r="L738" i="1"/>
  <c r="K738" i="1"/>
  <c r="J738" i="1"/>
  <c r="H738" i="1"/>
  <c r="G738" i="1"/>
  <c r="F738" i="1"/>
  <c r="D738" i="1"/>
  <c r="B738" i="1"/>
  <c r="S737" i="1"/>
  <c r="Q737" i="1"/>
  <c r="L737" i="1"/>
  <c r="K737" i="1"/>
  <c r="J737" i="1"/>
  <c r="H737" i="1"/>
  <c r="G737" i="1"/>
  <c r="F737" i="1"/>
  <c r="D737" i="1"/>
  <c r="B737" i="1"/>
  <c r="S736" i="1"/>
  <c r="Q736" i="1"/>
  <c r="L736" i="1"/>
  <c r="K736" i="1"/>
  <c r="J736" i="1"/>
  <c r="H736" i="1"/>
  <c r="G736" i="1"/>
  <c r="F736" i="1"/>
  <c r="D736" i="1"/>
  <c r="B736" i="1"/>
  <c r="S735" i="1"/>
  <c r="L735" i="1"/>
  <c r="K735" i="1"/>
  <c r="J735" i="1"/>
  <c r="H735" i="1"/>
  <c r="G735" i="1"/>
  <c r="F735" i="1"/>
  <c r="D735" i="1"/>
  <c r="B735" i="1"/>
  <c r="S734" i="1"/>
  <c r="L734" i="1"/>
  <c r="K734" i="1"/>
  <c r="J734" i="1"/>
  <c r="H734" i="1"/>
  <c r="G734" i="1"/>
  <c r="F734" i="1"/>
  <c r="D734" i="1"/>
  <c r="B734" i="1"/>
  <c r="S733" i="1"/>
  <c r="Q733" i="1"/>
  <c r="L733" i="1"/>
  <c r="K733" i="1"/>
  <c r="J733" i="1"/>
  <c r="I733" i="1"/>
  <c r="H733" i="1"/>
  <c r="G733" i="1"/>
  <c r="F733" i="1"/>
  <c r="D733" i="1"/>
  <c r="B733" i="1"/>
  <c r="S732" i="1"/>
  <c r="Q732" i="1"/>
  <c r="L732" i="1"/>
  <c r="K732" i="1"/>
  <c r="J732" i="1"/>
  <c r="I732" i="1"/>
  <c r="H732" i="1"/>
  <c r="G732" i="1"/>
  <c r="F732" i="1"/>
  <c r="D732" i="1"/>
  <c r="B732" i="1"/>
  <c r="S731" i="1"/>
  <c r="Q731" i="1"/>
  <c r="L731" i="1"/>
  <c r="K731" i="1"/>
  <c r="J731" i="1"/>
  <c r="H731" i="1"/>
  <c r="G731" i="1"/>
  <c r="F731" i="1"/>
  <c r="D731" i="1"/>
  <c r="B731" i="1"/>
  <c r="S730" i="1"/>
  <c r="L730" i="1"/>
  <c r="K730" i="1"/>
  <c r="J730" i="1"/>
  <c r="H730" i="1"/>
  <c r="G730" i="1"/>
  <c r="F730" i="1"/>
  <c r="D730" i="1"/>
  <c r="B730" i="1"/>
  <c r="S729" i="1"/>
  <c r="Q729" i="1"/>
  <c r="L729" i="1"/>
  <c r="K729" i="1"/>
  <c r="J729" i="1"/>
  <c r="H729" i="1"/>
  <c r="G729" i="1"/>
  <c r="F729" i="1"/>
  <c r="D729" i="1"/>
  <c r="B729" i="1"/>
  <c r="S728" i="1"/>
  <c r="Q728" i="1"/>
  <c r="L728" i="1"/>
  <c r="K728" i="1"/>
  <c r="J728" i="1"/>
  <c r="H728" i="1"/>
  <c r="G728" i="1"/>
  <c r="F728" i="1"/>
  <c r="D728" i="1"/>
  <c r="B728" i="1"/>
  <c r="S727" i="1"/>
  <c r="L727" i="1"/>
  <c r="K727" i="1"/>
  <c r="J727" i="1"/>
  <c r="H727" i="1"/>
  <c r="G727" i="1"/>
  <c r="F727" i="1"/>
  <c r="D727" i="1"/>
  <c r="B727" i="1"/>
  <c r="S726" i="1"/>
  <c r="L726" i="1"/>
  <c r="K726" i="1"/>
  <c r="J726" i="1"/>
  <c r="H726" i="1"/>
  <c r="G726" i="1"/>
  <c r="F726" i="1"/>
  <c r="D726" i="1"/>
  <c r="B726" i="1"/>
  <c r="S725" i="1"/>
  <c r="L725" i="1"/>
  <c r="K725" i="1"/>
  <c r="J725" i="1"/>
  <c r="H725" i="1"/>
  <c r="G725" i="1"/>
  <c r="F725" i="1"/>
  <c r="D725" i="1"/>
  <c r="B725" i="1"/>
  <c r="S724" i="1"/>
  <c r="L724" i="1"/>
  <c r="K724" i="1"/>
  <c r="J724" i="1"/>
  <c r="H724" i="1"/>
  <c r="G724" i="1"/>
  <c r="F724" i="1"/>
  <c r="D724" i="1"/>
  <c r="B724" i="1"/>
  <c r="S723" i="1"/>
  <c r="L723" i="1"/>
  <c r="K723" i="1"/>
  <c r="J723" i="1"/>
  <c r="H723" i="1"/>
  <c r="G723" i="1"/>
  <c r="F723" i="1"/>
  <c r="D723" i="1"/>
  <c r="B723" i="1"/>
  <c r="S722" i="1"/>
  <c r="L722" i="1"/>
  <c r="K722" i="1"/>
  <c r="J722" i="1"/>
  <c r="H722" i="1"/>
  <c r="G722" i="1"/>
  <c r="F722" i="1"/>
  <c r="D722" i="1"/>
  <c r="B722" i="1"/>
  <c r="S721" i="1"/>
  <c r="L721" i="1"/>
  <c r="K721" i="1"/>
  <c r="J721" i="1"/>
  <c r="H721" i="1"/>
  <c r="G721" i="1"/>
  <c r="F721" i="1"/>
  <c r="D721" i="1"/>
  <c r="B721" i="1"/>
  <c r="S720" i="1"/>
  <c r="L720" i="1"/>
  <c r="K720" i="1"/>
  <c r="J720" i="1"/>
  <c r="H720" i="1"/>
  <c r="G720" i="1"/>
  <c r="F720" i="1"/>
  <c r="D720" i="1"/>
  <c r="B720" i="1"/>
  <c r="S719" i="1"/>
  <c r="Q719" i="1"/>
  <c r="L719" i="1"/>
  <c r="K719" i="1"/>
  <c r="J719" i="1"/>
  <c r="I719" i="1"/>
  <c r="H719" i="1"/>
  <c r="G719" i="1"/>
  <c r="F719" i="1"/>
  <c r="D719" i="1"/>
  <c r="B719" i="1"/>
  <c r="S718" i="1"/>
  <c r="L718" i="1"/>
  <c r="K718" i="1"/>
  <c r="J718" i="1"/>
  <c r="H718" i="1"/>
  <c r="G718" i="1"/>
  <c r="F718" i="1"/>
  <c r="D718" i="1"/>
  <c r="B718" i="1"/>
  <c r="S717" i="1"/>
  <c r="L717" i="1"/>
  <c r="K717" i="1"/>
  <c r="J717" i="1"/>
  <c r="H717" i="1"/>
  <c r="G717" i="1"/>
  <c r="F717" i="1"/>
  <c r="D717" i="1"/>
  <c r="B717" i="1"/>
  <c r="S716" i="1"/>
  <c r="L716" i="1"/>
  <c r="K716" i="1"/>
  <c r="J716" i="1"/>
  <c r="H716" i="1"/>
  <c r="G716" i="1"/>
  <c r="F716" i="1"/>
  <c r="D716" i="1"/>
  <c r="B716" i="1"/>
  <c r="S715" i="1"/>
  <c r="L715" i="1"/>
  <c r="K715" i="1"/>
  <c r="J715" i="1"/>
  <c r="H715" i="1"/>
  <c r="G715" i="1"/>
  <c r="F715" i="1"/>
  <c r="D715" i="1"/>
  <c r="B715" i="1"/>
  <c r="S714" i="1"/>
  <c r="L714" i="1"/>
  <c r="K714" i="1"/>
  <c r="J714" i="1"/>
  <c r="H714" i="1"/>
  <c r="G714" i="1"/>
  <c r="F714" i="1"/>
  <c r="D714" i="1"/>
  <c r="B714" i="1"/>
  <c r="S713" i="1"/>
  <c r="L713" i="1"/>
  <c r="K713" i="1"/>
  <c r="J713" i="1"/>
  <c r="H713" i="1"/>
  <c r="G713" i="1"/>
  <c r="F713" i="1"/>
  <c r="D713" i="1"/>
  <c r="B713" i="1"/>
  <c r="S712" i="1"/>
  <c r="L712" i="1"/>
  <c r="K712" i="1"/>
  <c r="J712" i="1"/>
  <c r="H712" i="1"/>
  <c r="G712" i="1"/>
  <c r="F712" i="1"/>
  <c r="D712" i="1"/>
  <c r="B712" i="1"/>
  <c r="S711" i="1"/>
  <c r="L711" i="1"/>
  <c r="K711" i="1"/>
  <c r="J711" i="1"/>
  <c r="H711" i="1"/>
  <c r="G711" i="1"/>
  <c r="F711" i="1"/>
  <c r="D711" i="1"/>
  <c r="B711" i="1"/>
  <c r="S710" i="1"/>
  <c r="L710" i="1"/>
  <c r="K710" i="1"/>
  <c r="J710" i="1"/>
  <c r="H710" i="1"/>
  <c r="G710" i="1"/>
  <c r="F710" i="1"/>
  <c r="D710" i="1"/>
  <c r="B710" i="1"/>
  <c r="S709" i="1"/>
  <c r="L709" i="1"/>
  <c r="K709" i="1"/>
  <c r="J709" i="1"/>
  <c r="H709" i="1"/>
  <c r="G709" i="1"/>
  <c r="F709" i="1"/>
  <c r="D709" i="1"/>
  <c r="B709" i="1"/>
  <c r="S708" i="1"/>
  <c r="L708" i="1"/>
  <c r="K708" i="1"/>
  <c r="J708" i="1"/>
  <c r="H708" i="1"/>
  <c r="G708" i="1"/>
  <c r="F708" i="1"/>
  <c r="D708" i="1"/>
  <c r="B708" i="1"/>
  <c r="S707" i="1"/>
  <c r="L707" i="1"/>
  <c r="K707" i="1"/>
  <c r="J707" i="1"/>
  <c r="H707" i="1"/>
  <c r="G707" i="1"/>
  <c r="F707" i="1"/>
  <c r="D707" i="1"/>
  <c r="B707" i="1"/>
  <c r="S706" i="1"/>
  <c r="L706" i="1"/>
  <c r="K706" i="1"/>
  <c r="J706" i="1"/>
  <c r="H706" i="1"/>
  <c r="G706" i="1"/>
  <c r="F706" i="1"/>
  <c r="D706" i="1"/>
  <c r="B706" i="1"/>
  <c r="S705" i="1"/>
  <c r="L705" i="1"/>
  <c r="K705" i="1"/>
  <c r="J705" i="1"/>
  <c r="H705" i="1"/>
  <c r="G705" i="1"/>
  <c r="F705" i="1"/>
  <c r="D705" i="1"/>
  <c r="B705" i="1"/>
  <c r="S704" i="1"/>
  <c r="L704" i="1"/>
  <c r="K704" i="1"/>
  <c r="J704" i="1"/>
  <c r="H704" i="1"/>
  <c r="G704" i="1"/>
  <c r="F704" i="1"/>
  <c r="D704" i="1"/>
  <c r="B704" i="1"/>
  <c r="S703" i="1"/>
  <c r="L703" i="1"/>
  <c r="K703" i="1"/>
  <c r="J703" i="1"/>
  <c r="H703" i="1"/>
  <c r="G703" i="1"/>
  <c r="F703" i="1"/>
  <c r="D703" i="1"/>
  <c r="B703" i="1"/>
  <c r="S702" i="1"/>
  <c r="L702" i="1"/>
  <c r="K702" i="1"/>
  <c r="J702" i="1"/>
  <c r="H702" i="1"/>
  <c r="G702" i="1"/>
  <c r="F702" i="1"/>
  <c r="D702" i="1"/>
  <c r="B702" i="1"/>
  <c r="S701" i="1"/>
  <c r="L701" i="1"/>
  <c r="K701" i="1"/>
  <c r="J701" i="1"/>
  <c r="H701" i="1"/>
  <c r="G701" i="1"/>
  <c r="F701" i="1"/>
  <c r="D701" i="1"/>
  <c r="B701" i="1"/>
  <c r="S700" i="1"/>
  <c r="L700" i="1"/>
  <c r="K700" i="1"/>
  <c r="J700" i="1"/>
  <c r="H700" i="1"/>
  <c r="G700" i="1"/>
  <c r="F700" i="1"/>
  <c r="D700" i="1"/>
  <c r="B700" i="1"/>
  <c r="S699" i="1"/>
  <c r="Q699" i="1"/>
  <c r="L699" i="1"/>
  <c r="K699" i="1"/>
  <c r="J699" i="1"/>
  <c r="H699" i="1"/>
  <c r="G699" i="1"/>
  <c r="F699" i="1"/>
  <c r="D699" i="1"/>
  <c r="B699" i="1"/>
  <c r="S698" i="1"/>
  <c r="L698" i="1"/>
  <c r="K698" i="1"/>
  <c r="J698" i="1"/>
  <c r="H698" i="1"/>
  <c r="G698" i="1"/>
  <c r="F698" i="1"/>
  <c r="D698" i="1"/>
  <c r="B698" i="1"/>
  <c r="S697" i="1"/>
  <c r="L697" i="1"/>
  <c r="K697" i="1"/>
  <c r="J697" i="1"/>
  <c r="H697" i="1"/>
  <c r="G697" i="1"/>
  <c r="F697" i="1"/>
  <c r="D697" i="1"/>
  <c r="B697" i="1"/>
  <c r="S696" i="1"/>
  <c r="Q696" i="1"/>
  <c r="L696" i="1"/>
  <c r="K696" i="1"/>
  <c r="J696" i="1"/>
  <c r="H696" i="1"/>
  <c r="G696" i="1"/>
  <c r="F696" i="1"/>
  <c r="D696" i="1"/>
  <c r="B696" i="1"/>
  <c r="S695" i="1"/>
  <c r="L695" i="1"/>
  <c r="K695" i="1"/>
  <c r="J695" i="1"/>
  <c r="H695" i="1"/>
  <c r="G695" i="1"/>
  <c r="F695" i="1"/>
  <c r="D695" i="1"/>
  <c r="B695" i="1"/>
  <c r="S694" i="1"/>
  <c r="Q694" i="1"/>
  <c r="L694" i="1"/>
  <c r="K694" i="1"/>
  <c r="J694" i="1"/>
  <c r="I694" i="1"/>
  <c r="H694" i="1"/>
  <c r="G694" i="1"/>
  <c r="F694" i="1"/>
  <c r="D694" i="1"/>
  <c r="B694" i="1"/>
  <c r="S693" i="1"/>
  <c r="L693" i="1"/>
  <c r="K693" i="1"/>
  <c r="J693" i="1"/>
  <c r="H693" i="1"/>
  <c r="G693" i="1"/>
  <c r="F693" i="1"/>
  <c r="D693" i="1"/>
  <c r="B693" i="1"/>
  <c r="S692" i="1"/>
  <c r="Q692" i="1"/>
  <c r="L692" i="1"/>
  <c r="K692" i="1"/>
  <c r="J692" i="1"/>
  <c r="H692" i="1"/>
  <c r="G692" i="1"/>
  <c r="F692" i="1"/>
  <c r="D692" i="1"/>
  <c r="B692" i="1"/>
  <c r="S691" i="1"/>
  <c r="L691" i="1"/>
  <c r="K691" i="1"/>
  <c r="J691" i="1"/>
  <c r="H691" i="1"/>
  <c r="G691" i="1"/>
  <c r="F691" i="1"/>
  <c r="D691" i="1"/>
  <c r="B691" i="1"/>
  <c r="S690" i="1"/>
  <c r="L690" i="1"/>
  <c r="K690" i="1"/>
  <c r="J690" i="1"/>
  <c r="H690" i="1"/>
  <c r="G690" i="1"/>
  <c r="F690" i="1"/>
  <c r="D690" i="1"/>
  <c r="B690" i="1"/>
  <c r="S689" i="1"/>
  <c r="L689" i="1"/>
  <c r="K689" i="1"/>
  <c r="J689" i="1"/>
  <c r="H689" i="1"/>
  <c r="G689" i="1"/>
  <c r="F689" i="1"/>
  <c r="D689" i="1"/>
  <c r="B689" i="1"/>
  <c r="S688" i="1"/>
  <c r="L688" i="1"/>
  <c r="K688" i="1"/>
  <c r="J688" i="1"/>
  <c r="H688" i="1"/>
  <c r="G688" i="1"/>
  <c r="F688" i="1"/>
  <c r="D688" i="1"/>
  <c r="B688" i="1"/>
  <c r="S687" i="1"/>
  <c r="L687" i="1"/>
  <c r="K687" i="1"/>
  <c r="J687" i="1"/>
  <c r="H687" i="1"/>
  <c r="G687" i="1"/>
  <c r="F687" i="1"/>
  <c r="D687" i="1"/>
  <c r="B687" i="1"/>
  <c r="S686" i="1"/>
  <c r="L686" i="1"/>
  <c r="K686" i="1"/>
  <c r="J686" i="1"/>
  <c r="H686" i="1"/>
  <c r="G686" i="1"/>
  <c r="F686" i="1"/>
  <c r="D686" i="1"/>
  <c r="B686" i="1"/>
  <c r="S685" i="1"/>
  <c r="Q685" i="1"/>
  <c r="L685" i="1"/>
  <c r="K685" i="1"/>
  <c r="J685" i="1"/>
  <c r="I685" i="1"/>
  <c r="H685" i="1"/>
  <c r="G685" i="1"/>
  <c r="F685" i="1"/>
  <c r="D685" i="1"/>
  <c r="B685" i="1"/>
  <c r="S684" i="1"/>
  <c r="L684" i="1"/>
  <c r="K684" i="1"/>
  <c r="J684" i="1"/>
  <c r="H684" i="1"/>
  <c r="G684" i="1"/>
  <c r="F684" i="1"/>
  <c r="D684" i="1"/>
  <c r="B684" i="1"/>
  <c r="S683" i="1"/>
  <c r="L683" i="1"/>
  <c r="K683" i="1"/>
  <c r="J683" i="1"/>
  <c r="H683" i="1"/>
  <c r="G683" i="1"/>
  <c r="F683" i="1"/>
  <c r="D683" i="1"/>
  <c r="B683" i="1"/>
  <c r="S682" i="1"/>
  <c r="L682" i="1"/>
  <c r="K682" i="1"/>
  <c r="J682" i="1"/>
  <c r="H682" i="1"/>
  <c r="G682" i="1"/>
  <c r="F682" i="1"/>
  <c r="D682" i="1"/>
  <c r="B682" i="1"/>
  <c r="S681" i="1"/>
  <c r="L681" i="1"/>
  <c r="K681" i="1"/>
  <c r="J681" i="1"/>
  <c r="H681" i="1"/>
  <c r="G681" i="1"/>
  <c r="F681" i="1"/>
  <c r="D681" i="1"/>
  <c r="B681" i="1"/>
  <c r="S680" i="1"/>
  <c r="L680" i="1"/>
  <c r="K680" i="1"/>
  <c r="J680" i="1"/>
  <c r="H680" i="1"/>
  <c r="G680" i="1"/>
  <c r="F680" i="1"/>
  <c r="D680" i="1"/>
  <c r="B680" i="1"/>
  <c r="S679" i="1"/>
  <c r="L679" i="1"/>
  <c r="K679" i="1"/>
  <c r="J679" i="1"/>
  <c r="H679" i="1"/>
  <c r="G679" i="1"/>
  <c r="F679" i="1"/>
  <c r="D679" i="1"/>
  <c r="B679" i="1"/>
  <c r="S678" i="1"/>
  <c r="L678" i="1"/>
  <c r="K678" i="1"/>
  <c r="J678" i="1"/>
  <c r="H678" i="1"/>
  <c r="G678" i="1"/>
  <c r="F678" i="1"/>
  <c r="D678" i="1"/>
  <c r="B678" i="1"/>
  <c r="S677" i="1"/>
  <c r="L677" i="1"/>
  <c r="K677" i="1"/>
  <c r="J677" i="1"/>
  <c r="H677" i="1"/>
  <c r="G677" i="1"/>
  <c r="F677" i="1"/>
  <c r="D677" i="1"/>
  <c r="B677" i="1"/>
  <c r="S676" i="1"/>
  <c r="L676" i="1"/>
  <c r="K676" i="1"/>
  <c r="J676" i="1"/>
  <c r="H676" i="1"/>
  <c r="G676" i="1"/>
  <c r="F676" i="1"/>
  <c r="D676" i="1"/>
  <c r="B676" i="1"/>
  <c r="S675" i="1"/>
  <c r="L675" i="1"/>
  <c r="K675" i="1"/>
  <c r="J675" i="1"/>
  <c r="H675" i="1"/>
  <c r="G675" i="1"/>
  <c r="F675" i="1"/>
  <c r="D675" i="1"/>
  <c r="B675" i="1"/>
  <c r="S674" i="1"/>
  <c r="L674" i="1"/>
  <c r="K674" i="1"/>
  <c r="J674" i="1"/>
  <c r="H674" i="1"/>
  <c r="G674" i="1"/>
  <c r="F674" i="1"/>
  <c r="D674" i="1"/>
  <c r="B674" i="1"/>
  <c r="S673" i="1"/>
  <c r="L673" i="1"/>
  <c r="K673" i="1"/>
  <c r="J673" i="1"/>
  <c r="H673" i="1"/>
  <c r="G673" i="1"/>
  <c r="F673" i="1"/>
  <c r="D673" i="1"/>
  <c r="B673" i="1"/>
  <c r="S672" i="1"/>
  <c r="L672" i="1"/>
  <c r="K672" i="1"/>
  <c r="J672" i="1"/>
  <c r="H672" i="1"/>
  <c r="G672" i="1"/>
  <c r="F672" i="1"/>
  <c r="D672" i="1"/>
  <c r="B672" i="1"/>
  <c r="S671" i="1"/>
  <c r="L671" i="1"/>
  <c r="K671" i="1"/>
  <c r="J671" i="1"/>
  <c r="H671" i="1"/>
  <c r="G671" i="1"/>
  <c r="F671" i="1"/>
  <c r="D671" i="1"/>
  <c r="B671" i="1"/>
  <c r="S670" i="1"/>
  <c r="Q670" i="1"/>
  <c r="L670" i="1"/>
  <c r="K670" i="1"/>
  <c r="J670" i="1"/>
  <c r="I670" i="1"/>
  <c r="H670" i="1"/>
  <c r="G670" i="1"/>
  <c r="F670" i="1"/>
  <c r="D670" i="1"/>
  <c r="B670" i="1"/>
  <c r="S669" i="1"/>
  <c r="L669" i="1"/>
  <c r="K669" i="1"/>
  <c r="J669" i="1"/>
  <c r="H669" i="1"/>
  <c r="G669" i="1"/>
  <c r="F669" i="1"/>
  <c r="D669" i="1"/>
  <c r="B669" i="1"/>
  <c r="S668" i="1"/>
  <c r="L668" i="1"/>
  <c r="K668" i="1"/>
  <c r="J668" i="1"/>
  <c r="H668" i="1"/>
  <c r="G668" i="1"/>
  <c r="F668" i="1"/>
  <c r="D668" i="1"/>
  <c r="B668" i="1"/>
  <c r="S667" i="1"/>
  <c r="L667" i="1"/>
  <c r="K667" i="1"/>
  <c r="J667" i="1"/>
  <c r="H667" i="1"/>
  <c r="G667" i="1"/>
  <c r="F667" i="1"/>
  <c r="D667" i="1"/>
  <c r="B667" i="1"/>
  <c r="S666" i="1"/>
  <c r="L666" i="1"/>
  <c r="K666" i="1"/>
  <c r="J666" i="1"/>
  <c r="H666" i="1"/>
  <c r="G666" i="1"/>
  <c r="F666" i="1"/>
  <c r="D666" i="1"/>
  <c r="B666" i="1"/>
  <c r="S665" i="1"/>
  <c r="L665" i="1"/>
  <c r="K665" i="1"/>
  <c r="J665" i="1"/>
  <c r="H665" i="1"/>
  <c r="G665" i="1"/>
  <c r="F665" i="1"/>
  <c r="D665" i="1"/>
  <c r="B665" i="1"/>
  <c r="S664" i="1"/>
  <c r="Q664" i="1"/>
  <c r="L664" i="1"/>
  <c r="K664" i="1"/>
  <c r="J664" i="1"/>
  <c r="H664" i="1"/>
  <c r="G664" i="1"/>
  <c r="F664" i="1"/>
  <c r="D664" i="1"/>
  <c r="B664" i="1"/>
  <c r="S663" i="1"/>
  <c r="L663" i="1"/>
  <c r="K663" i="1"/>
  <c r="J663" i="1"/>
  <c r="H663" i="1"/>
  <c r="G663" i="1"/>
  <c r="F663" i="1"/>
  <c r="D663" i="1"/>
  <c r="B663" i="1"/>
  <c r="S662" i="1"/>
  <c r="L662" i="1"/>
  <c r="K662" i="1"/>
  <c r="J662" i="1"/>
  <c r="H662" i="1"/>
  <c r="G662" i="1"/>
  <c r="F662" i="1"/>
  <c r="D662" i="1"/>
  <c r="B662" i="1"/>
  <c r="S661" i="1"/>
  <c r="L661" i="1"/>
  <c r="K661" i="1"/>
  <c r="J661" i="1"/>
  <c r="H661" i="1"/>
  <c r="G661" i="1"/>
  <c r="F661" i="1"/>
  <c r="D661" i="1"/>
  <c r="B661" i="1"/>
  <c r="S660" i="1"/>
  <c r="Q660" i="1"/>
  <c r="L660" i="1"/>
  <c r="K660" i="1"/>
  <c r="J660" i="1"/>
  <c r="I660" i="1"/>
  <c r="H660" i="1"/>
  <c r="G660" i="1"/>
  <c r="F660" i="1"/>
  <c r="D660" i="1"/>
  <c r="B660" i="1"/>
  <c r="S659" i="1"/>
  <c r="Q659" i="1"/>
  <c r="L659" i="1"/>
  <c r="K659" i="1"/>
  <c r="J659" i="1"/>
  <c r="H659" i="1"/>
  <c r="G659" i="1"/>
  <c r="F659" i="1"/>
  <c r="D659" i="1"/>
  <c r="B659" i="1"/>
  <c r="S658" i="1"/>
  <c r="Q658" i="1"/>
  <c r="L658" i="1"/>
  <c r="K658" i="1"/>
  <c r="J658" i="1"/>
  <c r="H658" i="1"/>
  <c r="G658" i="1"/>
  <c r="F658" i="1"/>
  <c r="D658" i="1"/>
  <c r="B658" i="1"/>
  <c r="S657" i="1"/>
  <c r="Q657" i="1"/>
  <c r="L657" i="1"/>
  <c r="K657" i="1"/>
  <c r="J657" i="1"/>
  <c r="H657" i="1"/>
  <c r="G657" i="1"/>
  <c r="F657" i="1"/>
  <c r="D657" i="1"/>
  <c r="B657" i="1"/>
  <c r="S656" i="1"/>
  <c r="Q656" i="1"/>
  <c r="L656" i="1"/>
  <c r="K656" i="1"/>
  <c r="J656" i="1"/>
  <c r="H656" i="1"/>
  <c r="G656" i="1"/>
  <c r="F656" i="1"/>
  <c r="D656" i="1"/>
  <c r="B656" i="1"/>
  <c r="S655" i="1"/>
  <c r="Q655" i="1"/>
  <c r="L655" i="1"/>
  <c r="K655" i="1"/>
  <c r="J655" i="1"/>
  <c r="H655" i="1"/>
  <c r="G655" i="1"/>
  <c r="F655" i="1"/>
  <c r="D655" i="1"/>
  <c r="B655" i="1"/>
  <c r="S654" i="1"/>
  <c r="Q654" i="1"/>
  <c r="L654" i="1"/>
  <c r="K654" i="1"/>
  <c r="J654" i="1"/>
  <c r="H654" i="1"/>
  <c r="G654" i="1"/>
  <c r="F654" i="1"/>
  <c r="D654" i="1"/>
  <c r="B654" i="1"/>
  <c r="S653" i="1"/>
  <c r="Q653" i="1"/>
  <c r="L653" i="1"/>
  <c r="K653" i="1"/>
  <c r="J653" i="1"/>
  <c r="H653" i="1"/>
  <c r="G653" i="1"/>
  <c r="F653" i="1"/>
  <c r="D653" i="1"/>
  <c r="B653" i="1"/>
  <c r="S652" i="1"/>
  <c r="Q652" i="1"/>
  <c r="L652" i="1"/>
  <c r="K652" i="1"/>
  <c r="J652" i="1"/>
  <c r="H652" i="1"/>
  <c r="G652" i="1"/>
  <c r="F652" i="1"/>
  <c r="D652" i="1"/>
  <c r="B652" i="1"/>
  <c r="S651" i="1"/>
  <c r="Q651" i="1"/>
  <c r="L651" i="1"/>
  <c r="K651" i="1"/>
  <c r="J651" i="1"/>
  <c r="H651" i="1"/>
  <c r="G651" i="1"/>
  <c r="F651" i="1"/>
  <c r="D651" i="1"/>
  <c r="B651" i="1"/>
  <c r="S650" i="1"/>
  <c r="Q650" i="1"/>
  <c r="L650" i="1"/>
  <c r="K650" i="1"/>
  <c r="J650" i="1"/>
  <c r="H650" i="1"/>
  <c r="G650" i="1"/>
  <c r="F650" i="1"/>
  <c r="D650" i="1"/>
  <c r="B650" i="1"/>
  <c r="S649" i="1"/>
  <c r="L649" i="1"/>
  <c r="K649" i="1"/>
  <c r="J649" i="1"/>
  <c r="H649" i="1"/>
  <c r="G649" i="1"/>
  <c r="F649" i="1"/>
  <c r="D649" i="1"/>
  <c r="B649" i="1"/>
  <c r="S648" i="1"/>
  <c r="Q648" i="1"/>
  <c r="L648" i="1"/>
  <c r="K648" i="1"/>
  <c r="J648" i="1"/>
  <c r="H648" i="1"/>
  <c r="G648" i="1"/>
  <c r="F648" i="1"/>
  <c r="D648" i="1"/>
  <c r="B648" i="1"/>
  <c r="S647" i="1"/>
  <c r="L647" i="1"/>
  <c r="K647" i="1"/>
  <c r="J647" i="1"/>
  <c r="H647" i="1"/>
  <c r="G647" i="1"/>
  <c r="F647" i="1"/>
  <c r="D647" i="1"/>
  <c r="B647" i="1"/>
  <c r="S646" i="1"/>
  <c r="L646" i="1"/>
  <c r="K646" i="1"/>
  <c r="J646" i="1"/>
  <c r="H646" i="1"/>
  <c r="G646" i="1"/>
  <c r="F646" i="1"/>
  <c r="D646" i="1"/>
  <c r="B646" i="1"/>
  <c r="S645" i="1"/>
  <c r="L645" i="1"/>
  <c r="K645" i="1"/>
  <c r="J645" i="1"/>
  <c r="H645" i="1"/>
  <c r="G645" i="1"/>
  <c r="F645" i="1"/>
  <c r="D645" i="1"/>
  <c r="B645" i="1"/>
  <c r="S644" i="1"/>
  <c r="Q644" i="1"/>
  <c r="L644" i="1"/>
  <c r="K644" i="1"/>
  <c r="J644" i="1"/>
  <c r="H644" i="1"/>
  <c r="G644" i="1"/>
  <c r="F644" i="1"/>
  <c r="D644" i="1"/>
  <c r="B644" i="1"/>
  <c r="S643" i="1"/>
  <c r="L643" i="1"/>
  <c r="K643" i="1"/>
  <c r="J643" i="1"/>
  <c r="H643" i="1"/>
  <c r="G643" i="1"/>
  <c r="F643" i="1"/>
  <c r="D643" i="1"/>
  <c r="B643" i="1"/>
  <c r="S642" i="1"/>
  <c r="L642" i="1"/>
  <c r="K642" i="1"/>
  <c r="J642" i="1"/>
  <c r="H642" i="1"/>
  <c r="G642" i="1"/>
  <c r="F642" i="1"/>
  <c r="D642" i="1"/>
  <c r="B642" i="1"/>
  <c r="S641" i="1"/>
  <c r="Q641" i="1"/>
  <c r="L641" i="1"/>
  <c r="K641" i="1"/>
  <c r="J641" i="1"/>
  <c r="H641" i="1"/>
  <c r="G641" i="1"/>
  <c r="F641" i="1"/>
  <c r="D641" i="1"/>
  <c r="B641" i="1"/>
  <c r="S640" i="1"/>
  <c r="L640" i="1"/>
  <c r="K640" i="1"/>
  <c r="J640" i="1"/>
  <c r="H640" i="1"/>
  <c r="G640" i="1"/>
  <c r="F640" i="1"/>
  <c r="D640" i="1"/>
  <c r="B640" i="1"/>
  <c r="S639" i="1"/>
  <c r="Q639" i="1"/>
  <c r="L639" i="1"/>
  <c r="K639" i="1"/>
  <c r="J639" i="1"/>
  <c r="H639" i="1"/>
  <c r="G639" i="1"/>
  <c r="F639" i="1"/>
  <c r="D639" i="1"/>
  <c r="B639" i="1"/>
  <c r="S638" i="1"/>
  <c r="L638" i="1"/>
  <c r="K638" i="1"/>
  <c r="J638" i="1"/>
  <c r="H638" i="1"/>
  <c r="G638" i="1"/>
  <c r="F638" i="1"/>
  <c r="D638" i="1"/>
  <c r="B638" i="1"/>
  <c r="S637" i="1"/>
  <c r="Q637" i="1"/>
  <c r="L637" i="1"/>
  <c r="K637" i="1"/>
  <c r="J637" i="1"/>
  <c r="H637" i="1"/>
  <c r="G637" i="1"/>
  <c r="F637" i="1"/>
  <c r="D637" i="1"/>
  <c r="B637" i="1"/>
  <c r="S636" i="1"/>
  <c r="Q636" i="1"/>
  <c r="L636" i="1"/>
  <c r="K636" i="1"/>
  <c r="J636" i="1"/>
  <c r="H636" i="1"/>
  <c r="G636" i="1"/>
  <c r="F636" i="1"/>
  <c r="D636" i="1"/>
  <c r="B636" i="1"/>
  <c r="S635" i="1"/>
  <c r="Q635" i="1"/>
  <c r="L635" i="1"/>
  <c r="K635" i="1"/>
  <c r="J635" i="1"/>
  <c r="I635" i="1"/>
  <c r="H635" i="1"/>
  <c r="G635" i="1"/>
  <c r="F635" i="1"/>
  <c r="D635" i="1"/>
  <c r="B635" i="1"/>
  <c r="S634" i="1"/>
  <c r="Q634" i="1"/>
  <c r="L634" i="1"/>
  <c r="K634" i="1"/>
  <c r="J634" i="1"/>
  <c r="I634" i="1"/>
  <c r="H634" i="1"/>
  <c r="G634" i="1"/>
  <c r="F634" i="1"/>
  <c r="D634" i="1"/>
  <c r="B634" i="1"/>
  <c r="S633" i="1"/>
  <c r="Q633" i="1"/>
  <c r="L633" i="1"/>
  <c r="K633" i="1"/>
  <c r="J633" i="1"/>
  <c r="I633" i="1"/>
  <c r="H633" i="1"/>
  <c r="G633" i="1"/>
  <c r="F633" i="1"/>
  <c r="D633" i="1"/>
  <c r="B633" i="1"/>
  <c r="S632" i="1"/>
  <c r="Q632" i="1"/>
  <c r="L632" i="1"/>
  <c r="K632" i="1"/>
  <c r="J632" i="1"/>
  <c r="H632" i="1"/>
  <c r="G632" i="1"/>
  <c r="F632" i="1"/>
  <c r="D632" i="1"/>
  <c r="B632" i="1"/>
  <c r="S631" i="1"/>
  <c r="Q631" i="1"/>
  <c r="L631" i="1"/>
  <c r="K631" i="1"/>
  <c r="J631" i="1"/>
  <c r="H631" i="1"/>
  <c r="G631" i="1"/>
  <c r="F631" i="1"/>
  <c r="D631" i="1"/>
  <c r="B631" i="1"/>
  <c r="S630" i="1"/>
  <c r="L630" i="1"/>
  <c r="K630" i="1"/>
  <c r="J630" i="1"/>
  <c r="H630" i="1"/>
  <c r="G630" i="1"/>
  <c r="F630" i="1"/>
  <c r="D630" i="1"/>
  <c r="B630" i="1"/>
  <c r="S629" i="1"/>
  <c r="Q629" i="1"/>
  <c r="L629" i="1"/>
  <c r="K629" i="1"/>
  <c r="J629" i="1"/>
  <c r="H629" i="1"/>
  <c r="G629" i="1"/>
  <c r="F629" i="1"/>
  <c r="D629" i="1"/>
  <c r="B629" i="1"/>
  <c r="S628" i="1"/>
  <c r="Q628" i="1"/>
  <c r="L628" i="1"/>
  <c r="K628" i="1"/>
  <c r="J628" i="1"/>
  <c r="H628" i="1"/>
  <c r="G628" i="1"/>
  <c r="F628" i="1"/>
  <c r="D628" i="1"/>
  <c r="B628" i="1"/>
  <c r="S627" i="1"/>
  <c r="L627" i="1"/>
  <c r="K627" i="1"/>
  <c r="J627" i="1"/>
  <c r="H627" i="1"/>
  <c r="G627" i="1"/>
  <c r="F627" i="1"/>
  <c r="D627" i="1"/>
  <c r="B627" i="1"/>
  <c r="S626" i="1"/>
  <c r="Q626" i="1"/>
  <c r="L626" i="1"/>
  <c r="K626" i="1"/>
  <c r="J626" i="1"/>
  <c r="H626" i="1"/>
  <c r="G626" i="1"/>
  <c r="F626" i="1"/>
  <c r="D626" i="1"/>
  <c r="B626" i="1"/>
  <c r="S625" i="1"/>
  <c r="Q625" i="1"/>
  <c r="L625" i="1"/>
  <c r="K625" i="1"/>
  <c r="J625" i="1"/>
  <c r="H625" i="1"/>
  <c r="G625" i="1"/>
  <c r="F625" i="1"/>
  <c r="D625" i="1"/>
  <c r="B625" i="1"/>
  <c r="S624" i="1"/>
  <c r="L624" i="1"/>
  <c r="K624" i="1"/>
  <c r="J624" i="1"/>
  <c r="H624" i="1"/>
  <c r="G624" i="1"/>
  <c r="F624" i="1"/>
  <c r="D624" i="1"/>
  <c r="B624" i="1"/>
  <c r="S623" i="1"/>
  <c r="L623" i="1"/>
  <c r="K623" i="1"/>
  <c r="J623" i="1"/>
  <c r="H623" i="1"/>
  <c r="G623" i="1"/>
  <c r="F623" i="1"/>
  <c r="D623" i="1"/>
  <c r="B623" i="1"/>
  <c r="S622" i="1"/>
  <c r="L622" i="1"/>
  <c r="K622" i="1"/>
  <c r="J622" i="1"/>
  <c r="H622" i="1"/>
  <c r="G622" i="1"/>
  <c r="F622" i="1"/>
  <c r="D622" i="1"/>
  <c r="B622" i="1"/>
  <c r="S621" i="1"/>
  <c r="L621" i="1"/>
  <c r="K621" i="1"/>
  <c r="J621" i="1"/>
  <c r="H621" i="1"/>
  <c r="G621" i="1"/>
  <c r="F621" i="1"/>
  <c r="D621" i="1"/>
  <c r="B621" i="1"/>
  <c r="S620" i="1"/>
  <c r="L620" i="1"/>
  <c r="K620" i="1"/>
  <c r="J620" i="1"/>
  <c r="H620" i="1"/>
  <c r="G620" i="1"/>
  <c r="F620" i="1"/>
  <c r="D620" i="1"/>
  <c r="B620" i="1"/>
  <c r="S619" i="1"/>
  <c r="L619" i="1"/>
  <c r="K619" i="1"/>
  <c r="J619" i="1"/>
  <c r="H619" i="1"/>
  <c r="G619" i="1"/>
  <c r="F619" i="1"/>
  <c r="D619" i="1"/>
  <c r="B619" i="1"/>
  <c r="S618" i="1"/>
  <c r="L618" i="1"/>
  <c r="K618" i="1"/>
  <c r="J618" i="1"/>
  <c r="H618" i="1"/>
  <c r="G618" i="1"/>
  <c r="F618" i="1"/>
  <c r="D618" i="1"/>
  <c r="B618" i="1"/>
  <c r="S617" i="1"/>
  <c r="L617" i="1"/>
  <c r="K617" i="1"/>
  <c r="J617" i="1"/>
  <c r="H617" i="1"/>
  <c r="G617" i="1"/>
  <c r="F617" i="1"/>
  <c r="D617" i="1"/>
  <c r="B617" i="1"/>
  <c r="S616" i="1"/>
  <c r="L616" i="1"/>
  <c r="K616" i="1"/>
  <c r="J616" i="1"/>
  <c r="H616" i="1"/>
  <c r="G616" i="1"/>
  <c r="F616" i="1"/>
  <c r="D616" i="1"/>
  <c r="B616" i="1"/>
  <c r="S615" i="1"/>
  <c r="Q615" i="1"/>
  <c r="L615" i="1"/>
  <c r="K615" i="1"/>
  <c r="J615" i="1"/>
  <c r="H615" i="1"/>
  <c r="G615" i="1"/>
  <c r="F615" i="1"/>
  <c r="D615" i="1"/>
  <c r="B615" i="1"/>
  <c r="S614" i="1"/>
  <c r="L614" i="1"/>
  <c r="K614" i="1"/>
  <c r="J614" i="1"/>
  <c r="H614" i="1"/>
  <c r="G614" i="1"/>
  <c r="F614" i="1"/>
  <c r="D614" i="1"/>
  <c r="B614" i="1"/>
  <c r="S613" i="1"/>
  <c r="Q613" i="1"/>
  <c r="L613" i="1"/>
  <c r="K613" i="1"/>
  <c r="J613" i="1"/>
  <c r="I613" i="1"/>
  <c r="H613" i="1"/>
  <c r="G613" i="1"/>
  <c r="F613" i="1"/>
  <c r="D613" i="1"/>
  <c r="B613" i="1"/>
  <c r="S612" i="1"/>
  <c r="Q612" i="1"/>
  <c r="L612" i="1"/>
  <c r="K612" i="1"/>
  <c r="J612" i="1"/>
  <c r="I612" i="1"/>
  <c r="H612" i="1"/>
  <c r="G612" i="1"/>
  <c r="F612" i="1"/>
  <c r="D612" i="1"/>
  <c r="B612" i="1"/>
  <c r="S611" i="1"/>
  <c r="Q611" i="1"/>
  <c r="L611" i="1"/>
  <c r="K611" i="1"/>
  <c r="J611" i="1"/>
  <c r="I611" i="1"/>
  <c r="H611" i="1"/>
  <c r="G611" i="1"/>
  <c r="F611" i="1"/>
  <c r="D611" i="1"/>
  <c r="B611" i="1"/>
  <c r="S610" i="1"/>
  <c r="Q610" i="1"/>
  <c r="L610" i="1"/>
  <c r="K610" i="1"/>
  <c r="J610" i="1"/>
  <c r="I610" i="1"/>
  <c r="H610" i="1"/>
  <c r="G610" i="1"/>
  <c r="F610" i="1"/>
  <c r="D610" i="1"/>
  <c r="B610" i="1"/>
  <c r="S609" i="1"/>
  <c r="Q609" i="1"/>
  <c r="L609" i="1"/>
  <c r="K609" i="1"/>
  <c r="J609" i="1"/>
  <c r="H609" i="1"/>
  <c r="G609" i="1"/>
  <c r="F609" i="1"/>
  <c r="D609" i="1"/>
  <c r="B609" i="1"/>
  <c r="S608" i="1"/>
  <c r="Q608" i="1"/>
  <c r="L608" i="1"/>
  <c r="K608" i="1"/>
  <c r="J608" i="1"/>
  <c r="H608" i="1"/>
  <c r="G608" i="1"/>
  <c r="F608" i="1"/>
  <c r="D608" i="1"/>
  <c r="B608" i="1"/>
  <c r="S607" i="1"/>
  <c r="L607" i="1"/>
  <c r="K607" i="1"/>
  <c r="J607" i="1"/>
  <c r="H607" i="1"/>
  <c r="G607" i="1"/>
  <c r="F607" i="1"/>
  <c r="D607" i="1"/>
  <c r="B607" i="1"/>
  <c r="S606" i="1"/>
  <c r="L606" i="1"/>
  <c r="K606" i="1"/>
  <c r="J606" i="1"/>
  <c r="H606" i="1"/>
  <c r="G606" i="1"/>
  <c r="F606" i="1"/>
  <c r="D606" i="1"/>
  <c r="B606" i="1"/>
  <c r="S605" i="1"/>
  <c r="L605" i="1"/>
  <c r="K605" i="1"/>
  <c r="J605" i="1"/>
  <c r="H605" i="1"/>
  <c r="G605" i="1"/>
  <c r="F605" i="1"/>
  <c r="D605" i="1"/>
  <c r="B605" i="1"/>
  <c r="S604" i="1"/>
  <c r="L604" i="1"/>
  <c r="K604" i="1"/>
  <c r="J604" i="1"/>
  <c r="H604" i="1"/>
  <c r="G604" i="1"/>
  <c r="F604" i="1"/>
  <c r="D604" i="1"/>
  <c r="B604" i="1"/>
  <c r="S603" i="1"/>
  <c r="L603" i="1"/>
  <c r="K603" i="1"/>
  <c r="J603" i="1"/>
  <c r="H603" i="1"/>
  <c r="G603" i="1"/>
  <c r="F603" i="1"/>
  <c r="D603" i="1"/>
  <c r="B603" i="1"/>
  <c r="S602" i="1"/>
  <c r="L602" i="1"/>
  <c r="K602" i="1"/>
  <c r="J602" i="1"/>
  <c r="H602" i="1"/>
  <c r="G602" i="1"/>
  <c r="F602" i="1"/>
  <c r="D602" i="1"/>
  <c r="B602" i="1"/>
  <c r="S601" i="1"/>
  <c r="L601" i="1"/>
  <c r="K601" i="1"/>
  <c r="J601" i="1"/>
  <c r="H601" i="1"/>
  <c r="G601" i="1"/>
  <c r="F601" i="1"/>
  <c r="D601" i="1"/>
  <c r="B601" i="1"/>
  <c r="S600" i="1"/>
  <c r="Q600" i="1"/>
  <c r="L600" i="1"/>
  <c r="K600" i="1"/>
  <c r="J600" i="1"/>
  <c r="I600" i="1"/>
  <c r="H600" i="1"/>
  <c r="G600" i="1"/>
  <c r="F600" i="1"/>
  <c r="D600" i="1"/>
  <c r="B600" i="1"/>
  <c r="S599" i="1"/>
  <c r="L599" i="1"/>
  <c r="K599" i="1"/>
  <c r="J599" i="1"/>
  <c r="H599" i="1"/>
  <c r="G599" i="1"/>
  <c r="F599" i="1"/>
  <c r="D599" i="1"/>
  <c r="B599" i="1"/>
  <c r="S598" i="1"/>
  <c r="Q598" i="1"/>
  <c r="L598" i="1"/>
  <c r="K598" i="1"/>
  <c r="J598" i="1"/>
  <c r="I598" i="1"/>
  <c r="H598" i="1"/>
  <c r="G598" i="1"/>
  <c r="F598" i="1"/>
  <c r="D598" i="1"/>
  <c r="B598" i="1"/>
  <c r="S597" i="1"/>
  <c r="Q597" i="1"/>
  <c r="L597" i="1"/>
  <c r="K597" i="1"/>
  <c r="J597" i="1"/>
  <c r="H597" i="1"/>
  <c r="G597" i="1"/>
  <c r="F597" i="1"/>
  <c r="D597" i="1"/>
  <c r="B597" i="1"/>
  <c r="S596" i="1"/>
  <c r="L596" i="1"/>
  <c r="K596" i="1"/>
  <c r="J596" i="1"/>
  <c r="H596" i="1"/>
  <c r="G596" i="1"/>
  <c r="F596" i="1"/>
  <c r="D596" i="1"/>
  <c r="B596" i="1"/>
  <c r="S595" i="1"/>
  <c r="L595" i="1"/>
  <c r="K595" i="1"/>
  <c r="J595" i="1"/>
  <c r="H595" i="1"/>
  <c r="G595" i="1"/>
  <c r="F595" i="1"/>
  <c r="D595" i="1"/>
  <c r="B595" i="1"/>
  <c r="S594" i="1"/>
  <c r="L594" i="1"/>
  <c r="K594" i="1"/>
  <c r="J594" i="1"/>
  <c r="H594" i="1"/>
  <c r="G594" i="1"/>
  <c r="F594" i="1"/>
  <c r="D594" i="1"/>
  <c r="B594" i="1"/>
  <c r="S593" i="1"/>
  <c r="L593" i="1"/>
  <c r="K593" i="1"/>
  <c r="J593" i="1"/>
  <c r="H593" i="1"/>
  <c r="G593" i="1"/>
  <c r="F593" i="1"/>
  <c r="D593" i="1"/>
  <c r="B593" i="1"/>
  <c r="S592" i="1"/>
  <c r="L592" i="1"/>
  <c r="K592" i="1"/>
  <c r="J592" i="1"/>
  <c r="H592" i="1"/>
  <c r="G592" i="1"/>
  <c r="F592" i="1"/>
  <c r="D592" i="1"/>
  <c r="B592" i="1"/>
  <c r="S591" i="1"/>
  <c r="Q591" i="1"/>
  <c r="L591" i="1"/>
  <c r="K591" i="1"/>
  <c r="J591" i="1"/>
  <c r="H591" i="1"/>
  <c r="G591" i="1"/>
  <c r="F591" i="1"/>
  <c r="D591" i="1"/>
  <c r="B591" i="1"/>
  <c r="S590" i="1"/>
  <c r="L590" i="1"/>
  <c r="K590" i="1"/>
  <c r="J590" i="1"/>
  <c r="H590" i="1"/>
  <c r="G590" i="1"/>
  <c r="F590" i="1"/>
  <c r="D590" i="1"/>
  <c r="B590" i="1"/>
  <c r="S589" i="1"/>
  <c r="Q589" i="1"/>
  <c r="L589" i="1"/>
  <c r="K589" i="1"/>
  <c r="J589" i="1"/>
  <c r="H589" i="1"/>
  <c r="G589" i="1"/>
  <c r="F589" i="1"/>
  <c r="D589" i="1"/>
  <c r="B589" i="1"/>
  <c r="S588" i="1"/>
  <c r="Q588" i="1"/>
  <c r="L588" i="1"/>
  <c r="K588" i="1"/>
  <c r="J588" i="1"/>
  <c r="H588" i="1"/>
  <c r="G588" i="1"/>
  <c r="F588" i="1"/>
  <c r="D588" i="1"/>
  <c r="B588" i="1"/>
  <c r="S587" i="1"/>
  <c r="Q587" i="1"/>
  <c r="L587" i="1"/>
  <c r="K587" i="1"/>
  <c r="J587" i="1"/>
  <c r="H587" i="1"/>
  <c r="G587" i="1"/>
  <c r="F587" i="1"/>
  <c r="D587" i="1"/>
  <c r="B587" i="1"/>
  <c r="S586" i="1"/>
  <c r="L586" i="1"/>
  <c r="K586" i="1"/>
  <c r="J586" i="1"/>
  <c r="H586" i="1"/>
  <c r="G586" i="1"/>
  <c r="F586" i="1"/>
  <c r="D586" i="1"/>
  <c r="B586" i="1"/>
  <c r="S585" i="1"/>
  <c r="Q585" i="1"/>
  <c r="L585" i="1"/>
  <c r="K585" i="1"/>
  <c r="J585" i="1"/>
  <c r="H585" i="1"/>
  <c r="G585" i="1"/>
  <c r="F585" i="1"/>
  <c r="D585" i="1"/>
  <c r="B585" i="1"/>
  <c r="S584" i="1"/>
  <c r="Q584" i="1"/>
  <c r="L584" i="1"/>
  <c r="K584" i="1"/>
  <c r="J584" i="1"/>
  <c r="H584" i="1"/>
  <c r="G584" i="1"/>
  <c r="F584" i="1"/>
  <c r="D584" i="1"/>
  <c r="B584" i="1"/>
  <c r="S583" i="1"/>
  <c r="Q583" i="1"/>
  <c r="L583" i="1"/>
  <c r="K583" i="1"/>
  <c r="J583" i="1"/>
  <c r="H583" i="1"/>
  <c r="G583" i="1"/>
  <c r="F583" i="1"/>
  <c r="D583" i="1"/>
  <c r="B583" i="1"/>
  <c r="S582" i="1"/>
  <c r="Q582" i="1"/>
  <c r="L582" i="1"/>
  <c r="K582" i="1"/>
  <c r="J582" i="1"/>
  <c r="H582" i="1"/>
  <c r="G582" i="1"/>
  <c r="F582" i="1"/>
  <c r="D582" i="1"/>
  <c r="B582" i="1"/>
  <c r="S581" i="1"/>
  <c r="Q581" i="1"/>
  <c r="L581" i="1"/>
  <c r="K581" i="1"/>
  <c r="J581" i="1"/>
  <c r="H581" i="1"/>
  <c r="G581" i="1"/>
  <c r="F581" i="1"/>
  <c r="D581" i="1"/>
  <c r="B581" i="1"/>
  <c r="S580" i="1"/>
  <c r="Q580" i="1"/>
  <c r="L580" i="1"/>
  <c r="K580" i="1"/>
  <c r="J580" i="1"/>
  <c r="H580" i="1"/>
  <c r="G580" i="1"/>
  <c r="F580" i="1"/>
  <c r="D580" i="1"/>
  <c r="B580" i="1"/>
  <c r="S579" i="1"/>
  <c r="Q579" i="1"/>
  <c r="L579" i="1"/>
  <c r="K579" i="1"/>
  <c r="J579" i="1"/>
  <c r="H579" i="1"/>
  <c r="G579" i="1"/>
  <c r="F579" i="1"/>
  <c r="D579" i="1"/>
  <c r="B579" i="1"/>
  <c r="S578" i="1"/>
  <c r="Q578" i="1"/>
  <c r="L578" i="1"/>
  <c r="K578" i="1"/>
  <c r="J578" i="1"/>
  <c r="H578" i="1"/>
  <c r="G578" i="1"/>
  <c r="F578" i="1"/>
  <c r="D578" i="1"/>
  <c r="B578" i="1"/>
  <c r="S577" i="1"/>
  <c r="L577" i="1"/>
  <c r="K577" i="1"/>
  <c r="J577" i="1"/>
  <c r="H577" i="1"/>
  <c r="G577" i="1"/>
  <c r="F577" i="1"/>
  <c r="D577" i="1"/>
  <c r="B577" i="1"/>
  <c r="S576" i="1"/>
  <c r="L576" i="1"/>
  <c r="K576" i="1"/>
  <c r="J576" i="1"/>
  <c r="H576" i="1"/>
  <c r="G576" i="1"/>
  <c r="F576" i="1"/>
  <c r="D576" i="1"/>
  <c r="B576" i="1"/>
  <c r="S575" i="1"/>
  <c r="L575" i="1"/>
  <c r="K575" i="1"/>
  <c r="J575" i="1"/>
  <c r="H575" i="1"/>
  <c r="G575" i="1"/>
  <c r="F575" i="1"/>
  <c r="D575" i="1"/>
  <c r="B575" i="1"/>
  <c r="S574" i="1"/>
  <c r="L574" i="1"/>
  <c r="K574" i="1"/>
  <c r="J574" i="1"/>
  <c r="H574" i="1"/>
  <c r="G574" i="1"/>
  <c r="F574" i="1"/>
  <c r="D574" i="1"/>
  <c r="B574" i="1"/>
  <c r="S573" i="1"/>
  <c r="L573" i="1"/>
  <c r="K573" i="1"/>
  <c r="J573" i="1"/>
  <c r="H573" i="1"/>
  <c r="G573" i="1"/>
  <c r="F573" i="1"/>
  <c r="D573" i="1"/>
  <c r="B573" i="1"/>
  <c r="S572" i="1"/>
  <c r="L572" i="1"/>
  <c r="K572" i="1"/>
  <c r="J572" i="1"/>
  <c r="H572" i="1"/>
  <c r="G572" i="1"/>
  <c r="F572" i="1"/>
  <c r="D572" i="1"/>
  <c r="B572" i="1"/>
  <c r="S571" i="1"/>
  <c r="L571" i="1"/>
  <c r="K571" i="1"/>
  <c r="J571" i="1"/>
  <c r="H571" i="1"/>
  <c r="G571" i="1"/>
  <c r="F571" i="1"/>
  <c r="D571" i="1"/>
  <c r="B571" i="1"/>
  <c r="S570" i="1"/>
  <c r="L570" i="1"/>
  <c r="K570" i="1"/>
  <c r="J570" i="1"/>
  <c r="H570" i="1"/>
  <c r="G570" i="1"/>
  <c r="F570" i="1"/>
  <c r="D570" i="1"/>
  <c r="B570" i="1"/>
  <c r="S569" i="1"/>
  <c r="L569" i="1"/>
  <c r="K569" i="1"/>
  <c r="J569" i="1"/>
  <c r="H569" i="1"/>
  <c r="G569" i="1"/>
  <c r="F569" i="1"/>
  <c r="D569" i="1"/>
  <c r="B569" i="1"/>
  <c r="S568" i="1"/>
  <c r="L568" i="1"/>
  <c r="K568" i="1"/>
  <c r="J568" i="1"/>
  <c r="H568" i="1"/>
  <c r="G568" i="1"/>
  <c r="F568" i="1"/>
  <c r="D568" i="1"/>
  <c r="B568" i="1"/>
  <c r="S567" i="1"/>
  <c r="L567" i="1"/>
  <c r="K567" i="1"/>
  <c r="J567" i="1"/>
  <c r="H567" i="1"/>
  <c r="G567" i="1"/>
  <c r="F567" i="1"/>
  <c r="D567" i="1"/>
  <c r="B567" i="1"/>
  <c r="S566" i="1"/>
  <c r="L566" i="1"/>
  <c r="K566" i="1"/>
  <c r="J566" i="1"/>
  <c r="H566" i="1"/>
  <c r="G566" i="1"/>
  <c r="F566" i="1"/>
  <c r="D566" i="1"/>
  <c r="B566" i="1"/>
  <c r="S565" i="1"/>
  <c r="L565" i="1"/>
  <c r="K565" i="1"/>
  <c r="J565" i="1"/>
  <c r="H565" i="1"/>
  <c r="G565" i="1"/>
  <c r="F565" i="1"/>
  <c r="D565" i="1"/>
  <c r="B565" i="1"/>
  <c r="S564" i="1"/>
  <c r="L564" i="1"/>
  <c r="K564" i="1"/>
  <c r="J564" i="1"/>
  <c r="H564" i="1"/>
  <c r="G564" i="1"/>
  <c r="F564" i="1"/>
  <c r="D564" i="1"/>
  <c r="B564" i="1"/>
  <c r="S563" i="1"/>
  <c r="L563" i="1"/>
  <c r="K563" i="1"/>
  <c r="J563" i="1"/>
  <c r="H563" i="1"/>
  <c r="G563" i="1"/>
  <c r="F563" i="1"/>
  <c r="D563" i="1"/>
  <c r="B563" i="1"/>
  <c r="S562" i="1"/>
  <c r="L562" i="1"/>
  <c r="K562" i="1"/>
  <c r="J562" i="1"/>
  <c r="H562" i="1"/>
  <c r="G562" i="1"/>
  <c r="F562" i="1"/>
  <c r="D562" i="1"/>
  <c r="B562" i="1"/>
  <c r="S561" i="1"/>
  <c r="L561" i="1"/>
  <c r="K561" i="1"/>
  <c r="J561" i="1"/>
  <c r="H561" i="1"/>
  <c r="G561" i="1"/>
  <c r="F561" i="1"/>
  <c r="D561" i="1"/>
  <c r="B561" i="1"/>
  <c r="S560" i="1"/>
  <c r="L560" i="1"/>
  <c r="K560" i="1"/>
  <c r="J560" i="1"/>
  <c r="H560" i="1"/>
  <c r="G560" i="1"/>
  <c r="F560" i="1"/>
  <c r="D560" i="1"/>
  <c r="B560" i="1"/>
  <c r="S559" i="1"/>
  <c r="L559" i="1"/>
  <c r="K559" i="1"/>
  <c r="J559" i="1"/>
  <c r="H559" i="1"/>
  <c r="G559" i="1"/>
  <c r="F559" i="1"/>
  <c r="D559" i="1"/>
  <c r="B559" i="1"/>
  <c r="S558" i="1"/>
  <c r="Q558" i="1"/>
  <c r="L558" i="1"/>
  <c r="K558" i="1"/>
  <c r="J558" i="1"/>
  <c r="I558" i="1"/>
  <c r="H558" i="1"/>
  <c r="G558" i="1"/>
  <c r="F558" i="1"/>
  <c r="D558" i="1"/>
  <c r="B558" i="1"/>
  <c r="S557" i="1"/>
  <c r="L557" i="1"/>
  <c r="K557" i="1"/>
  <c r="J557" i="1"/>
  <c r="H557" i="1"/>
  <c r="G557" i="1"/>
  <c r="F557" i="1"/>
  <c r="D557" i="1"/>
  <c r="B557" i="1"/>
  <c r="S556" i="1"/>
  <c r="L556" i="1"/>
  <c r="K556" i="1"/>
  <c r="J556" i="1"/>
  <c r="H556" i="1"/>
  <c r="G556" i="1"/>
  <c r="F556" i="1"/>
  <c r="D556" i="1"/>
  <c r="B556" i="1"/>
  <c r="S555" i="1"/>
  <c r="L555" i="1"/>
  <c r="K555" i="1"/>
  <c r="J555" i="1"/>
  <c r="H555" i="1"/>
  <c r="G555" i="1"/>
  <c r="F555" i="1"/>
  <c r="D555" i="1"/>
  <c r="B555" i="1"/>
  <c r="S554" i="1"/>
  <c r="L554" i="1"/>
  <c r="K554" i="1"/>
  <c r="J554" i="1"/>
  <c r="H554" i="1"/>
  <c r="G554" i="1"/>
  <c r="F554" i="1"/>
  <c r="D554" i="1"/>
  <c r="B554" i="1"/>
  <c r="S553" i="1"/>
  <c r="L553" i="1"/>
  <c r="K553" i="1"/>
  <c r="J553" i="1"/>
  <c r="H553" i="1"/>
  <c r="G553" i="1"/>
  <c r="F553" i="1"/>
  <c r="D553" i="1"/>
  <c r="B553" i="1"/>
  <c r="S552" i="1"/>
  <c r="L552" i="1"/>
  <c r="K552" i="1"/>
  <c r="J552" i="1"/>
  <c r="H552" i="1"/>
  <c r="G552" i="1"/>
  <c r="F552" i="1"/>
  <c r="D552" i="1"/>
  <c r="B552" i="1"/>
  <c r="S551" i="1"/>
  <c r="L551" i="1"/>
  <c r="K551" i="1"/>
  <c r="J551" i="1"/>
  <c r="H551" i="1"/>
  <c r="G551" i="1"/>
  <c r="F551" i="1"/>
  <c r="D551" i="1"/>
  <c r="B551" i="1"/>
  <c r="S550" i="1"/>
  <c r="L550" i="1"/>
  <c r="K550" i="1"/>
  <c r="J550" i="1"/>
  <c r="H550" i="1"/>
  <c r="G550" i="1"/>
  <c r="F550" i="1"/>
  <c r="D550" i="1"/>
  <c r="B550" i="1"/>
  <c r="S549" i="1"/>
  <c r="Q549" i="1"/>
  <c r="L549" i="1"/>
  <c r="K549" i="1"/>
  <c r="J549" i="1"/>
  <c r="I549" i="1"/>
  <c r="H549" i="1"/>
  <c r="G549" i="1"/>
  <c r="F549" i="1"/>
  <c r="D549" i="1"/>
  <c r="B549" i="1"/>
  <c r="S548" i="1"/>
  <c r="L548" i="1"/>
  <c r="K548" i="1"/>
  <c r="J548" i="1"/>
  <c r="H548" i="1"/>
  <c r="G548" i="1"/>
  <c r="F548" i="1"/>
  <c r="D548" i="1"/>
  <c r="B548" i="1"/>
  <c r="S547" i="1"/>
  <c r="L547" i="1"/>
  <c r="K547" i="1"/>
  <c r="J547" i="1"/>
  <c r="H547" i="1"/>
  <c r="G547" i="1"/>
  <c r="F547" i="1"/>
  <c r="D547" i="1"/>
  <c r="B547" i="1"/>
  <c r="S546" i="1"/>
  <c r="L546" i="1"/>
  <c r="K546" i="1"/>
  <c r="J546" i="1"/>
  <c r="H546" i="1"/>
  <c r="G546" i="1"/>
  <c r="F546" i="1"/>
  <c r="D546" i="1"/>
  <c r="B546" i="1"/>
  <c r="S545" i="1"/>
  <c r="L545" i="1"/>
  <c r="K545" i="1"/>
  <c r="J545" i="1"/>
  <c r="H545" i="1"/>
  <c r="G545" i="1"/>
  <c r="F545" i="1"/>
  <c r="D545" i="1"/>
  <c r="B545" i="1"/>
  <c r="S544" i="1"/>
  <c r="L544" i="1"/>
  <c r="K544" i="1"/>
  <c r="J544" i="1"/>
  <c r="H544" i="1"/>
  <c r="G544" i="1"/>
  <c r="F544" i="1"/>
  <c r="D544" i="1"/>
  <c r="B544" i="1"/>
  <c r="S543" i="1"/>
  <c r="Q543" i="1"/>
  <c r="L543" i="1"/>
  <c r="K543" i="1"/>
  <c r="J543" i="1"/>
  <c r="I543" i="1"/>
  <c r="H543" i="1"/>
  <c r="G543" i="1"/>
  <c r="F543" i="1"/>
  <c r="D543" i="1"/>
  <c r="B543" i="1"/>
  <c r="S542" i="1"/>
  <c r="Q542" i="1"/>
  <c r="L542" i="1"/>
  <c r="K542" i="1"/>
  <c r="J542" i="1"/>
  <c r="I542" i="1"/>
  <c r="H542" i="1"/>
  <c r="G542" i="1"/>
  <c r="F542" i="1"/>
  <c r="D542" i="1"/>
  <c r="B542" i="1"/>
  <c r="S541" i="1"/>
  <c r="L541" i="1"/>
  <c r="K541" i="1"/>
  <c r="J541" i="1"/>
  <c r="H541" i="1"/>
  <c r="G541" i="1"/>
  <c r="F541" i="1"/>
  <c r="D541" i="1"/>
  <c r="B541" i="1"/>
  <c r="S540" i="1"/>
  <c r="L540" i="1"/>
  <c r="K540" i="1"/>
  <c r="J540" i="1"/>
  <c r="H540" i="1"/>
  <c r="G540" i="1"/>
  <c r="F540" i="1"/>
  <c r="D540" i="1"/>
  <c r="B540" i="1"/>
  <c r="S539" i="1"/>
  <c r="Q539" i="1"/>
  <c r="L539" i="1"/>
  <c r="K539" i="1"/>
  <c r="J539" i="1"/>
  <c r="H539" i="1"/>
  <c r="G539" i="1"/>
  <c r="F539" i="1"/>
  <c r="D539" i="1"/>
  <c r="B539" i="1"/>
  <c r="S538" i="1"/>
  <c r="L538" i="1"/>
  <c r="K538" i="1"/>
  <c r="J538" i="1"/>
  <c r="H538" i="1"/>
  <c r="G538" i="1"/>
  <c r="F538" i="1"/>
  <c r="D538" i="1"/>
  <c r="B538" i="1"/>
  <c r="S537" i="1"/>
  <c r="L537" i="1"/>
  <c r="K537" i="1"/>
  <c r="J537" i="1"/>
  <c r="H537" i="1"/>
  <c r="G537" i="1"/>
  <c r="F537" i="1"/>
  <c r="D537" i="1"/>
  <c r="B537" i="1"/>
  <c r="S536" i="1"/>
  <c r="L536" i="1"/>
  <c r="K536" i="1"/>
  <c r="J536" i="1"/>
  <c r="H536" i="1"/>
  <c r="G536" i="1"/>
  <c r="F536" i="1"/>
  <c r="D536" i="1"/>
  <c r="B536" i="1"/>
  <c r="S535" i="1"/>
  <c r="L535" i="1"/>
  <c r="K535" i="1"/>
  <c r="J535" i="1"/>
  <c r="H535" i="1"/>
  <c r="G535" i="1"/>
  <c r="F535" i="1"/>
  <c r="D535" i="1"/>
  <c r="B535" i="1"/>
  <c r="S534" i="1"/>
  <c r="L534" i="1"/>
  <c r="K534" i="1"/>
  <c r="J534" i="1"/>
  <c r="H534" i="1"/>
  <c r="G534" i="1"/>
  <c r="F534" i="1"/>
  <c r="D534" i="1"/>
  <c r="B534" i="1"/>
  <c r="S533" i="1"/>
  <c r="Q533" i="1"/>
  <c r="L533" i="1"/>
  <c r="K533" i="1"/>
  <c r="J533" i="1"/>
  <c r="H533" i="1"/>
  <c r="G533" i="1"/>
  <c r="F533" i="1"/>
  <c r="D533" i="1"/>
  <c r="B533" i="1"/>
  <c r="S532" i="1"/>
  <c r="Q532" i="1"/>
  <c r="L532" i="1"/>
  <c r="K532" i="1"/>
  <c r="J532" i="1"/>
  <c r="H532" i="1"/>
  <c r="G532" i="1"/>
  <c r="F532" i="1"/>
  <c r="D532" i="1"/>
  <c r="B532" i="1"/>
  <c r="S531" i="1"/>
  <c r="Q531" i="1"/>
  <c r="L531" i="1"/>
  <c r="K531" i="1"/>
  <c r="J531" i="1"/>
  <c r="H531" i="1"/>
  <c r="G531" i="1"/>
  <c r="F531" i="1"/>
  <c r="D531" i="1"/>
  <c r="B531" i="1"/>
  <c r="S530" i="1"/>
  <c r="Q530" i="1"/>
  <c r="L530" i="1"/>
  <c r="K530" i="1"/>
  <c r="J530" i="1"/>
  <c r="H530" i="1"/>
  <c r="G530" i="1"/>
  <c r="F530" i="1"/>
  <c r="D530" i="1"/>
  <c r="B530" i="1"/>
  <c r="S529" i="1"/>
  <c r="Q529" i="1"/>
  <c r="L529" i="1"/>
  <c r="K529" i="1"/>
  <c r="J529" i="1"/>
  <c r="H529" i="1"/>
  <c r="G529" i="1"/>
  <c r="F529" i="1"/>
  <c r="D529" i="1"/>
  <c r="B529" i="1"/>
  <c r="S528" i="1"/>
  <c r="Q528" i="1"/>
  <c r="L528" i="1"/>
  <c r="K528" i="1"/>
  <c r="J528" i="1"/>
  <c r="H528" i="1"/>
  <c r="G528" i="1"/>
  <c r="F528" i="1"/>
  <c r="D528" i="1"/>
  <c r="B528" i="1"/>
  <c r="S527" i="1"/>
  <c r="Q527" i="1"/>
  <c r="L527" i="1"/>
  <c r="K527" i="1"/>
  <c r="J527" i="1"/>
  <c r="H527" i="1"/>
  <c r="G527" i="1"/>
  <c r="F527" i="1"/>
  <c r="D527" i="1"/>
  <c r="B527" i="1"/>
  <c r="S526" i="1"/>
  <c r="Q526" i="1"/>
  <c r="L526" i="1"/>
  <c r="K526" i="1"/>
  <c r="J526" i="1"/>
  <c r="H526" i="1"/>
  <c r="G526" i="1"/>
  <c r="F526" i="1"/>
  <c r="D526" i="1"/>
  <c r="B526" i="1"/>
  <c r="S525" i="1"/>
  <c r="L525" i="1"/>
  <c r="K525" i="1"/>
  <c r="J525" i="1"/>
  <c r="H525" i="1"/>
  <c r="G525" i="1"/>
  <c r="F525" i="1"/>
  <c r="D525" i="1"/>
  <c r="B525" i="1"/>
  <c r="S524" i="1"/>
  <c r="L524" i="1"/>
  <c r="K524" i="1"/>
  <c r="J524" i="1"/>
  <c r="H524" i="1"/>
  <c r="G524" i="1"/>
  <c r="F524" i="1"/>
  <c r="D524" i="1"/>
  <c r="B524" i="1"/>
  <c r="S523" i="1"/>
  <c r="L523" i="1"/>
  <c r="K523" i="1"/>
  <c r="J523" i="1"/>
  <c r="H523" i="1"/>
  <c r="G523" i="1"/>
  <c r="F523" i="1"/>
  <c r="D523" i="1"/>
  <c r="B523" i="1"/>
  <c r="S522" i="1"/>
  <c r="L522" i="1"/>
  <c r="K522" i="1"/>
  <c r="J522" i="1"/>
  <c r="H522" i="1"/>
  <c r="G522" i="1"/>
  <c r="F522" i="1"/>
  <c r="D522" i="1"/>
  <c r="B522" i="1"/>
  <c r="S521" i="1"/>
  <c r="Q521" i="1"/>
  <c r="L521" i="1"/>
  <c r="K521" i="1"/>
  <c r="J521" i="1"/>
  <c r="H521" i="1"/>
  <c r="G521" i="1"/>
  <c r="F521" i="1"/>
  <c r="D521" i="1"/>
  <c r="B521" i="1"/>
  <c r="S520" i="1"/>
  <c r="L520" i="1"/>
  <c r="K520" i="1"/>
  <c r="J520" i="1"/>
  <c r="H520" i="1"/>
  <c r="G520" i="1"/>
  <c r="F520" i="1"/>
  <c r="D520" i="1"/>
  <c r="B520" i="1"/>
  <c r="S519" i="1"/>
  <c r="Q519" i="1"/>
  <c r="L519" i="1"/>
  <c r="K519" i="1"/>
  <c r="J519" i="1"/>
  <c r="I519" i="1"/>
  <c r="H519" i="1"/>
  <c r="G519" i="1"/>
  <c r="F519" i="1"/>
  <c r="D519" i="1"/>
  <c r="B519" i="1"/>
  <c r="S518" i="1"/>
  <c r="Q518" i="1"/>
  <c r="L518" i="1"/>
  <c r="K518" i="1"/>
  <c r="J518" i="1"/>
  <c r="I518" i="1"/>
  <c r="H518" i="1"/>
  <c r="G518" i="1"/>
  <c r="F518" i="1"/>
  <c r="D518" i="1"/>
  <c r="B518" i="1"/>
  <c r="S517" i="1"/>
  <c r="L517" i="1"/>
  <c r="K517" i="1"/>
  <c r="J517" i="1"/>
  <c r="H517" i="1"/>
  <c r="G517" i="1"/>
  <c r="F517" i="1"/>
  <c r="D517" i="1"/>
  <c r="B517" i="1"/>
  <c r="S516" i="1"/>
  <c r="L516" i="1"/>
  <c r="K516" i="1"/>
  <c r="J516" i="1"/>
  <c r="H516" i="1"/>
  <c r="G516" i="1"/>
  <c r="F516" i="1"/>
  <c r="D516" i="1"/>
  <c r="B516" i="1"/>
  <c r="S515" i="1"/>
  <c r="L515" i="1"/>
  <c r="K515" i="1"/>
  <c r="J515" i="1"/>
  <c r="H515" i="1"/>
  <c r="G515" i="1"/>
  <c r="F515" i="1"/>
  <c r="D515" i="1"/>
  <c r="B515" i="1"/>
  <c r="S514" i="1"/>
  <c r="L514" i="1"/>
  <c r="K514" i="1"/>
  <c r="J514" i="1"/>
  <c r="H514" i="1"/>
  <c r="G514" i="1"/>
  <c r="F514" i="1"/>
  <c r="D514" i="1"/>
  <c r="B514" i="1"/>
  <c r="S513" i="1"/>
  <c r="L513" i="1"/>
  <c r="K513" i="1"/>
  <c r="J513" i="1"/>
  <c r="H513" i="1"/>
  <c r="G513" i="1"/>
  <c r="F513" i="1"/>
  <c r="D513" i="1"/>
  <c r="B513" i="1"/>
  <c r="S512" i="1"/>
  <c r="Q512" i="1"/>
  <c r="L512" i="1"/>
  <c r="K512" i="1"/>
  <c r="J512" i="1"/>
  <c r="H512" i="1"/>
  <c r="G512" i="1"/>
  <c r="F512" i="1"/>
  <c r="D512" i="1"/>
  <c r="B512" i="1"/>
  <c r="S511" i="1"/>
  <c r="L511" i="1"/>
  <c r="K511" i="1"/>
  <c r="J511" i="1"/>
  <c r="H511" i="1"/>
  <c r="G511" i="1"/>
  <c r="F511" i="1"/>
  <c r="D511" i="1"/>
  <c r="B511" i="1"/>
  <c r="S510" i="1"/>
  <c r="L510" i="1"/>
  <c r="K510" i="1"/>
  <c r="J510" i="1"/>
  <c r="H510" i="1"/>
  <c r="G510" i="1"/>
  <c r="F510" i="1"/>
  <c r="D510" i="1"/>
  <c r="B510" i="1"/>
  <c r="S509" i="1"/>
  <c r="L509" i="1"/>
  <c r="K509" i="1"/>
  <c r="J509" i="1"/>
  <c r="H509" i="1"/>
  <c r="G509" i="1"/>
  <c r="F509" i="1"/>
  <c r="D509" i="1"/>
  <c r="B509" i="1"/>
  <c r="S508" i="1"/>
  <c r="L508" i="1"/>
  <c r="K508" i="1"/>
  <c r="J508" i="1"/>
  <c r="H508" i="1"/>
  <c r="G508" i="1"/>
  <c r="F508" i="1"/>
  <c r="D508" i="1"/>
  <c r="B508" i="1"/>
  <c r="S507" i="1"/>
  <c r="L507" i="1"/>
  <c r="K507" i="1"/>
  <c r="J507" i="1"/>
  <c r="H507" i="1"/>
  <c r="G507" i="1"/>
  <c r="F507" i="1"/>
  <c r="D507" i="1"/>
  <c r="B507" i="1"/>
  <c r="S506" i="1"/>
  <c r="L506" i="1"/>
  <c r="K506" i="1"/>
  <c r="J506" i="1"/>
  <c r="H506" i="1"/>
  <c r="G506" i="1"/>
  <c r="F506" i="1"/>
  <c r="D506" i="1"/>
  <c r="B506" i="1"/>
  <c r="S505" i="1"/>
  <c r="L505" i="1"/>
  <c r="K505" i="1"/>
  <c r="J505" i="1"/>
  <c r="H505" i="1"/>
  <c r="G505" i="1"/>
  <c r="F505" i="1"/>
  <c r="D505" i="1"/>
  <c r="B505" i="1"/>
  <c r="S504" i="1"/>
  <c r="L504" i="1"/>
  <c r="K504" i="1"/>
  <c r="J504" i="1"/>
  <c r="H504" i="1"/>
  <c r="G504" i="1"/>
  <c r="F504" i="1"/>
  <c r="D504" i="1"/>
  <c r="B504" i="1"/>
  <c r="S503" i="1"/>
  <c r="L503" i="1"/>
  <c r="K503" i="1"/>
  <c r="J503" i="1"/>
  <c r="H503" i="1"/>
  <c r="G503" i="1"/>
  <c r="F503" i="1"/>
  <c r="D503" i="1"/>
  <c r="B503" i="1"/>
  <c r="S502" i="1"/>
  <c r="L502" i="1"/>
  <c r="K502" i="1"/>
  <c r="J502" i="1"/>
  <c r="H502" i="1"/>
  <c r="G502" i="1"/>
  <c r="F502" i="1"/>
  <c r="D502" i="1"/>
  <c r="B502" i="1"/>
  <c r="S501" i="1"/>
  <c r="L501" i="1"/>
  <c r="K501" i="1"/>
  <c r="J501" i="1"/>
  <c r="H501" i="1"/>
  <c r="G501" i="1"/>
  <c r="F501" i="1"/>
  <c r="D501" i="1"/>
  <c r="B501" i="1"/>
  <c r="S500" i="1"/>
  <c r="L500" i="1"/>
  <c r="K500" i="1"/>
  <c r="J500" i="1"/>
  <c r="H500" i="1"/>
  <c r="G500" i="1"/>
  <c r="F500" i="1"/>
  <c r="D500" i="1"/>
  <c r="B500" i="1"/>
  <c r="S499" i="1"/>
  <c r="L499" i="1"/>
  <c r="K499" i="1"/>
  <c r="J499" i="1"/>
  <c r="H499" i="1"/>
  <c r="G499" i="1"/>
  <c r="F499" i="1"/>
  <c r="D499" i="1"/>
  <c r="B499" i="1"/>
  <c r="S498" i="1"/>
  <c r="L498" i="1"/>
  <c r="K498" i="1"/>
  <c r="J498" i="1"/>
  <c r="H498" i="1"/>
  <c r="G498" i="1"/>
  <c r="F498" i="1"/>
  <c r="D498" i="1"/>
  <c r="B498" i="1"/>
  <c r="S497" i="1"/>
  <c r="L497" i="1"/>
  <c r="K497" i="1"/>
  <c r="J497" i="1"/>
  <c r="H497" i="1"/>
  <c r="G497" i="1"/>
  <c r="F497" i="1"/>
  <c r="D497" i="1"/>
  <c r="B497" i="1"/>
  <c r="S496" i="1"/>
  <c r="L496" i="1"/>
  <c r="K496" i="1"/>
  <c r="J496" i="1"/>
  <c r="H496" i="1"/>
  <c r="G496" i="1"/>
  <c r="F496" i="1"/>
  <c r="D496" i="1"/>
  <c r="B496" i="1"/>
  <c r="S495" i="1"/>
  <c r="L495" i="1"/>
  <c r="K495" i="1"/>
  <c r="J495" i="1"/>
  <c r="H495" i="1"/>
  <c r="G495" i="1"/>
  <c r="F495" i="1"/>
  <c r="D495" i="1"/>
  <c r="B495" i="1"/>
  <c r="S494" i="1"/>
  <c r="L494" i="1"/>
  <c r="K494" i="1"/>
  <c r="J494" i="1"/>
  <c r="H494" i="1"/>
  <c r="G494" i="1"/>
  <c r="F494" i="1"/>
  <c r="D494" i="1"/>
  <c r="B494" i="1"/>
  <c r="S493" i="1"/>
  <c r="L493" i="1"/>
  <c r="K493" i="1"/>
  <c r="J493" i="1"/>
  <c r="H493" i="1"/>
  <c r="G493" i="1"/>
  <c r="F493" i="1"/>
  <c r="D493" i="1"/>
  <c r="B493" i="1"/>
  <c r="S492" i="1"/>
  <c r="L492" i="1"/>
  <c r="K492" i="1"/>
  <c r="J492" i="1"/>
  <c r="H492" i="1"/>
  <c r="G492" i="1"/>
  <c r="F492" i="1"/>
  <c r="D492" i="1"/>
  <c r="B492" i="1"/>
  <c r="S491" i="1"/>
  <c r="L491" i="1"/>
  <c r="K491" i="1"/>
  <c r="J491" i="1"/>
  <c r="H491" i="1"/>
  <c r="G491" i="1"/>
  <c r="F491" i="1"/>
  <c r="D491" i="1"/>
  <c r="B491" i="1"/>
  <c r="S490" i="1"/>
  <c r="L490" i="1"/>
  <c r="K490" i="1"/>
  <c r="J490" i="1"/>
  <c r="H490" i="1"/>
  <c r="G490" i="1"/>
  <c r="F490" i="1"/>
  <c r="D490" i="1"/>
  <c r="B490" i="1"/>
  <c r="S489" i="1"/>
  <c r="Q489" i="1"/>
  <c r="L489" i="1"/>
  <c r="K489" i="1"/>
  <c r="J489" i="1"/>
  <c r="H489" i="1"/>
  <c r="G489" i="1"/>
  <c r="F489" i="1"/>
  <c r="D489" i="1"/>
  <c r="B489" i="1"/>
  <c r="S488" i="1"/>
  <c r="L488" i="1"/>
  <c r="K488" i="1"/>
  <c r="J488" i="1"/>
  <c r="H488" i="1"/>
  <c r="G488" i="1"/>
  <c r="F488" i="1"/>
  <c r="D488" i="1"/>
  <c r="B488" i="1"/>
  <c r="S487" i="1"/>
  <c r="L487" i="1"/>
  <c r="K487" i="1"/>
  <c r="J487" i="1"/>
  <c r="H487" i="1"/>
  <c r="G487" i="1"/>
  <c r="F487" i="1"/>
  <c r="D487" i="1"/>
  <c r="B487" i="1"/>
  <c r="S486" i="1"/>
  <c r="Q486" i="1"/>
  <c r="L486" i="1"/>
  <c r="K486" i="1"/>
  <c r="J486" i="1"/>
  <c r="H486" i="1"/>
  <c r="G486" i="1"/>
  <c r="F486" i="1"/>
  <c r="D486" i="1"/>
  <c r="B486" i="1"/>
  <c r="S485" i="1"/>
  <c r="L485" i="1"/>
  <c r="K485" i="1"/>
  <c r="J485" i="1"/>
  <c r="H485" i="1"/>
  <c r="G485" i="1"/>
  <c r="F485" i="1"/>
  <c r="D485" i="1"/>
  <c r="B485" i="1"/>
  <c r="S484" i="1"/>
  <c r="L484" i="1"/>
  <c r="K484" i="1"/>
  <c r="J484" i="1"/>
  <c r="H484" i="1"/>
  <c r="G484" i="1"/>
  <c r="F484" i="1"/>
  <c r="D484" i="1"/>
  <c r="B484" i="1"/>
  <c r="S483" i="1"/>
  <c r="L483" i="1"/>
  <c r="K483" i="1"/>
  <c r="J483" i="1"/>
  <c r="H483" i="1"/>
  <c r="G483" i="1"/>
  <c r="F483" i="1"/>
  <c r="D483" i="1"/>
  <c r="B483" i="1"/>
  <c r="S482" i="1"/>
  <c r="L482" i="1"/>
  <c r="K482" i="1"/>
  <c r="J482" i="1"/>
  <c r="H482" i="1"/>
  <c r="G482" i="1"/>
  <c r="F482" i="1"/>
  <c r="D482" i="1"/>
  <c r="B482" i="1"/>
  <c r="S481" i="1"/>
  <c r="L481" i="1"/>
  <c r="K481" i="1"/>
  <c r="J481" i="1"/>
  <c r="H481" i="1"/>
  <c r="G481" i="1"/>
  <c r="F481" i="1"/>
  <c r="D481" i="1"/>
  <c r="B481" i="1"/>
  <c r="S480" i="1"/>
  <c r="Q480" i="1"/>
  <c r="L480" i="1"/>
  <c r="K480" i="1"/>
  <c r="J480" i="1"/>
  <c r="H480" i="1"/>
  <c r="G480" i="1"/>
  <c r="F480" i="1"/>
  <c r="D480" i="1"/>
  <c r="B480" i="1"/>
  <c r="S479" i="1"/>
  <c r="L479" i="1"/>
  <c r="K479" i="1"/>
  <c r="J479" i="1"/>
  <c r="H479" i="1"/>
  <c r="G479" i="1"/>
  <c r="F479" i="1"/>
  <c r="D479" i="1"/>
  <c r="B479" i="1"/>
  <c r="S478" i="1"/>
  <c r="Q478" i="1"/>
  <c r="L478" i="1"/>
  <c r="K478" i="1"/>
  <c r="J478" i="1"/>
  <c r="I478" i="1"/>
  <c r="H478" i="1"/>
  <c r="G478" i="1"/>
  <c r="F478" i="1"/>
  <c r="D478" i="1"/>
  <c r="B478" i="1"/>
  <c r="S477" i="1"/>
  <c r="L477" i="1"/>
  <c r="K477" i="1"/>
  <c r="J477" i="1"/>
  <c r="H477" i="1"/>
  <c r="G477" i="1"/>
  <c r="F477" i="1"/>
  <c r="D477" i="1"/>
  <c r="B477" i="1"/>
  <c r="S476" i="1"/>
  <c r="L476" i="1"/>
  <c r="K476" i="1"/>
  <c r="J476" i="1"/>
  <c r="H476" i="1"/>
  <c r="G476" i="1"/>
  <c r="F476" i="1"/>
  <c r="D476" i="1"/>
  <c r="B476" i="1"/>
  <c r="S475" i="1"/>
  <c r="L475" i="1"/>
  <c r="K475" i="1"/>
  <c r="J475" i="1"/>
  <c r="H475" i="1"/>
  <c r="G475" i="1"/>
  <c r="F475" i="1"/>
  <c r="D475" i="1"/>
  <c r="B475" i="1"/>
  <c r="S474" i="1"/>
  <c r="L474" i="1"/>
  <c r="K474" i="1"/>
  <c r="J474" i="1"/>
  <c r="H474" i="1"/>
  <c r="G474" i="1"/>
  <c r="F474" i="1"/>
  <c r="D474" i="1"/>
  <c r="B474" i="1"/>
  <c r="S473" i="1"/>
  <c r="L473" i="1"/>
  <c r="K473" i="1"/>
  <c r="J473" i="1"/>
  <c r="H473" i="1"/>
  <c r="G473" i="1"/>
  <c r="F473" i="1"/>
  <c r="D473" i="1"/>
  <c r="B473" i="1"/>
  <c r="S472" i="1"/>
  <c r="Q472" i="1"/>
  <c r="L472" i="1"/>
  <c r="K472" i="1"/>
  <c r="J472" i="1"/>
  <c r="H472" i="1"/>
  <c r="G472" i="1"/>
  <c r="F472" i="1"/>
  <c r="D472" i="1"/>
  <c r="B472" i="1"/>
  <c r="S471" i="1"/>
  <c r="L471" i="1"/>
  <c r="K471" i="1"/>
  <c r="J471" i="1"/>
  <c r="H471" i="1"/>
  <c r="G471" i="1"/>
  <c r="F471" i="1"/>
  <c r="D471" i="1"/>
  <c r="B471" i="1"/>
  <c r="S470" i="1"/>
  <c r="L470" i="1"/>
  <c r="K470" i="1"/>
  <c r="J470" i="1"/>
  <c r="H470" i="1"/>
  <c r="G470" i="1"/>
  <c r="F470" i="1"/>
  <c r="D470" i="1"/>
  <c r="B470" i="1"/>
  <c r="S469" i="1"/>
  <c r="L469" i="1"/>
  <c r="K469" i="1"/>
  <c r="J469" i="1"/>
  <c r="H469" i="1"/>
  <c r="G469" i="1"/>
  <c r="F469" i="1"/>
  <c r="D469" i="1"/>
  <c r="B469" i="1"/>
  <c r="S468" i="1"/>
  <c r="L468" i="1"/>
  <c r="K468" i="1"/>
  <c r="J468" i="1"/>
  <c r="H468" i="1"/>
  <c r="G468" i="1"/>
  <c r="F468" i="1"/>
  <c r="D468" i="1"/>
  <c r="B468" i="1"/>
  <c r="S467" i="1"/>
  <c r="L467" i="1"/>
  <c r="K467" i="1"/>
  <c r="J467" i="1"/>
  <c r="H467" i="1"/>
  <c r="G467" i="1"/>
  <c r="F467" i="1"/>
  <c r="D467" i="1"/>
  <c r="B467" i="1"/>
  <c r="S466" i="1"/>
  <c r="L466" i="1"/>
  <c r="K466" i="1"/>
  <c r="J466" i="1"/>
  <c r="H466" i="1"/>
  <c r="G466" i="1"/>
  <c r="F466" i="1"/>
  <c r="D466" i="1"/>
  <c r="B466" i="1"/>
  <c r="S465" i="1"/>
  <c r="L465" i="1"/>
  <c r="K465" i="1"/>
  <c r="J465" i="1"/>
  <c r="H465" i="1"/>
  <c r="G465" i="1"/>
  <c r="F465" i="1"/>
  <c r="D465" i="1"/>
  <c r="B465" i="1"/>
  <c r="S464" i="1"/>
  <c r="L464" i="1"/>
  <c r="K464" i="1"/>
  <c r="J464" i="1"/>
  <c r="H464" i="1"/>
  <c r="G464" i="1"/>
  <c r="F464" i="1"/>
  <c r="D464" i="1"/>
  <c r="B464" i="1"/>
  <c r="S463" i="1"/>
  <c r="L463" i="1"/>
  <c r="K463" i="1"/>
  <c r="J463" i="1"/>
  <c r="H463" i="1"/>
  <c r="G463" i="1"/>
  <c r="F463" i="1"/>
  <c r="D463" i="1"/>
  <c r="B463" i="1"/>
  <c r="S462" i="1"/>
  <c r="L462" i="1"/>
  <c r="K462" i="1"/>
  <c r="J462" i="1"/>
  <c r="H462" i="1"/>
  <c r="G462" i="1"/>
  <c r="F462" i="1"/>
  <c r="D462" i="1"/>
  <c r="B462" i="1"/>
  <c r="S461" i="1"/>
  <c r="L461" i="1"/>
  <c r="K461" i="1"/>
  <c r="J461" i="1"/>
  <c r="H461" i="1"/>
  <c r="G461" i="1"/>
  <c r="F461" i="1"/>
  <c r="D461" i="1"/>
  <c r="B461" i="1"/>
  <c r="S460" i="1"/>
  <c r="L460" i="1"/>
  <c r="K460" i="1"/>
  <c r="J460" i="1"/>
  <c r="H460" i="1"/>
  <c r="G460" i="1"/>
  <c r="F460" i="1"/>
  <c r="D460" i="1"/>
  <c r="B460" i="1"/>
  <c r="S459" i="1"/>
  <c r="L459" i="1"/>
  <c r="K459" i="1"/>
  <c r="J459" i="1"/>
  <c r="H459" i="1"/>
  <c r="G459" i="1"/>
  <c r="F459" i="1"/>
  <c r="D459" i="1"/>
  <c r="B459" i="1"/>
  <c r="S458" i="1"/>
  <c r="L458" i="1"/>
  <c r="K458" i="1"/>
  <c r="J458" i="1"/>
  <c r="H458" i="1"/>
  <c r="G458" i="1"/>
  <c r="F458" i="1"/>
  <c r="D458" i="1"/>
  <c r="B458" i="1"/>
  <c r="S457" i="1"/>
  <c r="Q457" i="1"/>
  <c r="L457" i="1"/>
  <c r="K457" i="1"/>
  <c r="J457" i="1"/>
  <c r="H457" i="1"/>
  <c r="G457" i="1"/>
  <c r="F457" i="1"/>
  <c r="D457" i="1"/>
  <c r="B457" i="1"/>
  <c r="S456" i="1"/>
  <c r="Q456" i="1"/>
  <c r="L456" i="1"/>
  <c r="K456" i="1"/>
  <c r="J456" i="1"/>
  <c r="H456" i="1"/>
  <c r="G456" i="1"/>
  <c r="F456" i="1"/>
  <c r="D456" i="1"/>
  <c r="B456" i="1"/>
  <c r="S455" i="1"/>
  <c r="Q455" i="1"/>
  <c r="L455" i="1"/>
  <c r="K455" i="1"/>
  <c r="J455" i="1"/>
  <c r="H455" i="1"/>
  <c r="G455" i="1"/>
  <c r="F455" i="1"/>
  <c r="D455" i="1"/>
  <c r="B455" i="1"/>
  <c r="S454" i="1"/>
  <c r="Q454" i="1"/>
  <c r="L454" i="1"/>
  <c r="K454" i="1"/>
  <c r="J454" i="1"/>
  <c r="H454" i="1"/>
  <c r="G454" i="1"/>
  <c r="F454" i="1"/>
  <c r="D454" i="1"/>
  <c r="B454" i="1"/>
  <c r="S453" i="1"/>
  <c r="L453" i="1"/>
  <c r="K453" i="1"/>
  <c r="J453" i="1"/>
  <c r="H453" i="1"/>
  <c r="G453" i="1"/>
  <c r="F453" i="1"/>
  <c r="D453" i="1"/>
  <c r="B453" i="1"/>
  <c r="S452" i="1"/>
  <c r="L452" i="1"/>
  <c r="K452" i="1"/>
  <c r="J452" i="1"/>
  <c r="H452" i="1"/>
  <c r="G452" i="1"/>
  <c r="F452" i="1"/>
  <c r="D452" i="1"/>
  <c r="B452" i="1"/>
  <c r="S451" i="1"/>
  <c r="Q451" i="1"/>
  <c r="L451" i="1"/>
  <c r="K451" i="1"/>
  <c r="J451" i="1"/>
  <c r="H451" i="1"/>
  <c r="G451" i="1"/>
  <c r="F451" i="1"/>
  <c r="D451" i="1"/>
  <c r="B451" i="1"/>
  <c r="S450" i="1"/>
  <c r="Q450" i="1"/>
  <c r="L450" i="1"/>
  <c r="K450" i="1"/>
  <c r="J450" i="1"/>
  <c r="H450" i="1"/>
  <c r="G450" i="1"/>
  <c r="F450" i="1"/>
  <c r="D450" i="1"/>
  <c r="B450" i="1"/>
  <c r="S449" i="1"/>
  <c r="Q449" i="1"/>
  <c r="L449" i="1"/>
  <c r="K449" i="1"/>
  <c r="J449" i="1"/>
  <c r="H449" i="1"/>
  <c r="G449" i="1"/>
  <c r="F449" i="1"/>
  <c r="D449" i="1"/>
  <c r="B449" i="1"/>
  <c r="S448" i="1"/>
  <c r="Q448" i="1"/>
  <c r="L448" i="1"/>
  <c r="K448" i="1"/>
  <c r="J448" i="1"/>
  <c r="H448" i="1"/>
  <c r="G448" i="1"/>
  <c r="F448" i="1"/>
  <c r="D448" i="1"/>
  <c r="B448" i="1"/>
  <c r="S447" i="1"/>
  <c r="Q447" i="1"/>
  <c r="L447" i="1"/>
  <c r="K447" i="1"/>
  <c r="J447" i="1"/>
  <c r="H447" i="1"/>
  <c r="G447" i="1"/>
  <c r="F447" i="1"/>
  <c r="D447" i="1"/>
  <c r="B447" i="1"/>
  <c r="S446" i="1"/>
  <c r="Q446" i="1"/>
  <c r="L446" i="1"/>
  <c r="K446" i="1"/>
  <c r="J446" i="1"/>
  <c r="H446" i="1"/>
  <c r="G446" i="1"/>
  <c r="F446" i="1"/>
  <c r="D446" i="1"/>
  <c r="B446" i="1"/>
  <c r="S445" i="1"/>
  <c r="Q445" i="1"/>
  <c r="L445" i="1"/>
  <c r="K445" i="1"/>
  <c r="J445" i="1"/>
  <c r="H445" i="1"/>
  <c r="G445" i="1"/>
  <c r="F445" i="1"/>
  <c r="D445" i="1"/>
  <c r="B445" i="1"/>
  <c r="S444" i="1"/>
  <c r="Q444" i="1"/>
  <c r="L444" i="1"/>
  <c r="K444" i="1"/>
  <c r="J444" i="1"/>
  <c r="H444" i="1"/>
  <c r="G444" i="1"/>
  <c r="F444" i="1"/>
  <c r="D444" i="1"/>
  <c r="B444" i="1"/>
  <c r="S443" i="1"/>
  <c r="L443" i="1"/>
  <c r="K443" i="1"/>
  <c r="J443" i="1"/>
  <c r="H443" i="1"/>
  <c r="G443" i="1"/>
  <c r="F443" i="1"/>
  <c r="D443" i="1"/>
  <c r="B443" i="1"/>
  <c r="S442" i="1"/>
  <c r="Q442" i="1"/>
  <c r="L442" i="1"/>
  <c r="K442" i="1"/>
  <c r="J442" i="1"/>
  <c r="H442" i="1"/>
  <c r="G442" i="1"/>
  <c r="F442" i="1"/>
  <c r="D442" i="1"/>
  <c r="B442" i="1"/>
  <c r="S441" i="1"/>
  <c r="Q441" i="1"/>
  <c r="L441" i="1"/>
  <c r="K441" i="1"/>
  <c r="J441" i="1"/>
  <c r="H441" i="1"/>
  <c r="G441" i="1"/>
  <c r="F441" i="1"/>
  <c r="D441" i="1"/>
  <c r="B441" i="1"/>
  <c r="S440" i="1"/>
  <c r="Q440" i="1"/>
  <c r="L440" i="1"/>
  <c r="K440" i="1"/>
  <c r="J440" i="1"/>
  <c r="H440" i="1"/>
  <c r="G440" i="1"/>
  <c r="F440" i="1"/>
  <c r="D440" i="1"/>
  <c r="B440" i="1"/>
  <c r="S439" i="1"/>
  <c r="Q439" i="1"/>
  <c r="L439" i="1"/>
  <c r="K439" i="1"/>
  <c r="J439" i="1"/>
  <c r="H439" i="1"/>
  <c r="G439" i="1"/>
  <c r="F439" i="1"/>
  <c r="D439" i="1"/>
  <c r="B439" i="1"/>
  <c r="S438" i="1"/>
  <c r="Q438" i="1"/>
  <c r="L438" i="1"/>
  <c r="K438" i="1"/>
  <c r="J438" i="1"/>
  <c r="H438" i="1"/>
  <c r="G438" i="1"/>
  <c r="F438" i="1"/>
  <c r="D438" i="1"/>
  <c r="B438" i="1"/>
  <c r="S437" i="1"/>
  <c r="L437" i="1"/>
  <c r="K437" i="1"/>
  <c r="J437" i="1"/>
  <c r="H437" i="1"/>
  <c r="G437" i="1"/>
  <c r="F437" i="1"/>
  <c r="D437" i="1"/>
  <c r="B437" i="1"/>
  <c r="S436" i="1"/>
  <c r="L436" i="1"/>
  <c r="K436" i="1"/>
  <c r="J436" i="1"/>
  <c r="H436" i="1"/>
  <c r="G436" i="1"/>
  <c r="F436" i="1"/>
  <c r="D436" i="1"/>
  <c r="B436" i="1"/>
  <c r="S435" i="1"/>
  <c r="L435" i="1"/>
  <c r="K435" i="1"/>
  <c r="J435" i="1"/>
  <c r="H435" i="1"/>
  <c r="G435" i="1"/>
  <c r="F435" i="1"/>
  <c r="D435" i="1"/>
  <c r="B435" i="1"/>
  <c r="S434" i="1"/>
  <c r="L434" i="1"/>
  <c r="K434" i="1"/>
  <c r="J434" i="1"/>
  <c r="H434" i="1"/>
  <c r="G434" i="1"/>
  <c r="F434" i="1"/>
  <c r="D434" i="1"/>
  <c r="B434" i="1"/>
  <c r="S433" i="1"/>
  <c r="L433" i="1"/>
  <c r="K433" i="1"/>
  <c r="J433" i="1"/>
  <c r="H433" i="1"/>
  <c r="G433" i="1"/>
  <c r="F433" i="1"/>
  <c r="D433" i="1"/>
  <c r="B433" i="1"/>
  <c r="S432" i="1"/>
  <c r="L432" i="1"/>
  <c r="K432" i="1"/>
  <c r="J432" i="1"/>
  <c r="H432" i="1"/>
  <c r="G432" i="1"/>
  <c r="F432" i="1"/>
  <c r="D432" i="1"/>
  <c r="B432" i="1"/>
  <c r="S431" i="1"/>
  <c r="L431" i="1"/>
  <c r="K431" i="1"/>
  <c r="J431" i="1"/>
  <c r="H431" i="1"/>
  <c r="G431" i="1"/>
  <c r="F431" i="1"/>
  <c r="D431" i="1"/>
  <c r="B431" i="1"/>
  <c r="S430" i="1"/>
  <c r="Q430" i="1"/>
  <c r="L430" i="1"/>
  <c r="K430" i="1"/>
  <c r="J430" i="1"/>
  <c r="H430" i="1"/>
  <c r="G430" i="1"/>
  <c r="F430" i="1"/>
  <c r="D430" i="1"/>
  <c r="B430" i="1"/>
  <c r="S429" i="1"/>
  <c r="L429" i="1"/>
  <c r="K429" i="1"/>
  <c r="J429" i="1"/>
  <c r="H429" i="1"/>
  <c r="G429" i="1"/>
  <c r="F429" i="1"/>
  <c r="D429" i="1"/>
  <c r="B429" i="1"/>
  <c r="S428" i="1"/>
  <c r="L428" i="1"/>
  <c r="K428" i="1"/>
  <c r="J428" i="1"/>
  <c r="H428" i="1"/>
  <c r="G428" i="1"/>
  <c r="F428" i="1"/>
  <c r="D428" i="1"/>
  <c r="B428" i="1"/>
  <c r="S427" i="1"/>
  <c r="Q427" i="1"/>
  <c r="L427" i="1"/>
  <c r="K427" i="1"/>
  <c r="J427" i="1"/>
  <c r="H427" i="1"/>
  <c r="G427" i="1"/>
  <c r="F427" i="1"/>
  <c r="D427" i="1"/>
  <c r="B427" i="1"/>
  <c r="S426" i="1"/>
  <c r="L426" i="1"/>
  <c r="K426" i="1"/>
  <c r="J426" i="1"/>
  <c r="H426" i="1"/>
  <c r="G426" i="1"/>
  <c r="F426" i="1"/>
  <c r="D426" i="1"/>
  <c r="B426" i="1"/>
  <c r="S425" i="1"/>
  <c r="Q425" i="1"/>
  <c r="L425" i="1"/>
  <c r="K425" i="1"/>
  <c r="J425" i="1"/>
  <c r="I425" i="1"/>
  <c r="H425" i="1"/>
  <c r="G425" i="1"/>
  <c r="F425" i="1"/>
  <c r="D425" i="1"/>
  <c r="B425" i="1"/>
  <c r="S424" i="1"/>
  <c r="Q424" i="1"/>
  <c r="L424" i="1"/>
  <c r="K424" i="1"/>
  <c r="J424" i="1"/>
  <c r="I424" i="1"/>
  <c r="H424" i="1"/>
  <c r="G424" i="1"/>
  <c r="F424" i="1"/>
  <c r="D424" i="1"/>
  <c r="B424" i="1"/>
  <c r="S423" i="1"/>
  <c r="Q423" i="1"/>
  <c r="L423" i="1"/>
  <c r="K423" i="1"/>
  <c r="J423" i="1"/>
  <c r="I423" i="1"/>
  <c r="H423" i="1"/>
  <c r="G423" i="1"/>
  <c r="F423" i="1"/>
  <c r="D423" i="1"/>
  <c r="B423" i="1"/>
  <c r="S422" i="1"/>
  <c r="Q422" i="1"/>
  <c r="L422" i="1"/>
  <c r="K422" i="1"/>
  <c r="J422" i="1"/>
  <c r="H422" i="1"/>
  <c r="G422" i="1"/>
  <c r="F422" i="1"/>
  <c r="D422" i="1"/>
  <c r="B422" i="1"/>
  <c r="S421" i="1"/>
  <c r="Q421" i="1"/>
  <c r="L421" i="1"/>
  <c r="K421" i="1"/>
  <c r="J421" i="1"/>
  <c r="H421" i="1"/>
  <c r="G421" i="1"/>
  <c r="F421" i="1"/>
  <c r="D421" i="1"/>
  <c r="B421" i="1"/>
  <c r="S420" i="1"/>
  <c r="L420" i="1"/>
  <c r="K420" i="1"/>
  <c r="J420" i="1"/>
  <c r="H420" i="1"/>
  <c r="G420" i="1"/>
  <c r="F420" i="1"/>
  <c r="D420" i="1"/>
  <c r="B420" i="1"/>
  <c r="S419" i="1"/>
  <c r="Q419" i="1"/>
  <c r="L419" i="1"/>
  <c r="K419" i="1"/>
  <c r="J419" i="1"/>
  <c r="H419" i="1"/>
  <c r="G419" i="1"/>
  <c r="F419" i="1"/>
  <c r="D419" i="1"/>
  <c r="B419" i="1"/>
  <c r="S418" i="1"/>
  <c r="L418" i="1"/>
  <c r="K418" i="1"/>
  <c r="J418" i="1"/>
  <c r="H418" i="1"/>
  <c r="G418" i="1"/>
  <c r="F418" i="1"/>
  <c r="D418" i="1"/>
  <c r="B418" i="1"/>
  <c r="S417" i="1"/>
  <c r="L417" i="1"/>
  <c r="K417" i="1"/>
  <c r="J417" i="1"/>
  <c r="H417" i="1"/>
  <c r="G417" i="1"/>
  <c r="F417" i="1"/>
  <c r="D417" i="1"/>
  <c r="B417" i="1"/>
  <c r="S416" i="1"/>
  <c r="Q416" i="1"/>
  <c r="L416" i="1"/>
  <c r="K416" i="1"/>
  <c r="J416" i="1"/>
  <c r="I416" i="1"/>
  <c r="H416" i="1"/>
  <c r="G416" i="1"/>
  <c r="F416" i="1"/>
  <c r="D416" i="1"/>
  <c r="B416" i="1"/>
  <c r="S415" i="1"/>
  <c r="L415" i="1"/>
  <c r="K415" i="1"/>
  <c r="J415" i="1"/>
  <c r="H415" i="1"/>
  <c r="G415" i="1"/>
  <c r="F415" i="1"/>
  <c r="D415" i="1"/>
  <c r="B415" i="1"/>
  <c r="S414" i="1"/>
  <c r="L414" i="1"/>
  <c r="K414" i="1"/>
  <c r="J414" i="1"/>
  <c r="H414" i="1"/>
  <c r="G414" i="1"/>
  <c r="F414" i="1"/>
  <c r="D414" i="1"/>
  <c r="B414" i="1"/>
  <c r="S413" i="1"/>
  <c r="Q413" i="1"/>
  <c r="L413" i="1"/>
  <c r="K413" i="1"/>
  <c r="J413" i="1"/>
  <c r="H413" i="1"/>
  <c r="G413" i="1"/>
  <c r="F413" i="1"/>
  <c r="D413" i="1"/>
  <c r="B413" i="1"/>
  <c r="S412" i="1"/>
  <c r="L412" i="1"/>
  <c r="K412" i="1"/>
  <c r="J412" i="1"/>
  <c r="H412" i="1"/>
  <c r="G412" i="1"/>
  <c r="F412" i="1"/>
  <c r="D412" i="1"/>
  <c r="B412" i="1"/>
  <c r="S411" i="1"/>
  <c r="L411" i="1"/>
  <c r="K411" i="1"/>
  <c r="J411" i="1"/>
  <c r="H411" i="1"/>
  <c r="G411" i="1"/>
  <c r="F411" i="1"/>
  <c r="D411" i="1"/>
  <c r="B411" i="1"/>
  <c r="S410" i="1"/>
  <c r="L410" i="1"/>
  <c r="K410" i="1"/>
  <c r="J410" i="1"/>
  <c r="H410" i="1"/>
  <c r="G410" i="1"/>
  <c r="F410" i="1"/>
  <c r="D410" i="1"/>
  <c r="B410" i="1"/>
  <c r="S409" i="1"/>
  <c r="Q409" i="1"/>
  <c r="L409" i="1"/>
  <c r="K409" i="1"/>
  <c r="J409" i="1"/>
  <c r="H409" i="1"/>
  <c r="G409" i="1"/>
  <c r="F409" i="1"/>
  <c r="D409" i="1"/>
  <c r="B409" i="1"/>
  <c r="S408" i="1"/>
  <c r="Q408" i="1"/>
  <c r="L408" i="1"/>
  <c r="K408" i="1"/>
  <c r="J408" i="1"/>
  <c r="H408" i="1"/>
  <c r="G408" i="1"/>
  <c r="F408" i="1"/>
  <c r="D408" i="1"/>
  <c r="B408" i="1"/>
  <c r="S407" i="1"/>
  <c r="Q407" i="1"/>
  <c r="L407" i="1"/>
  <c r="K407" i="1"/>
  <c r="J407" i="1"/>
  <c r="H407" i="1"/>
  <c r="G407" i="1"/>
  <c r="F407" i="1"/>
  <c r="D407" i="1"/>
  <c r="B407" i="1"/>
  <c r="S406" i="1"/>
  <c r="Q406" i="1"/>
  <c r="L406" i="1"/>
  <c r="K406" i="1"/>
  <c r="J406" i="1"/>
  <c r="H406" i="1"/>
  <c r="G406" i="1"/>
  <c r="F406" i="1"/>
  <c r="D406" i="1"/>
  <c r="B406" i="1"/>
  <c r="S405" i="1"/>
  <c r="L405" i="1"/>
  <c r="K405" i="1"/>
  <c r="J405" i="1"/>
  <c r="H405" i="1"/>
  <c r="G405" i="1"/>
  <c r="F405" i="1"/>
  <c r="D405" i="1"/>
  <c r="B405" i="1"/>
  <c r="S404" i="1"/>
  <c r="L404" i="1"/>
  <c r="K404" i="1"/>
  <c r="J404" i="1"/>
  <c r="H404" i="1"/>
  <c r="G404" i="1"/>
  <c r="F404" i="1"/>
  <c r="D404" i="1"/>
  <c r="B404" i="1"/>
  <c r="S403" i="1"/>
  <c r="L403" i="1"/>
  <c r="K403" i="1"/>
  <c r="J403" i="1"/>
  <c r="H403" i="1"/>
  <c r="G403" i="1"/>
  <c r="F403" i="1"/>
  <c r="D403" i="1"/>
  <c r="B403" i="1"/>
  <c r="S402" i="1"/>
  <c r="L402" i="1"/>
  <c r="K402" i="1"/>
  <c r="J402" i="1"/>
  <c r="H402" i="1"/>
  <c r="G402" i="1"/>
  <c r="F402" i="1"/>
  <c r="D402" i="1"/>
  <c r="B402" i="1"/>
  <c r="S401" i="1"/>
  <c r="L401" i="1"/>
  <c r="K401" i="1"/>
  <c r="J401" i="1"/>
  <c r="H401" i="1"/>
  <c r="G401" i="1"/>
  <c r="F401" i="1"/>
  <c r="D401" i="1"/>
  <c r="B401" i="1"/>
  <c r="S400" i="1"/>
  <c r="Q400" i="1"/>
  <c r="L400" i="1"/>
  <c r="K400" i="1"/>
  <c r="J400" i="1"/>
  <c r="H400" i="1"/>
  <c r="G400" i="1"/>
  <c r="F400" i="1"/>
  <c r="D400" i="1"/>
  <c r="B400" i="1"/>
  <c r="S399" i="1"/>
  <c r="L399" i="1"/>
  <c r="K399" i="1"/>
  <c r="J399" i="1"/>
  <c r="H399" i="1"/>
  <c r="G399" i="1"/>
  <c r="F399" i="1"/>
  <c r="D399" i="1"/>
  <c r="B399" i="1"/>
  <c r="S398" i="1"/>
  <c r="L398" i="1"/>
  <c r="K398" i="1"/>
  <c r="J398" i="1"/>
  <c r="H398" i="1"/>
  <c r="G398" i="1"/>
  <c r="F398" i="1"/>
  <c r="D398" i="1"/>
  <c r="B398" i="1"/>
  <c r="S397" i="1"/>
  <c r="L397" i="1"/>
  <c r="K397" i="1"/>
  <c r="J397" i="1"/>
  <c r="H397" i="1"/>
  <c r="G397" i="1"/>
  <c r="F397" i="1"/>
  <c r="D397" i="1"/>
  <c r="B397" i="1"/>
  <c r="S396" i="1"/>
  <c r="L396" i="1"/>
  <c r="K396" i="1"/>
  <c r="J396" i="1"/>
  <c r="H396" i="1"/>
  <c r="G396" i="1"/>
  <c r="F396" i="1"/>
  <c r="D396" i="1"/>
  <c r="B396" i="1"/>
  <c r="S395" i="1"/>
  <c r="Q395" i="1"/>
  <c r="L395" i="1"/>
  <c r="K395" i="1"/>
  <c r="J395" i="1"/>
  <c r="H395" i="1"/>
  <c r="G395" i="1"/>
  <c r="F395" i="1"/>
  <c r="D395" i="1"/>
  <c r="B395" i="1"/>
  <c r="S394" i="1"/>
  <c r="L394" i="1"/>
  <c r="K394" i="1"/>
  <c r="J394" i="1"/>
  <c r="H394" i="1"/>
  <c r="G394" i="1"/>
  <c r="F394" i="1"/>
  <c r="D394" i="1"/>
  <c r="B394" i="1"/>
  <c r="S393" i="1"/>
  <c r="Q393" i="1"/>
  <c r="L393" i="1"/>
  <c r="K393" i="1"/>
  <c r="J393" i="1"/>
  <c r="I393" i="1"/>
  <c r="H393" i="1"/>
  <c r="G393" i="1"/>
  <c r="F393" i="1"/>
  <c r="E393" i="1"/>
  <c r="D393" i="1"/>
  <c r="B393" i="1"/>
  <c r="S392" i="1"/>
  <c r="L392" i="1"/>
  <c r="K392" i="1"/>
  <c r="J392" i="1"/>
  <c r="H392" i="1"/>
  <c r="G392" i="1"/>
  <c r="F392" i="1"/>
  <c r="D392" i="1"/>
  <c r="B392" i="1"/>
  <c r="S391" i="1"/>
  <c r="L391" i="1"/>
  <c r="K391" i="1"/>
  <c r="J391" i="1"/>
  <c r="H391" i="1"/>
  <c r="G391" i="1"/>
  <c r="F391" i="1"/>
  <c r="D391" i="1"/>
  <c r="B391" i="1"/>
  <c r="S390" i="1"/>
  <c r="L390" i="1"/>
  <c r="K390" i="1"/>
  <c r="J390" i="1"/>
  <c r="H390" i="1"/>
  <c r="G390" i="1"/>
  <c r="F390" i="1"/>
  <c r="D390" i="1"/>
  <c r="B390" i="1"/>
  <c r="S389" i="1"/>
  <c r="L389" i="1"/>
  <c r="K389" i="1"/>
  <c r="J389" i="1"/>
  <c r="H389" i="1"/>
  <c r="G389" i="1"/>
  <c r="F389" i="1"/>
  <c r="D389" i="1"/>
  <c r="B389" i="1"/>
  <c r="S388" i="1"/>
  <c r="Q388" i="1"/>
  <c r="L388" i="1"/>
  <c r="K388" i="1"/>
  <c r="J388" i="1"/>
  <c r="H388" i="1"/>
  <c r="G388" i="1"/>
  <c r="F388" i="1"/>
  <c r="D388" i="1"/>
  <c r="B388" i="1"/>
  <c r="S387" i="1"/>
  <c r="L387" i="1"/>
  <c r="K387" i="1"/>
  <c r="J387" i="1"/>
  <c r="H387" i="1"/>
  <c r="G387" i="1"/>
  <c r="F387" i="1"/>
  <c r="D387" i="1"/>
  <c r="B387" i="1"/>
  <c r="S386" i="1"/>
  <c r="L386" i="1"/>
  <c r="K386" i="1"/>
  <c r="J386" i="1"/>
  <c r="H386" i="1"/>
  <c r="G386" i="1"/>
  <c r="F386" i="1"/>
  <c r="D386" i="1"/>
  <c r="B386" i="1"/>
  <c r="S385" i="1"/>
  <c r="L385" i="1"/>
  <c r="K385" i="1"/>
  <c r="J385" i="1"/>
  <c r="H385" i="1"/>
  <c r="G385" i="1"/>
  <c r="F385" i="1"/>
  <c r="D385" i="1"/>
  <c r="B385" i="1"/>
  <c r="S384" i="1"/>
  <c r="L384" i="1"/>
  <c r="K384" i="1"/>
  <c r="J384" i="1"/>
  <c r="H384" i="1"/>
  <c r="G384" i="1"/>
  <c r="F384" i="1"/>
  <c r="D384" i="1"/>
  <c r="B384" i="1"/>
  <c r="S383" i="1"/>
  <c r="Q383" i="1"/>
  <c r="L383" i="1"/>
  <c r="K383" i="1"/>
  <c r="J383" i="1"/>
  <c r="H383" i="1"/>
  <c r="G383" i="1"/>
  <c r="F383" i="1"/>
  <c r="D383" i="1"/>
  <c r="B383" i="1"/>
  <c r="S382" i="1"/>
  <c r="L382" i="1"/>
  <c r="K382" i="1"/>
  <c r="J382" i="1"/>
  <c r="H382" i="1"/>
  <c r="G382" i="1"/>
  <c r="F382" i="1"/>
  <c r="D382" i="1"/>
  <c r="B382" i="1"/>
  <c r="S381" i="1"/>
  <c r="L381" i="1"/>
  <c r="K381" i="1"/>
  <c r="J381" i="1"/>
  <c r="H381" i="1"/>
  <c r="G381" i="1"/>
  <c r="F381" i="1"/>
  <c r="D381" i="1"/>
  <c r="B381" i="1"/>
  <c r="S380" i="1"/>
  <c r="Q380" i="1"/>
  <c r="L380" i="1"/>
  <c r="K380" i="1"/>
  <c r="J380" i="1"/>
  <c r="H380" i="1"/>
  <c r="G380" i="1"/>
  <c r="F380" i="1"/>
  <c r="D380" i="1"/>
  <c r="B380" i="1"/>
  <c r="S379" i="1"/>
  <c r="L379" i="1"/>
  <c r="K379" i="1"/>
  <c r="J379" i="1"/>
  <c r="H379" i="1"/>
  <c r="G379" i="1"/>
  <c r="F379" i="1"/>
  <c r="D379" i="1"/>
  <c r="B379" i="1"/>
  <c r="S378" i="1"/>
  <c r="L378" i="1"/>
  <c r="K378" i="1"/>
  <c r="J378" i="1"/>
  <c r="H378" i="1"/>
  <c r="G378" i="1"/>
  <c r="F378" i="1"/>
  <c r="D378" i="1"/>
  <c r="B378" i="1"/>
  <c r="S377" i="1"/>
  <c r="L377" i="1"/>
  <c r="K377" i="1"/>
  <c r="J377" i="1"/>
  <c r="H377" i="1"/>
  <c r="G377" i="1"/>
  <c r="F377" i="1"/>
  <c r="D377" i="1"/>
  <c r="B377" i="1"/>
  <c r="S376" i="1"/>
  <c r="L376" i="1"/>
  <c r="K376" i="1"/>
  <c r="J376" i="1"/>
  <c r="H376" i="1"/>
  <c r="G376" i="1"/>
  <c r="F376" i="1"/>
  <c r="D376" i="1"/>
  <c r="B376" i="1"/>
  <c r="S375" i="1"/>
  <c r="L375" i="1"/>
  <c r="K375" i="1"/>
  <c r="J375" i="1"/>
  <c r="H375" i="1"/>
  <c r="G375" i="1"/>
  <c r="F375" i="1"/>
  <c r="D375" i="1"/>
  <c r="B375" i="1"/>
  <c r="S374" i="1"/>
  <c r="L374" i="1"/>
  <c r="K374" i="1"/>
  <c r="J374" i="1"/>
  <c r="H374" i="1"/>
  <c r="G374" i="1"/>
  <c r="F374" i="1"/>
  <c r="D374" i="1"/>
  <c r="B374" i="1"/>
  <c r="S373" i="1"/>
  <c r="L373" i="1"/>
  <c r="K373" i="1"/>
  <c r="J373" i="1"/>
  <c r="H373" i="1"/>
  <c r="G373" i="1"/>
  <c r="F373" i="1"/>
  <c r="D373" i="1"/>
  <c r="B373" i="1"/>
  <c r="S372" i="1"/>
  <c r="L372" i="1"/>
  <c r="K372" i="1"/>
  <c r="J372" i="1"/>
  <c r="H372" i="1"/>
  <c r="G372" i="1"/>
  <c r="F372" i="1"/>
  <c r="D372" i="1"/>
  <c r="B372" i="1"/>
  <c r="S371" i="1"/>
  <c r="Q371" i="1"/>
  <c r="L371" i="1"/>
  <c r="K371" i="1"/>
  <c r="J371" i="1"/>
  <c r="H371" i="1"/>
  <c r="G371" i="1"/>
  <c r="F371" i="1"/>
  <c r="D371" i="1"/>
  <c r="B371" i="1"/>
  <c r="S370" i="1"/>
  <c r="L370" i="1"/>
  <c r="K370" i="1"/>
  <c r="J370" i="1"/>
  <c r="H370" i="1"/>
  <c r="G370" i="1"/>
  <c r="F370" i="1"/>
  <c r="D370" i="1"/>
  <c r="B370" i="1"/>
  <c r="S369" i="1"/>
  <c r="L369" i="1"/>
  <c r="K369" i="1"/>
  <c r="J369" i="1"/>
  <c r="H369" i="1"/>
  <c r="G369" i="1"/>
  <c r="F369" i="1"/>
  <c r="D369" i="1"/>
  <c r="B369" i="1"/>
  <c r="S368" i="1"/>
  <c r="L368" i="1"/>
  <c r="K368" i="1"/>
  <c r="J368" i="1"/>
  <c r="H368" i="1"/>
  <c r="G368" i="1"/>
  <c r="F368" i="1"/>
  <c r="D368" i="1"/>
  <c r="B368" i="1"/>
  <c r="S367" i="1"/>
  <c r="Q367" i="1"/>
  <c r="L367" i="1"/>
  <c r="K367" i="1"/>
  <c r="J367" i="1"/>
  <c r="I367" i="1"/>
  <c r="H367" i="1"/>
  <c r="G367" i="1"/>
  <c r="F367" i="1"/>
  <c r="D367" i="1"/>
  <c r="B367" i="1"/>
  <c r="S366" i="1"/>
  <c r="L366" i="1"/>
  <c r="K366" i="1"/>
  <c r="J366" i="1"/>
  <c r="H366" i="1"/>
  <c r="G366" i="1"/>
  <c r="F366" i="1"/>
  <c r="D366" i="1"/>
  <c r="B366" i="1"/>
  <c r="S365" i="1"/>
  <c r="L365" i="1"/>
  <c r="K365" i="1"/>
  <c r="J365" i="1"/>
  <c r="H365" i="1"/>
  <c r="G365" i="1"/>
  <c r="F365" i="1"/>
  <c r="D365" i="1"/>
  <c r="B365" i="1"/>
  <c r="S364" i="1"/>
  <c r="L364" i="1"/>
  <c r="K364" i="1"/>
  <c r="J364" i="1"/>
  <c r="H364" i="1"/>
  <c r="G364" i="1"/>
  <c r="F364" i="1"/>
  <c r="D364" i="1"/>
  <c r="B364" i="1"/>
  <c r="S363" i="1"/>
  <c r="L363" i="1"/>
  <c r="K363" i="1"/>
  <c r="J363" i="1"/>
  <c r="H363" i="1"/>
  <c r="G363" i="1"/>
  <c r="F363" i="1"/>
  <c r="D363" i="1"/>
  <c r="B363" i="1"/>
  <c r="S362" i="1"/>
  <c r="L362" i="1"/>
  <c r="K362" i="1"/>
  <c r="J362" i="1"/>
  <c r="H362" i="1"/>
  <c r="G362" i="1"/>
  <c r="F362" i="1"/>
  <c r="D362" i="1"/>
  <c r="B362" i="1"/>
  <c r="S361" i="1"/>
  <c r="L361" i="1"/>
  <c r="K361" i="1"/>
  <c r="J361" i="1"/>
  <c r="H361" i="1"/>
  <c r="G361" i="1"/>
  <c r="F361" i="1"/>
  <c r="D361" i="1"/>
  <c r="B361" i="1"/>
  <c r="S360" i="1"/>
  <c r="L360" i="1"/>
  <c r="K360" i="1"/>
  <c r="J360" i="1"/>
  <c r="H360" i="1"/>
  <c r="G360" i="1"/>
  <c r="F360" i="1"/>
  <c r="D360" i="1"/>
  <c r="B360" i="1"/>
  <c r="S359" i="1"/>
  <c r="L359" i="1"/>
  <c r="K359" i="1"/>
  <c r="J359" i="1"/>
  <c r="H359" i="1"/>
  <c r="G359" i="1"/>
  <c r="F359" i="1"/>
  <c r="D359" i="1"/>
  <c r="B359" i="1"/>
  <c r="S358" i="1"/>
  <c r="L358" i="1"/>
  <c r="K358" i="1"/>
  <c r="J358" i="1"/>
  <c r="H358" i="1"/>
  <c r="G358" i="1"/>
  <c r="F358" i="1"/>
  <c r="D358" i="1"/>
  <c r="B358" i="1"/>
  <c r="S357" i="1"/>
  <c r="L357" i="1"/>
  <c r="K357" i="1"/>
  <c r="J357" i="1"/>
  <c r="H357" i="1"/>
  <c r="G357" i="1"/>
  <c r="F357" i="1"/>
  <c r="D357" i="1"/>
  <c r="B357" i="1"/>
  <c r="S356" i="1"/>
  <c r="L356" i="1"/>
  <c r="K356" i="1"/>
  <c r="J356" i="1"/>
  <c r="H356" i="1"/>
  <c r="G356" i="1"/>
  <c r="F356" i="1"/>
  <c r="D356" i="1"/>
  <c r="B356" i="1"/>
  <c r="S355" i="1"/>
  <c r="L355" i="1"/>
  <c r="K355" i="1"/>
  <c r="J355" i="1"/>
  <c r="H355" i="1"/>
  <c r="G355" i="1"/>
  <c r="F355" i="1"/>
  <c r="D355" i="1"/>
  <c r="B355" i="1"/>
  <c r="S354" i="1"/>
  <c r="L354" i="1"/>
  <c r="K354" i="1"/>
  <c r="J354" i="1"/>
  <c r="H354" i="1"/>
  <c r="G354" i="1"/>
  <c r="F354" i="1"/>
  <c r="D354" i="1"/>
  <c r="B354" i="1"/>
  <c r="S353" i="1"/>
  <c r="L353" i="1"/>
  <c r="K353" i="1"/>
  <c r="J353" i="1"/>
  <c r="H353" i="1"/>
  <c r="G353" i="1"/>
  <c r="F353" i="1"/>
  <c r="D353" i="1"/>
  <c r="B353" i="1"/>
  <c r="S352" i="1"/>
  <c r="Q352" i="1"/>
  <c r="L352" i="1"/>
  <c r="K352" i="1"/>
  <c r="J352" i="1"/>
  <c r="I352" i="1"/>
  <c r="H352" i="1"/>
  <c r="G352" i="1"/>
  <c r="F352" i="1"/>
  <c r="D352" i="1"/>
  <c r="B352" i="1"/>
  <c r="S351" i="1"/>
  <c r="L351" i="1"/>
  <c r="K351" i="1"/>
  <c r="J351" i="1"/>
  <c r="H351" i="1"/>
  <c r="G351" i="1"/>
  <c r="F351" i="1"/>
  <c r="D351" i="1"/>
  <c r="B351" i="1"/>
  <c r="S350" i="1"/>
  <c r="Q350" i="1"/>
  <c r="L350" i="1"/>
  <c r="K350" i="1"/>
  <c r="J350" i="1"/>
  <c r="H350" i="1"/>
  <c r="G350" i="1"/>
  <c r="F350" i="1"/>
  <c r="D350" i="1"/>
  <c r="B350" i="1"/>
  <c r="S349" i="1"/>
  <c r="L349" i="1"/>
  <c r="K349" i="1"/>
  <c r="J349" i="1"/>
  <c r="H349" i="1"/>
  <c r="G349" i="1"/>
  <c r="F349" i="1"/>
  <c r="D349" i="1"/>
  <c r="B349" i="1"/>
  <c r="S348" i="1"/>
  <c r="L348" i="1"/>
  <c r="K348" i="1"/>
  <c r="J348" i="1"/>
  <c r="H348" i="1"/>
  <c r="G348" i="1"/>
  <c r="F348" i="1"/>
  <c r="D348" i="1"/>
  <c r="B348" i="1"/>
  <c r="S347" i="1"/>
  <c r="L347" i="1"/>
  <c r="K347" i="1"/>
  <c r="J347" i="1"/>
  <c r="H347" i="1"/>
  <c r="G347" i="1"/>
  <c r="F347" i="1"/>
  <c r="D347" i="1"/>
  <c r="B347" i="1"/>
  <c r="S346" i="1"/>
  <c r="Q346" i="1"/>
  <c r="L346" i="1"/>
  <c r="K346" i="1"/>
  <c r="J346" i="1"/>
  <c r="H346" i="1"/>
  <c r="G346" i="1"/>
  <c r="F346" i="1"/>
  <c r="D346" i="1"/>
  <c r="B346" i="1"/>
  <c r="S345" i="1"/>
  <c r="L345" i="1"/>
  <c r="K345" i="1"/>
  <c r="J345" i="1"/>
  <c r="H345" i="1"/>
  <c r="G345" i="1"/>
  <c r="F345" i="1"/>
  <c r="D345" i="1"/>
  <c r="B345" i="1"/>
  <c r="S344" i="1"/>
  <c r="L344" i="1"/>
  <c r="K344" i="1"/>
  <c r="J344" i="1"/>
  <c r="H344" i="1"/>
  <c r="G344" i="1"/>
  <c r="F344" i="1"/>
  <c r="D344" i="1"/>
  <c r="B344" i="1"/>
  <c r="S343" i="1"/>
  <c r="Q343" i="1"/>
  <c r="L343" i="1"/>
  <c r="K343" i="1"/>
  <c r="J343" i="1"/>
  <c r="I343" i="1"/>
  <c r="H343" i="1"/>
  <c r="G343" i="1"/>
  <c r="F343" i="1"/>
  <c r="D343" i="1"/>
  <c r="B343" i="1"/>
  <c r="S342" i="1"/>
  <c r="L342" i="1"/>
  <c r="K342" i="1"/>
  <c r="J342" i="1"/>
  <c r="H342" i="1"/>
  <c r="G342" i="1"/>
  <c r="F342" i="1"/>
  <c r="D342" i="1"/>
  <c r="B342" i="1"/>
  <c r="S341" i="1"/>
  <c r="Q341" i="1"/>
  <c r="L341" i="1"/>
  <c r="K341" i="1"/>
  <c r="J341" i="1"/>
  <c r="H341" i="1"/>
  <c r="G341" i="1"/>
  <c r="F341" i="1"/>
  <c r="D341" i="1"/>
  <c r="B341" i="1"/>
  <c r="S340" i="1"/>
  <c r="Q340" i="1"/>
  <c r="L340" i="1"/>
  <c r="K340" i="1"/>
  <c r="J340" i="1"/>
  <c r="H340" i="1"/>
  <c r="G340" i="1"/>
  <c r="F340" i="1"/>
  <c r="D340" i="1"/>
  <c r="B340" i="1"/>
  <c r="S339" i="1"/>
  <c r="L339" i="1"/>
  <c r="K339" i="1"/>
  <c r="J339" i="1"/>
  <c r="H339" i="1"/>
  <c r="G339" i="1"/>
  <c r="F339" i="1"/>
  <c r="D339" i="1"/>
  <c r="B339" i="1"/>
  <c r="S338" i="1"/>
  <c r="L338" i="1"/>
  <c r="K338" i="1"/>
  <c r="J338" i="1"/>
  <c r="H338" i="1"/>
  <c r="G338" i="1"/>
  <c r="F338" i="1"/>
  <c r="D338" i="1"/>
  <c r="B338" i="1"/>
  <c r="S337" i="1"/>
  <c r="Q337" i="1"/>
  <c r="L337" i="1"/>
  <c r="K337" i="1"/>
  <c r="J337" i="1"/>
  <c r="H337" i="1"/>
  <c r="G337" i="1"/>
  <c r="F337" i="1"/>
  <c r="D337" i="1"/>
  <c r="B337" i="1"/>
  <c r="S336" i="1"/>
  <c r="Q336" i="1"/>
  <c r="L336" i="1"/>
  <c r="K336" i="1"/>
  <c r="J336" i="1"/>
  <c r="H336" i="1"/>
  <c r="G336" i="1"/>
  <c r="F336" i="1"/>
  <c r="D336" i="1"/>
  <c r="B336" i="1"/>
  <c r="S335" i="1"/>
  <c r="L335" i="1"/>
  <c r="K335" i="1"/>
  <c r="J335" i="1"/>
  <c r="H335" i="1"/>
  <c r="G335" i="1"/>
  <c r="F335" i="1"/>
  <c r="D335" i="1"/>
  <c r="B335" i="1"/>
  <c r="S334" i="1"/>
  <c r="L334" i="1"/>
  <c r="K334" i="1"/>
  <c r="J334" i="1"/>
  <c r="H334" i="1"/>
  <c r="G334" i="1"/>
  <c r="F334" i="1"/>
  <c r="D334" i="1"/>
  <c r="B334" i="1"/>
  <c r="S333" i="1"/>
  <c r="L333" i="1"/>
  <c r="K333" i="1"/>
  <c r="J333" i="1"/>
  <c r="H333" i="1"/>
  <c r="G333" i="1"/>
  <c r="F333" i="1"/>
  <c r="D333" i="1"/>
  <c r="B333" i="1"/>
  <c r="S332" i="1"/>
  <c r="L332" i="1"/>
  <c r="K332" i="1"/>
  <c r="J332" i="1"/>
  <c r="H332" i="1"/>
  <c r="G332" i="1"/>
  <c r="F332" i="1"/>
  <c r="D332" i="1"/>
  <c r="B332" i="1"/>
  <c r="S331" i="1"/>
  <c r="Q331" i="1"/>
  <c r="L331" i="1"/>
  <c r="K331" i="1"/>
  <c r="J331" i="1"/>
  <c r="I331" i="1"/>
  <c r="H331" i="1"/>
  <c r="G331" i="1"/>
  <c r="F331" i="1"/>
  <c r="D331" i="1"/>
  <c r="B331" i="1"/>
  <c r="S330" i="1"/>
  <c r="L330" i="1"/>
  <c r="K330" i="1"/>
  <c r="J330" i="1"/>
  <c r="H330" i="1"/>
  <c r="G330" i="1"/>
  <c r="F330" i="1"/>
  <c r="D330" i="1"/>
  <c r="B330" i="1"/>
  <c r="S329" i="1"/>
  <c r="Q329" i="1"/>
  <c r="L329" i="1"/>
  <c r="K329" i="1"/>
  <c r="J329" i="1"/>
  <c r="H329" i="1"/>
  <c r="G329" i="1"/>
  <c r="F329" i="1"/>
  <c r="D329" i="1"/>
  <c r="B329" i="1"/>
  <c r="S328" i="1"/>
  <c r="Q328" i="1"/>
  <c r="L328" i="1"/>
  <c r="K328" i="1"/>
  <c r="J328" i="1"/>
  <c r="H328" i="1"/>
  <c r="G328" i="1"/>
  <c r="F328" i="1"/>
  <c r="D328" i="1"/>
  <c r="B328" i="1"/>
  <c r="S327" i="1"/>
  <c r="Q327" i="1"/>
  <c r="L327" i="1"/>
  <c r="K327" i="1"/>
  <c r="J327" i="1"/>
  <c r="H327" i="1"/>
  <c r="G327" i="1"/>
  <c r="F327" i="1"/>
  <c r="D327" i="1"/>
  <c r="B327" i="1"/>
  <c r="S326" i="1"/>
  <c r="L326" i="1"/>
  <c r="K326" i="1"/>
  <c r="J326" i="1"/>
  <c r="H326" i="1"/>
  <c r="G326" i="1"/>
  <c r="F326" i="1"/>
  <c r="D326" i="1"/>
  <c r="B326" i="1"/>
  <c r="S325" i="1"/>
  <c r="L325" i="1"/>
  <c r="K325" i="1"/>
  <c r="J325" i="1"/>
  <c r="H325" i="1"/>
  <c r="G325" i="1"/>
  <c r="F325" i="1"/>
  <c r="D325" i="1"/>
  <c r="B325" i="1"/>
  <c r="S324" i="1"/>
  <c r="L324" i="1"/>
  <c r="K324" i="1"/>
  <c r="J324" i="1"/>
  <c r="H324" i="1"/>
  <c r="G324" i="1"/>
  <c r="F324" i="1"/>
  <c r="D324" i="1"/>
  <c r="B324" i="1"/>
  <c r="S323" i="1"/>
  <c r="L323" i="1"/>
  <c r="K323" i="1"/>
  <c r="J323" i="1"/>
  <c r="H323" i="1"/>
  <c r="G323" i="1"/>
  <c r="F323" i="1"/>
  <c r="D323" i="1"/>
  <c r="B323" i="1"/>
  <c r="S322" i="1"/>
  <c r="L322" i="1"/>
  <c r="K322" i="1"/>
  <c r="J322" i="1"/>
  <c r="H322" i="1"/>
  <c r="G322" i="1"/>
  <c r="F322" i="1"/>
  <c r="D322" i="1"/>
  <c r="B322" i="1"/>
  <c r="S321" i="1"/>
  <c r="L321" i="1"/>
  <c r="K321" i="1"/>
  <c r="J321" i="1"/>
  <c r="H321" i="1"/>
  <c r="G321" i="1"/>
  <c r="F321" i="1"/>
  <c r="D321" i="1"/>
  <c r="B321" i="1"/>
  <c r="S320" i="1"/>
  <c r="L320" i="1"/>
  <c r="K320" i="1"/>
  <c r="J320" i="1"/>
  <c r="H320" i="1"/>
  <c r="G320" i="1"/>
  <c r="F320" i="1"/>
  <c r="D320" i="1"/>
  <c r="B320" i="1"/>
  <c r="S319" i="1"/>
  <c r="L319" i="1"/>
  <c r="K319" i="1"/>
  <c r="J319" i="1"/>
  <c r="H319" i="1"/>
  <c r="G319" i="1"/>
  <c r="F319" i="1"/>
  <c r="D319" i="1"/>
  <c r="B319" i="1"/>
  <c r="S318" i="1"/>
  <c r="L318" i="1"/>
  <c r="K318" i="1"/>
  <c r="J318" i="1"/>
  <c r="H318" i="1"/>
  <c r="G318" i="1"/>
  <c r="F318" i="1"/>
  <c r="D318" i="1"/>
  <c r="B318" i="1"/>
  <c r="S317" i="1"/>
  <c r="L317" i="1"/>
  <c r="K317" i="1"/>
  <c r="J317" i="1"/>
  <c r="H317" i="1"/>
  <c r="G317" i="1"/>
  <c r="F317" i="1"/>
  <c r="D317" i="1"/>
  <c r="B317" i="1"/>
  <c r="S316" i="1"/>
  <c r="L316" i="1"/>
  <c r="K316" i="1"/>
  <c r="J316" i="1"/>
  <c r="H316" i="1"/>
  <c r="G316" i="1"/>
  <c r="F316" i="1"/>
  <c r="D316" i="1"/>
  <c r="B316" i="1"/>
  <c r="S315" i="1"/>
  <c r="L315" i="1"/>
  <c r="K315" i="1"/>
  <c r="J315" i="1"/>
  <c r="H315" i="1"/>
  <c r="G315" i="1"/>
  <c r="F315" i="1"/>
  <c r="D315" i="1"/>
  <c r="B315" i="1"/>
  <c r="S314" i="1"/>
  <c r="L314" i="1"/>
  <c r="K314" i="1"/>
  <c r="J314" i="1"/>
  <c r="H314" i="1"/>
  <c r="G314" i="1"/>
  <c r="F314" i="1"/>
  <c r="D314" i="1"/>
  <c r="B314" i="1"/>
  <c r="S313" i="1"/>
  <c r="Q313" i="1"/>
  <c r="L313" i="1"/>
  <c r="K313" i="1"/>
  <c r="J313" i="1"/>
  <c r="I313" i="1"/>
  <c r="H313" i="1"/>
  <c r="G313" i="1"/>
  <c r="F313" i="1"/>
  <c r="D313" i="1"/>
  <c r="B313" i="1"/>
  <c r="S312" i="1"/>
  <c r="Q312" i="1"/>
  <c r="L312" i="1"/>
  <c r="K312" i="1"/>
  <c r="J312" i="1"/>
  <c r="I312" i="1"/>
  <c r="H312" i="1"/>
  <c r="G312" i="1"/>
  <c r="F312" i="1"/>
  <c r="D312" i="1"/>
  <c r="B312" i="1"/>
  <c r="S311" i="1"/>
  <c r="L311" i="1"/>
  <c r="K311" i="1"/>
  <c r="J311" i="1"/>
  <c r="H311" i="1"/>
  <c r="G311" i="1"/>
  <c r="F311" i="1"/>
  <c r="D311" i="1"/>
  <c r="B311" i="1"/>
  <c r="S310" i="1"/>
  <c r="L310" i="1"/>
  <c r="K310" i="1"/>
  <c r="J310" i="1"/>
  <c r="H310" i="1"/>
  <c r="G310" i="1"/>
  <c r="F310" i="1"/>
  <c r="D310" i="1"/>
  <c r="B310" i="1"/>
  <c r="S309" i="1"/>
  <c r="L309" i="1"/>
  <c r="K309" i="1"/>
  <c r="J309" i="1"/>
  <c r="H309" i="1"/>
  <c r="G309" i="1"/>
  <c r="F309" i="1"/>
  <c r="D309" i="1"/>
  <c r="B309" i="1"/>
  <c r="S308" i="1"/>
  <c r="L308" i="1"/>
  <c r="K308" i="1"/>
  <c r="J308" i="1"/>
  <c r="H308" i="1"/>
  <c r="G308" i="1"/>
  <c r="F308" i="1"/>
  <c r="D308" i="1"/>
  <c r="B308" i="1"/>
  <c r="S307" i="1"/>
  <c r="Q307" i="1"/>
  <c r="L307" i="1"/>
  <c r="K307" i="1"/>
  <c r="J307" i="1"/>
  <c r="H307" i="1"/>
  <c r="G307" i="1"/>
  <c r="F307" i="1"/>
  <c r="D307" i="1"/>
  <c r="B307" i="1"/>
  <c r="S306" i="1"/>
  <c r="Q306" i="1"/>
  <c r="L306" i="1"/>
  <c r="K306" i="1"/>
  <c r="J306" i="1"/>
  <c r="H306" i="1"/>
  <c r="G306" i="1"/>
  <c r="F306" i="1"/>
  <c r="D306" i="1"/>
  <c r="B306" i="1"/>
  <c r="S305" i="1"/>
  <c r="Q305" i="1"/>
  <c r="L305" i="1"/>
  <c r="K305" i="1"/>
  <c r="J305" i="1"/>
  <c r="H305" i="1"/>
  <c r="G305" i="1"/>
  <c r="F305" i="1"/>
  <c r="D305" i="1"/>
  <c r="B305" i="1"/>
  <c r="S304" i="1"/>
  <c r="Q304" i="1"/>
  <c r="L304" i="1"/>
  <c r="K304" i="1"/>
  <c r="J304" i="1"/>
  <c r="H304" i="1"/>
  <c r="G304" i="1"/>
  <c r="F304" i="1"/>
  <c r="D304" i="1"/>
  <c r="B304" i="1"/>
  <c r="S303" i="1"/>
  <c r="Q303" i="1"/>
  <c r="L303" i="1"/>
  <c r="K303" i="1"/>
  <c r="J303" i="1"/>
  <c r="H303" i="1"/>
  <c r="G303" i="1"/>
  <c r="F303" i="1"/>
  <c r="D303" i="1"/>
  <c r="B303" i="1"/>
  <c r="S302" i="1"/>
  <c r="Q302" i="1"/>
  <c r="L302" i="1"/>
  <c r="K302" i="1"/>
  <c r="J302" i="1"/>
  <c r="I302" i="1"/>
  <c r="H302" i="1"/>
  <c r="G302" i="1"/>
  <c r="F302" i="1"/>
  <c r="D302" i="1"/>
  <c r="B302" i="1"/>
  <c r="S301" i="1"/>
  <c r="L301" i="1"/>
  <c r="K301" i="1"/>
  <c r="J301" i="1"/>
  <c r="H301" i="1"/>
  <c r="G301" i="1"/>
  <c r="F301" i="1"/>
  <c r="D301" i="1"/>
  <c r="B301" i="1"/>
  <c r="S300" i="1"/>
  <c r="L300" i="1"/>
  <c r="K300" i="1"/>
  <c r="J300" i="1"/>
  <c r="H300" i="1"/>
  <c r="G300" i="1"/>
  <c r="F300" i="1"/>
  <c r="D300" i="1"/>
  <c r="B300" i="1"/>
  <c r="S299" i="1"/>
  <c r="Q299" i="1"/>
  <c r="L299" i="1"/>
  <c r="K299" i="1"/>
  <c r="J299" i="1"/>
  <c r="H299" i="1"/>
  <c r="G299" i="1"/>
  <c r="F299" i="1"/>
  <c r="D299" i="1"/>
  <c r="B299" i="1"/>
  <c r="S298" i="1"/>
  <c r="L298" i="1"/>
  <c r="K298" i="1"/>
  <c r="J298" i="1"/>
  <c r="H298" i="1"/>
  <c r="G298" i="1"/>
  <c r="F298" i="1"/>
  <c r="D298" i="1"/>
  <c r="B298" i="1"/>
  <c r="S297" i="1"/>
  <c r="Q297" i="1"/>
  <c r="L297" i="1"/>
  <c r="K297" i="1"/>
  <c r="J297" i="1"/>
  <c r="H297" i="1"/>
  <c r="G297" i="1"/>
  <c r="F297" i="1"/>
  <c r="D297" i="1"/>
  <c r="B297" i="1"/>
  <c r="S296" i="1"/>
  <c r="L296" i="1"/>
  <c r="K296" i="1"/>
  <c r="J296" i="1"/>
  <c r="H296" i="1"/>
  <c r="G296" i="1"/>
  <c r="F296" i="1"/>
  <c r="D296" i="1"/>
  <c r="B296" i="1"/>
  <c r="S295" i="1"/>
  <c r="L295" i="1"/>
  <c r="K295" i="1"/>
  <c r="J295" i="1"/>
  <c r="H295" i="1"/>
  <c r="G295" i="1"/>
  <c r="F295" i="1"/>
  <c r="D295" i="1"/>
  <c r="B295" i="1"/>
  <c r="S294" i="1"/>
  <c r="L294" i="1"/>
  <c r="K294" i="1"/>
  <c r="J294" i="1"/>
  <c r="H294" i="1"/>
  <c r="G294" i="1"/>
  <c r="F294" i="1"/>
  <c r="D294" i="1"/>
  <c r="B294" i="1"/>
  <c r="S293" i="1"/>
  <c r="L293" i="1"/>
  <c r="K293" i="1"/>
  <c r="J293" i="1"/>
  <c r="H293" i="1"/>
  <c r="G293" i="1"/>
  <c r="F293" i="1"/>
  <c r="D293" i="1"/>
  <c r="B293" i="1"/>
  <c r="S292" i="1"/>
  <c r="L292" i="1"/>
  <c r="K292" i="1"/>
  <c r="J292" i="1"/>
  <c r="H292" i="1"/>
  <c r="G292" i="1"/>
  <c r="F292" i="1"/>
  <c r="D292" i="1"/>
  <c r="B292" i="1"/>
  <c r="S291" i="1"/>
  <c r="L291" i="1"/>
  <c r="K291" i="1"/>
  <c r="J291" i="1"/>
  <c r="H291" i="1"/>
  <c r="G291" i="1"/>
  <c r="F291" i="1"/>
  <c r="D291" i="1"/>
  <c r="B291" i="1"/>
  <c r="S290" i="1"/>
  <c r="L290" i="1"/>
  <c r="K290" i="1"/>
  <c r="J290" i="1"/>
  <c r="H290" i="1"/>
  <c r="G290" i="1"/>
  <c r="F290" i="1"/>
  <c r="D290" i="1"/>
  <c r="B290" i="1"/>
  <c r="S289" i="1"/>
  <c r="L289" i="1"/>
  <c r="K289" i="1"/>
  <c r="J289" i="1"/>
  <c r="H289" i="1"/>
  <c r="G289" i="1"/>
  <c r="F289" i="1"/>
  <c r="D289" i="1"/>
  <c r="B289" i="1"/>
  <c r="S288" i="1"/>
  <c r="L288" i="1"/>
  <c r="K288" i="1"/>
  <c r="J288" i="1"/>
  <c r="H288" i="1"/>
  <c r="G288" i="1"/>
  <c r="F288" i="1"/>
  <c r="D288" i="1"/>
  <c r="B288" i="1"/>
  <c r="S287" i="1"/>
  <c r="Q287" i="1"/>
  <c r="L287" i="1"/>
  <c r="K287" i="1"/>
  <c r="J287" i="1"/>
  <c r="I287" i="1"/>
  <c r="H287" i="1"/>
  <c r="G287" i="1"/>
  <c r="F287" i="1"/>
  <c r="D287" i="1"/>
  <c r="B287" i="1"/>
  <c r="S286" i="1"/>
  <c r="L286" i="1"/>
  <c r="K286" i="1"/>
  <c r="J286" i="1"/>
  <c r="H286" i="1"/>
  <c r="G286" i="1"/>
  <c r="F286" i="1"/>
  <c r="D286" i="1"/>
  <c r="B286" i="1"/>
  <c r="S285" i="1"/>
  <c r="L285" i="1"/>
  <c r="K285" i="1"/>
  <c r="J285" i="1"/>
  <c r="H285" i="1"/>
  <c r="G285" i="1"/>
  <c r="F285" i="1"/>
  <c r="D285" i="1"/>
  <c r="B285" i="1"/>
  <c r="S284" i="1"/>
  <c r="L284" i="1"/>
  <c r="K284" i="1"/>
  <c r="J284" i="1"/>
  <c r="H284" i="1"/>
  <c r="G284" i="1"/>
  <c r="F284" i="1"/>
  <c r="D284" i="1"/>
  <c r="B284" i="1"/>
  <c r="S283" i="1"/>
  <c r="Q283" i="1"/>
  <c r="L283" i="1"/>
  <c r="K283" i="1"/>
  <c r="J283" i="1"/>
  <c r="I283" i="1"/>
  <c r="H283" i="1"/>
  <c r="G283" i="1"/>
  <c r="F283" i="1"/>
  <c r="D283" i="1"/>
  <c r="B283" i="1"/>
  <c r="S282" i="1"/>
  <c r="Q282" i="1"/>
  <c r="L282" i="1"/>
  <c r="K282" i="1"/>
  <c r="J282" i="1"/>
  <c r="I282" i="1"/>
  <c r="H282" i="1"/>
  <c r="G282" i="1"/>
  <c r="F282" i="1"/>
  <c r="D282" i="1"/>
  <c r="B282" i="1"/>
  <c r="S281" i="1"/>
  <c r="L281" i="1"/>
  <c r="K281" i="1"/>
  <c r="J281" i="1"/>
  <c r="H281" i="1"/>
  <c r="G281" i="1"/>
  <c r="F281" i="1"/>
  <c r="D281" i="1"/>
  <c r="B281" i="1"/>
  <c r="S280" i="1"/>
  <c r="L280" i="1"/>
  <c r="K280" i="1"/>
  <c r="J280" i="1"/>
  <c r="H280" i="1"/>
  <c r="G280" i="1"/>
  <c r="F280" i="1"/>
  <c r="D280" i="1"/>
  <c r="B280" i="1"/>
  <c r="S279" i="1"/>
  <c r="L279" i="1"/>
  <c r="K279" i="1"/>
  <c r="J279" i="1"/>
  <c r="H279" i="1"/>
  <c r="G279" i="1"/>
  <c r="F279" i="1"/>
  <c r="D279" i="1"/>
  <c r="B279" i="1"/>
  <c r="S278" i="1"/>
  <c r="L278" i="1"/>
  <c r="K278" i="1"/>
  <c r="J278" i="1"/>
  <c r="H278" i="1"/>
  <c r="G278" i="1"/>
  <c r="F278" i="1"/>
  <c r="D278" i="1"/>
  <c r="B278" i="1"/>
  <c r="S277" i="1"/>
  <c r="L277" i="1"/>
  <c r="K277" i="1"/>
  <c r="J277" i="1"/>
  <c r="H277" i="1"/>
  <c r="G277" i="1"/>
  <c r="F277" i="1"/>
  <c r="D277" i="1"/>
  <c r="B277" i="1"/>
  <c r="S276" i="1"/>
  <c r="L276" i="1"/>
  <c r="K276" i="1"/>
  <c r="J276" i="1"/>
  <c r="H276" i="1"/>
  <c r="G276" i="1"/>
  <c r="F276" i="1"/>
  <c r="D276" i="1"/>
  <c r="B276" i="1"/>
  <c r="S275" i="1"/>
  <c r="Q275" i="1"/>
  <c r="L275" i="1"/>
  <c r="K275" i="1"/>
  <c r="J275" i="1"/>
  <c r="H275" i="1"/>
  <c r="G275" i="1"/>
  <c r="F275" i="1"/>
  <c r="D275" i="1"/>
  <c r="B275" i="1"/>
  <c r="S274" i="1"/>
  <c r="Q274" i="1"/>
  <c r="L274" i="1"/>
  <c r="K274" i="1"/>
  <c r="J274" i="1"/>
  <c r="H274" i="1"/>
  <c r="G274" i="1"/>
  <c r="F274" i="1"/>
  <c r="D274" i="1"/>
  <c r="B274" i="1"/>
  <c r="S273" i="1"/>
  <c r="Q273" i="1"/>
  <c r="L273" i="1"/>
  <c r="K273" i="1"/>
  <c r="J273" i="1"/>
  <c r="H273" i="1"/>
  <c r="G273" i="1"/>
  <c r="F273" i="1"/>
  <c r="D273" i="1"/>
  <c r="B273" i="1"/>
  <c r="S272" i="1"/>
  <c r="Q272" i="1"/>
  <c r="L272" i="1"/>
  <c r="K272" i="1"/>
  <c r="J272" i="1"/>
  <c r="H272" i="1"/>
  <c r="G272" i="1"/>
  <c r="F272" i="1"/>
  <c r="D272" i="1"/>
  <c r="B272" i="1"/>
  <c r="S271" i="1"/>
  <c r="Q271" i="1"/>
  <c r="L271" i="1"/>
  <c r="K271" i="1"/>
  <c r="J271" i="1"/>
  <c r="H271" i="1"/>
  <c r="G271" i="1"/>
  <c r="F271" i="1"/>
  <c r="D271" i="1"/>
  <c r="B271" i="1"/>
  <c r="S270" i="1"/>
  <c r="Q270" i="1"/>
  <c r="L270" i="1"/>
  <c r="K270" i="1"/>
  <c r="J270" i="1"/>
  <c r="H270" i="1"/>
  <c r="G270" i="1"/>
  <c r="F270" i="1"/>
  <c r="D270" i="1"/>
  <c r="B270" i="1"/>
  <c r="S269" i="1"/>
  <c r="Q269" i="1"/>
  <c r="L269" i="1"/>
  <c r="K269" i="1"/>
  <c r="J269" i="1"/>
  <c r="H269" i="1"/>
  <c r="G269" i="1"/>
  <c r="F269" i="1"/>
  <c r="D269" i="1"/>
  <c r="B269" i="1"/>
  <c r="S268" i="1"/>
  <c r="Q268" i="1"/>
  <c r="L268" i="1"/>
  <c r="K268" i="1"/>
  <c r="J268" i="1"/>
  <c r="H268" i="1"/>
  <c r="G268" i="1"/>
  <c r="F268" i="1"/>
  <c r="D268" i="1"/>
  <c r="B268" i="1"/>
  <c r="S267" i="1"/>
  <c r="Q267" i="1"/>
  <c r="L267" i="1"/>
  <c r="K267" i="1"/>
  <c r="J267" i="1"/>
  <c r="H267" i="1"/>
  <c r="G267" i="1"/>
  <c r="F267" i="1"/>
  <c r="D267" i="1"/>
  <c r="B267" i="1"/>
  <c r="S266" i="1"/>
  <c r="Q266" i="1"/>
  <c r="L266" i="1"/>
  <c r="K266" i="1"/>
  <c r="J266" i="1"/>
  <c r="H266" i="1"/>
  <c r="G266" i="1"/>
  <c r="F266" i="1"/>
  <c r="D266" i="1"/>
  <c r="B266" i="1"/>
  <c r="S265" i="1"/>
  <c r="Q265" i="1"/>
  <c r="L265" i="1"/>
  <c r="K265" i="1"/>
  <c r="J265" i="1"/>
  <c r="H265" i="1"/>
  <c r="G265" i="1"/>
  <c r="F265" i="1"/>
  <c r="D265" i="1"/>
  <c r="B265" i="1"/>
  <c r="S264" i="1"/>
  <c r="Q264" i="1"/>
  <c r="L264" i="1"/>
  <c r="K264" i="1"/>
  <c r="J264" i="1"/>
  <c r="H264" i="1"/>
  <c r="G264" i="1"/>
  <c r="F264" i="1"/>
  <c r="D264" i="1"/>
  <c r="B264" i="1"/>
  <c r="S263" i="1"/>
  <c r="L263" i="1"/>
  <c r="K263" i="1"/>
  <c r="J263" i="1"/>
  <c r="H263" i="1"/>
  <c r="G263" i="1"/>
  <c r="F263" i="1"/>
  <c r="D263" i="1"/>
  <c r="B263" i="1"/>
  <c r="S262" i="1"/>
  <c r="L262" i="1"/>
  <c r="K262" i="1"/>
  <c r="J262" i="1"/>
  <c r="H262" i="1"/>
  <c r="G262" i="1"/>
  <c r="F262" i="1"/>
  <c r="D262" i="1"/>
  <c r="B262" i="1"/>
  <c r="S261" i="1"/>
  <c r="L261" i="1"/>
  <c r="K261" i="1"/>
  <c r="J261" i="1"/>
  <c r="H261" i="1"/>
  <c r="G261" i="1"/>
  <c r="F261" i="1"/>
  <c r="D261" i="1"/>
  <c r="B261" i="1"/>
  <c r="S260" i="1"/>
  <c r="L260" i="1"/>
  <c r="K260" i="1"/>
  <c r="J260" i="1"/>
  <c r="H260" i="1"/>
  <c r="G260" i="1"/>
  <c r="F260" i="1"/>
  <c r="D260" i="1"/>
  <c r="B260" i="1"/>
  <c r="S259" i="1"/>
  <c r="L259" i="1"/>
  <c r="K259" i="1"/>
  <c r="J259" i="1"/>
  <c r="H259" i="1"/>
  <c r="G259" i="1"/>
  <c r="F259" i="1"/>
  <c r="D259" i="1"/>
  <c r="B259" i="1"/>
  <c r="S258" i="1"/>
  <c r="L258" i="1"/>
  <c r="K258" i="1"/>
  <c r="J258" i="1"/>
  <c r="H258" i="1"/>
  <c r="G258" i="1"/>
  <c r="F258" i="1"/>
  <c r="D258" i="1"/>
  <c r="B258" i="1"/>
  <c r="S257" i="1"/>
  <c r="L257" i="1"/>
  <c r="K257" i="1"/>
  <c r="J257" i="1"/>
  <c r="H257" i="1"/>
  <c r="G257" i="1"/>
  <c r="F257" i="1"/>
  <c r="D257" i="1"/>
  <c r="B257" i="1"/>
  <c r="S256" i="1"/>
  <c r="L256" i="1"/>
  <c r="K256" i="1"/>
  <c r="J256" i="1"/>
  <c r="H256" i="1"/>
  <c r="G256" i="1"/>
  <c r="F256" i="1"/>
  <c r="D256" i="1"/>
  <c r="B256" i="1"/>
  <c r="S255" i="1"/>
  <c r="L255" i="1"/>
  <c r="K255" i="1"/>
  <c r="J255" i="1"/>
  <c r="H255" i="1"/>
  <c r="G255" i="1"/>
  <c r="F255" i="1"/>
  <c r="D255" i="1"/>
  <c r="B255" i="1"/>
  <c r="S254" i="1"/>
  <c r="L254" i="1"/>
  <c r="K254" i="1"/>
  <c r="J254" i="1"/>
  <c r="H254" i="1"/>
  <c r="G254" i="1"/>
  <c r="F254" i="1"/>
  <c r="D254" i="1"/>
  <c r="B254" i="1"/>
  <c r="S253" i="1"/>
  <c r="L253" i="1"/>
  <c r="K253" i="1"/>
  <c r="J253" i="1"/>
  <c r="H253" i="1"/>
  <c r="G253" i="1"/>
  <c r="F253" i="1"/>
  <c r="D253" i="1"/>
  <c r="B253" i="1"/>
  <c r="S252" i="1"/>
  <c r="L252" i="1"/>
  <c r="K252" i="1"/>
  <c r="J252" i="1"/>
  <c r="H252" i="1"/>
  <c r="G252" i="1"/>
  <c r="F252" i="1"/>
  <c r="D252" i="1"/>
  <c r="B252" i="1"/>
  <c r="S251" i="1"/>
  <c r="L251" i="1"/>
  <c r="K251" i="1"/>
  <c r="J251" i="1"/>
  <c r="H251" i="1"/>
  <c r="G251" i="1"/>
  <c r="F251" i="1"/>
  <c r="D251" i="1"/>
  <c r="B251" i="1"/>
  <c r="S250" i="1"/>
  <c r="L250" i="1"/>
  <c r="K250" i="1"/>
  <c r="J250" i="1"/>
  <c r="H250" i="1"/>
  <c r="G250" i="1"/>
  <c r="F250" i="1"/>
  <c r="D250" i="1"/>
  <c r="B250" i="1"/>
  <c r="S249" i="1"/>
  <c r="L249" i="1"/>
  <c r="K249" i="1"/>
  <c r="J249" i="1"/>
  <c r="H249" i="1"/>
  <c r="G249" i="1"/>
  <c r="F249" i="1"/>
  <c r="D249" i="1"/>
  <c r="B249" i="1"/>
  <c r="S248" i="1"/>
  <c r="L248" i="1"/>
  <c r="K248" i="1"/>
  <c r="J248" i="1"/>
  <c r="H248" i="1"/>
  <c r="G248" i="1"/>
  <c r="F248" i="1"/>
  <c r="D248" i="1"/>
  <c r="B248" i="1"/>
  <c r="S247" i="1"/>
  <c r="L247" i="1"/>
  <c r="K247" i="1"/>
  <c r="J247" i="1"/>
  <c r="H247" i="1"/>
  <c r="G247" i="1"/>
  <c r="F247" i="1"/>
  <c r="D247" i="1"/>
  <c r="B247" i="1"/>
  <c r="S246" i="1"/>
  <c r="L246" i="1"/>
  <c r="K246" i="1"/>
  <c r="J246" i="1"/>
  <c r="H246" i="1"/>
  <c r="G246" i="1"/>
  <c r="F246" i="1"/>
  <c r="D246" i="1"/>
  <c r="B246" i="1"/>
  <c r="S245" i="1"/>
  <c r="L245" i="1"/>
  <c r="K245" i="1"/>
  <c r="J245" i="1"/>
  <c r="H245" i="1"/>
  <c r="G245" i="1"/>
  <c r="F245" i="1"/>
  <c r="D245" i="1"/>
  <c r="B245" i="1"/>
  <c r="S244" i="1"/>
  <c r="Q244" i="1"/>
  <c r="L244" i="1"/>
  <c r="K244" i="1"/>
  <c r="J244" i="1"/>
  <c r="H244" i="1"/>
  <c r="G244" i="1"/>
  <c r="F244" i="1"/>
  <c r="D244" i="1"/>
  <c r="B244" i="1"/>
  <c r="S243" i="1"/>
  <c r="L243" i="1"/>
  <c r="K243" i="1"/>
  <c r="J243" i="1"/>
  <c r="H243" i="1"/>
  <c r="G243" i="1"/>
  <c r="F243" i="1"/>
  <c r="D243" i="1"/>
  <c r="B243" i="1"/>
  <c r="S242" i="1"/>
  <c r="L242" i="1"/>
  <c r="K242" i="1"/>
  <c r="J242" i="1"/>
  <c r="H242" i="1"/>
  <c r="G242" i="1"/>
  <c r="F242" i="1"/>
  <c r="D242" i="1"/>
  <c r="B242" i="1"/>
  <c r="S241" i="1"/>
  <c r="L241" i="1"/>
  <c r="K241" i="1"/>
  <c r="J241" i="1"/>
  <c r="H241" i="1"/>
  <c r="G241" i="1"/>
  <c r="F241" i="1"/>
  <c r="D241" i="1"/>
  <c r="B241" i="1"/>
  <c r="S240" i="1"/>
  <c r="Q240" i="1"/>
  <c r="L240" i="1"/>
  <c r="K240" i="1"/>
  <c r="J240" i="1"/>
  <c r="H240" i="1"/>
  <c r="G240" i="1"/>
  <c r="F240" i="1"/>
  <c r="D240" i="1"/>
  <c r="B240" i="1"/>
  <c r="S239" i="1"/>
  <c r="L239" i="1"/>
  <c r="K239" i="1"/>
  <c r="J239" i="1"/>
  <c r="I239" i="1"/>
  <c r="H239" i="1"/>
  <c r="G239" i="1"/>
  <c r="F239" i="1"/>
  <c r="D239" i="1"/>
  <c r="B239" i="1"/>
  <c r="S238" i="1"/>
  <c r="L238" i="1"/>
  <c r="K238" i="1"/>
  <c r="J238" i="1"/>
  <c r="H238" i="1"/>
  <c r="G238" i="1"/>
  <c r="F238" i="1"/>
  <c r="D238" i="1"/>
  <c r="B238" i="1"/>
  <c r="S237" i="1"/>
  <c r="L237" i="1"/>
  <c r="K237" i="1"/>
  <c r="J237" i="1"/>
  <c r="H237" i="1"/>
  <c r="G237" i="1"/>
  <c r="F237" i="1"/>
  <c r="D237" i="1"/>
  <c r="B237" i="1"/>
  <c r="S236" i="1"/>
  <c r="L236" i="1"/>
  <c r="K236" i="1"/>
  <c r="J236" i="1"/>
  <c r="H236" i="1"/>
  <c r="G236" i="1"/>
  <c r="F236" i="1"/>
  <c r="D236" i="1"/>
  <c r="B236" i="1"/>
  <c r="S235" i="1"/>
  <c r="L235" i="1"/>
  <c r="K235" i="1"/>
  <c r="J235" i="1"/>
  <c r="H235" i="1"/>
  <c r="G235" i="1"/>
  <c r="F235" i="1"/>
  <c r="D235" i="1"/>
  <c r="B235" i="1"/>
  <c r="S234" i="1"/>
  <c r="L234" i="1"/>
  <c r="K234" i="1"/>
  <c r="J234" i="1"/>
  <c r="H234" i="1"/>
  <c r="G234" i="1"/>
  <c r="F234" i="1"/>
  <c r="D234" i="1"/>
  <c r="B234" i="1"/>
  <c r="S233" i="1"/>
  <c r="L233" i="1"/>
  <c r="K233" i="1"/>
  <c r="J233" i="1"/>
  <c r="H233" i="1"/>
  <c r="G233" i="1"/>
  <c r="F233" i="1"/>
  <c r="D233" i="1"/>
  <c r="B233" i="1"/>
  <c r="S232" i="1"/>
  <c r="L232" i="1"/>
  <c r="K232" i="1"/>
  <c r="J232" i="1"/>
  <c r="H232" i="1"/>
  <c r="G232" i="1"/>
  <c r="F232" i="1"/>
  <c r="D232" i="1"/>
  <c r="B232" i="1"/>
  <c r="S231" i="1"/>
  <c r="L231" i="1"/>
  <c r="K231" i="1"/>
  <c r="J231" i="1"/>
  <c r="H231" i="1"/>
  <c r="G231" i="1"/>
  <c r="F231" i="1"/>
  <c r="D231" i="1"/>
  <c r="B231" i="1"/>
  <c r="S230" i="1"/>
  <c r="L230" i="1"/>
  <c r="K230" i="1"/>
  <c r="J230" i="1"/>
  <c r="H230" i="1"/>
  <c r="G230" i="1"/>
  <c r="F230" i="1"/>
  <c r="D230" i="1"/>
  <c r="B230" i="1"/>
  <c r="S229" i="1"/>
  <c r="L229" i="1"/>
  <c r="K229" i="1"/>
  <c r="J229" i="1"/>
  <c r="H229" i="1"/>
  <c r="G229" i="1"/>
  <c r="F229" i="1"/>
  <c r="D229" i="1"/>
  <c r="B229" i="1"/>
  <c r="S228" i="1"/>
  <c r="Q228" i="1"/>
  <c r="L228" i="1"/>
  <c r="K228" i="1"/>
  <c r="J228" i="1"/>
  <c r="H228" i="1"/>
  <c r="G228" i="1"/>
  <c r="F228" i="1"/>
  <c r="D228" i="1"/>
  <c r="B228" i="1"/>
  <c r="S227" i="1"/>
  <c r="L227" i="1"/>
  <c r="K227" i="1"/>
  <c r="J227" i="1"/>
  <c r="H227" i="1"/>
  <c r="G227" i="1"/>
  <c r="F227" i="1"/>
  <c r="D227" i="1"/>
  <c r="B227" i="1"/>
  <c r="S226" i="1"/>
  <c r="L226" i="1"/>
  <c r="K226" i="1"/>
  <c r="J226" i="1"/>
  <c r="H226" i="1"/>
  <c r="G226" i="1"/>
  <c r="F226" i="1"/>
  <c r="D226" i="1"/>
  <c r="B226" i="1"/>
  <c r="S225" i="1"/>
  <c r="Q225" i="1"/>
  <c r="L225" i="1"/>
  <c r="K225" i="1"/>
  <c r="J225" i="1"/>
  <c r="H225" i="1"/>
  <c r="G225" i="1"/>
  <c r="F225" i="1"/>
  <c r="D225" i="1"/>
  <c r="B225" i="1"/>
  <c r="S224" i="1"/>
  <c r="Q224" i="1"/>
  <c r="L224" i="1"/>
  <c r="K224" i="1"/>
  <c r="J224" i="1"/>
  <c r="H224" i="1"/>
  <c r="G224" i="1"/>
  <c r="F224" i="1"/>
  <c r="D224" i="1"/>
  <c r="B224" i="1"/>
  <c r="S223" i="1"/>
  <c r="L223" i="1"/>
  <c r="K223" i="1"/>
  <c r="J223" i="1"/>
  <c r="H223" i="1"/>
  <c r="G223" i="1"/>
  <c r="F223" i="1"/>
  <c r="D223" i="1"/>
  <c r="B223" i="1"/>
  <c r="S222" i="1"/>
  <c r="L222" i="1"/>
  <c r="K222" i="1"/>
  <c r="J222" i="1"/>
  <c r="H222" i="1"/>
  <c r="G222" i="1"/>
  <c r="F222" i="1"/>
  <c r="D222" i="1"/>
  <c r="B222" i="1"/>
  <c r="S221" i="1"/>
  <c r="Q221" i="1"/>
  <c r="L221" i="1"/>
  <c r="K221" i="1"/>
  <c r="J221" i="1"/>
  <c r="H221" i="1"/>
  <c r="G221" i="1"/>
  <c r="F221" i="1"/>
  <c r="D221" i="1"/>
  <c r="B221" i="1"/>
  <c r="S220" i="1"/>
  <c r="Q220" i="1"/>
  <c r="L220" i="1"/>
  <c r="K220" i="1"/>
  <c r="J220" i="1"/>
  <c r="H220" i="1"/>
  <c r="G220" i="1"/>
  <c r="F220" i="1"/>
  <c r="D220" i="1"/>
  <c r="B220" i="1"/>
  <c r="S219" i="1"/>
  <c r="Q219" i="1"/>
  <c r="L219" i="1"/>
  <c r="K219" i="1"/>
  <c r="J219" i="1"/>
  <c r="H219" i="1"/>
  <c r="G219" i="1"/>
  <c r="F219" i="1"/>
  <c r="D219" i="1"/>
  <c r="B219" i="1"/>
  <c r="S218" i="1"/>
  <c r="Q218" i="1"/>
  <c r="L218" i="1"/>
  <c r="K218" i="1"/>
  <c r="J218" i="1"/>
  <c r="H218" i="1"/>
  <c r="G218" i="1"/>
  <c r="F218" i="1"/>
  <c r="D218" i="1"/>
  <c r="B218" i="1"/>
  <c r="S217" i="1"/>
  <c r="L217" i="1"/>
  <c r="K217" i="1"/>
  <c r="J217" i="1"/>
  <c r="H217" i="1"/>
  <c r="G217" i="1"/>
  <c r="F217" i="1"/>
  <c r="D217" i="1"/>
  <c r="B217" i="1"/>
  <c r="S216" i="1"/>
  <c r="L216" i="1"/>
  <c r="K216" i="1"/>
  <c r="J216" i="1"/>
  <c r="H216" i="1"/>
  <c r="G216" i="1"/>
  <c r="F216" i="1"/>
  <c r="D216" i="1"/>
  <c r="B216" i="1"/>
  <c r="S215" i="1"/>
  <c r="L215" i="1"/>
  <c r="K215" i="1"/>
  <c r="J215" i="1"/>
  <c r="H215" i="1"/>
  <c r="G215" i="1"/>
  <c r="F215" i="1"/>
  <c r="D215" i="1"/>
  <c r="B215" i="1"/>
  <c r="S214" i="1"/>
  <c r="L214" i="1"/>
  <c r="K214" i="1"/>
  <c r="J214" i="1"/>
  <c r="H214" i="1"/>
  <c r="G214" i="1"/>
  <c r="F214" i="1"/>
  <c r="D214" i="1"/>
  <c r="B214" i="1"/>
  <c r="S213" i="1"/>
  <c r="Q213" i="1"/>
  <c r="L213" i="1"/>
  <c r="K213" i="1"/>
  <c r="J213" i="1"/>
  <c r="I213" i="1"/>
  <c r="H213" i="1"/>
  <c r="G213" i="1"/>
  <c r="F213" i="1"/>
  <c r="D213" i="1"/>
  <c r="B213" i="1"/>
  <c r="S212" i="1"/>
  <c r="L212" i="1"/>
  <c r="K212" i="1"/>
  <c r="J212" i="1"/>
  <c r="H212" i="1"/>
  <c r="G212" i="1"/>
  <c r="F212" i="1"/>
  <c r="D212" i="1"/>
  <c r="B212" i="1"/>
  <c r="S211" i="1"/>
  <c r="L211" i="1"/>
  <c r="K211" i="1"/>
  <c r="J211" i="1"/>
  <c r="H211" i="1"/>
  <c r="G211" i="1"/>
  <c r="F211" i="1"/>
  <c r="D211" i="1"/>
  <c r="B211" i="1"/>
  <c r="S210" i="1"/>
  <c r="L210" i="1"/>
  <c r="K210" i="1"/>
  <c r="J210" i="1"/>
  <c r="H210" i="1"/>
  <c r="G210" i="1"/>
  <c r="F210" i="1"/>
  <c r="D210" i="1"/>
  <c r="B210" i="1"/>
  <c r="S209" i="1"/>
  <c r="L209" i="1"/>
  <c r="K209" i="1"/>
  <c r="J209" i="1"/>
  <c r="H209" i="1"/>
  <c r="G209" i="1"/>
  <c r="F209" i="1"/>
  <c r="D209" i="1"/>
  <c r="B209" i="1"/>
  <c r="S208" i="1"/>
  <c r="Q208" i="1"/>
  <c r="L208" i="1"/>
  <c r="K208" i="1"/>
  <c r="J208" i="1"/>
  <c r="H208" i="1"/>
  <c r="G208" i="1"/>
  <c r="F208" i="1"/>
  <c r="D208" i="1"/>
  <c r="B208" i="1"/>
  <c r="S207" i="1"/>
  <c r="L207" i="1"/>
  <c r="K207" i="1"/>
  <c r="J207" i="1"/>
  <c r="H207" i="1"/>
  <c r="G207" i="1"/>
  <c r="F207" i="1"/>
  <c r="D207" i="1"/>
  <c r="B207" i="1"/>
  <c r="S206" i="1"/>
  <c r="Q206" i="1"/>
  <c r="L206" i="1"/>
  <c r="K206" i="1"/>
  <c r="J206" i="1"/>
  <c r="H206" i="1"/>
  <c r="G206" i="1"/>
  <c r="F206" i="1"/>
  <c r="D206" i="1"/>
  <c r="B206" i="1"/>
  <c r="S205" i="1"/>
  <c r="L205" i="1"/>
  <c r="K205" i="1"/>
  <c r="J205" i="1"/>
  <c r="H205" i="1"/>
  <c r="G205" i="1"/>
  <c r="F205" i="1"/>
  <c r="D205" i="1"/>
  <c r="B205" i="1"/>
  <c r="S204" i="1"/>
  <c r="L204" i="1"/>
  <c r="K204" i="1"/>
  <c r="J204" i="1"/>
  <c r="H204" i="1"/>
  <c r="G204" i="1"/>
  <c r="F204" i="1"/>
  <c r="D204" i="1"/>
  <c r="B204" i="1"/>
  <c r="S203" i="1"/>
  <c r="Q203" i="1"/>
  <c r="L203" i="1"/>
  <c r="K203" i="1"/>
  <c r="J203" i="1"/>
  <c r="I203" i="1"/>
  <c r="H203" i="1"/>
  <c r="G203" i="1"/>
  <c r="F203" i="1"/>
  <c r="D203" i="1"/>
  <c r="B203" i="1"/>
  <c r="S202" i="1"/>
  <c r="L202" i="1"/>
  <c r="K202" i="1"/>
  <c r="J202" i="1"/>
  <c r="H202" i="1"/>
  <c r="G202" i="1"/>
  <c r="F202" i="1"/>
  <c r="D202" i="1"/>
  <c r="B202" i="1"/>
  <c r="S201" i="1"/>
  <c r="L201" i="1"/>
  <c r="K201" i="1"/>
  <c r="J201" i="1"/>
  <c r="H201" i="1"/>
  <c r="G201" i="1"/>
  <c r="F201" i="1"/>
  <c r="D201" i="1"/>
  <c r="B201" i="1"/>
  <c r="S200" i="1"/>
  <c r="Q200" i="1"/>
  <c r="L200" i="1"/>
  <c r="K200" i="1"/>
  <c r="J200" i="1"/>
  <c r="I200" i="1"/>
  <c r="H200" i="1"/>
  <c r="G200" i="1"/>
  <c r="F200" i="1"/>
  <c r="D200" i="1"/>
  <c r="B200" i="1"/>
  <c r="S199" i="1"/>
  <c r="L199" i="1"/>
  <c r="K199" i="1"/>
  <c r="J199" i="1"/>
  <c r="H199" i="1"/>
  <c r="G199" i="1"/>
  <c r="F199" i="1"/>
  <c r="D199" i="1"/>
  <c r="B199" i="1"/>
  <c r="S198" i="1"/>
  <c r="L198" i="1"/>
  <c r="K198" i="1"/>
  <c r="J198" i="1"/>
  <c r="H198" i="1"/>
  <c r="G198" i="1"/>
  <c r="F198" i="1"/>
  <c r="D198" i="1"/>
  <c r="B198" i="1"/>
  <c r="S197" i="1"/>
  <c r="L197" i="1"/>
  <c r="K197" i="1"/>
  <c r="J197" i="1"/>
  <c r="H197" i="1"/>
  <c r="G197" i="1"/>
  <c r="F197" i="1"/>
  <c r="D197" i="1"/>
  <c r="B197" i="1"/>
  <c r="S196" i="1"/>
  <c r="L196" i="1"/>
  <c r="K196" i="1"/>
  <c r="J196" i="1"/>
  <c r="H196" i="1"/>
  <c r="G196" i="1"/>
  <c r="F196" i="1"/>
  <c r="D196" i="1"/>
  <c r="B196" i="1"/>
  <c r="S195" i="1"/>
  <c r="L195" i="1"/>
  <c r="K195" i="1"/>
  <c r="J195" i="1"/>
  <c r="H195" i="1"/>
  <c r="G195" i="1"/>
  <c r="F195" i="1"/>
  <c r="D195" i="1"/>
  <c r="B195" i="1"/>
  <c r="S194" i="1"/>
  <c r="L194" i="1"/>
  <c r="K194" i="1"/>
  <c r="J194" i="1"/>
  <c r="H194" i="1"/>
  <c r="G194" i="1"/>
  <c r="F194" i="1"/>
  <c r="D194" i="1"/>
  <c r="B194" i="1"/>
  <c r="S193" i="1"/>
  <c r="L193" i="1"/>
  <c r="K193" i="1"/>
  <c r="J193" i="1"/>
  <c r="H193" i="1"/>
  <c r="G193" i="1"/>
  <c r="F193" i="1"/>
  <c r="D193" i="1"/>
  <c r="B193" i="1"/>
  <c r="S192" i="1"/>
  <c r="L192" i="1"/>
  <c r="K192" i="1"/>
  <c r="J192" i="1"/>
  <c r="H192" i="1"/>
  <c r="G192" i="1"/>
  <c r="F192" i="1"/>
  <c r="D192" i="1"/>
  <c r="B192" i="1"/>
  <c r="S191" i="1"/>
  <c r="L191" i="1"/>
  <c r="K191" i="1"/>
  <c r="J191" i="1"/>
  <c r="H191" i="1"/>
  <c r="G191" i="1"/>
  <c r="F191" i="1"/>
  <c r="D191" i="1"/>
  <c r="B191" i="1"/>
  <c r="S190" i="1"/>
  <c r="L190" i="1"/>
  <c r="K190" i="1"/>
  <c r="J190" i="1"/>
  <c r="H190" i="1"/>
  <c r="G190" i="1"/>
  <c r="F190" i="1"/>
  <c r="D190" i="1"/>
  <c r="B190" i="1"/>
  <c r="S189" i="1"/>
  <c r="Q189" i="1"/>
  <c r="L189" i="1"/>
  <c r="K189" i="1"/>
  <c r="J189" i="1"/>
  <c r="I189" i="1"/>
  <c r="H189" i="1"/>
  <c r="G189" i="1"/>
  <c r="F189" i="1"/>
  <c r="D189" i="1"/>
  <c r="B189" i="1"/>
  <c r="S188" i="1"/>
  <c r="L188" i="1"/>
  <c r="K188" i="1"/>
  <c r="J188" i="1"/>
  <c r="H188" i="1"/>
  <c r="G188" i="1"/>
  <c r="F188" i="1"/>
  <c r="D188" i="1"/>
  <c r="B188" i="1"/>
  <c r="S187" i="1"/>
  <c r="L187" i="1"/>
  <c r="K187" i="1"/>
  <c r="J187" i="1"/>
  <c r="H187" i="1"/>
  <c r="G187" i="1"/>
  <c r="F187" i="1"/>
  <c r="D187" i="1"/>
  <c r="B187" i="1"/>
  <c r="S186" i="1"/>
  <c r="L186" i="1"/>
  <c r="K186" i="1"/>
  <c r="J186" i="1"/>
  <c r="H186" i="1"/>
  <c r="G186" i="1"/>
  <c r="F186" i="1"/>
  <c r="D186" i="1"/>
  <c r="B186" i="1"/>
  <c r="S185" i="1"/>
  <c r="Q185" i="1"/>
  <c r="L185" i="1"/>
  <c r="K185" i="1"/>
  <c r="J185" i="1"/>
  <c r="H185" i="1"/>
  <c r="G185" i="1"/>
  <c r="F185" i="1"/>
  <c r="D185" i="1"/>
  <c r="B185" i="1"/>
  <c r="S184" i="1"/>
  <c r="Q184" i="1"/>
  <c r="L184" i="1"/>
  <c r="K184" i="1"/>
  <c r="J184" i="1"/>
  <c r="H184" i="1"/>
  <c r="G184" i="1"/>
  <c r="F184" i="1"/>
  <c r="D184" i="1"/>
  <c r="B184" i="1"/>
  <c r="S183" i="1"/>
  <c r="Q183" i="1"/>
  <c r="L183" i="1"/>
  <c r="K183" i="1"/>
  <c r="J183" i="1"/>
  <c r="H183" i="1"/>
  <c r="G183" i="1"/>
  <c r="F183" i="1"/>
  <c r="D183" i="1"/>
  <c r="B183" i="1"/>
  <c r="S182" i="1"/>
  <c r="Q182" i="1"/>
  <c r="L182" i="1"/>
  <c r="K182" i="1"/>
  <c r="J182" i="1"/>
  <c r="H182" i="1"/>
  <c r="G182" i="1"/>
  <c r="F182" i="1"/>
  <c r="D182" i="1"/>
  <c r="B182" i="1"/>
  <c r="S181" i="1"/>
  <c r="Q181" i="1"/>
  <c r="L181" i="1"/>
  <c r="K181" i="1"/>
  <c r="J181" i="1"/>
  <c r="H181" i="1"/>
  <c r="G181" i="1"/>
  <c r="F181" i="1"/>
  <c r="D181" i="1"/>
  <c r="B181" i="1"/>
  <c r="S180" i="1"/>
  <c r="L180" i="1"/>
  <c r="K180" i="1"/>
  <c r="J180" i="1"/>
  <c r="H180" i="1"/>
  <c r="G180" i="1"/>
  <c r="F180" i="1"/>
  <c r="D180" i="1"/>
  <c r="B180" i="1"/>
  <c r="S179" i="1"/>
  <c r="L179" i="1"/>
  <c r="K179" i="1"/>
  <c r="J179" i="1"/>
  <c r="H179" i="1"/>
  <c r="G179" i="1"/>
  <c r="F179" i="1"/>
  <c r="D179" i="1"/>
  <c r="B179" i="1"/>
  <c r="S178" i="1"/>
  <c r="L178" i="1"/>
  <c r="K178" i="1"/>
  <c r="J178" i="1"/>
  <c r="H178" i="1"/>
  <c r="G178" i="1"/>
  <c r="F178" i="1"/>
  <c r="D178" i="1"/>
  <c r="B178" i="1"/>
  <c r="S177" i="1"/>
  <c r="L177" i="1"/>
  <c r="K177" i="1"/>
  <c r="J177" i="1"/>
  <c r="H177" i="1"/>
  <c r="G177" i="1"/>
  <c r="F177" i="1"/>
  <c r="D177" i="1"/>
  <c r="B177" i="1"/>
  <c r="S176" i="1"/>
  <c r="L176" i="1"/>
  <c r="K176" i="1"/>
  <c r="J176" i="1"/>
  <c r="H176" i="1"/>
  <c r="G176" i="1"/>
  <c r="F176" i="1"/>
  <c r="D176" i="1"/>
  <c r="B176" i="1"/>
  <c r="S175" i="1"/>
  <c r="L175" i="1"/>
  <c r="K175" i="1"/>
  <c r="J175" i="1"/>
  <c r="H175" i="1"/>
  <c r="G175" i="1"/>
  <c r="F175" i="1"/>
  <c r="D175" i="1"/>
  <c r="B175" i="1"/>
  <c r="S174" i="1"/>
  <c r="Q174" i="1"/>
  <c r="L174" i="1"/>
  <c r="K174" i="1"/>
  <c r="J174" i="1"/>
  <c r="H174" i="1"/>
  <c r="G174" i="1"/>
  <c r="F174" i="1"/>
  <c r="D174" i="1"/>
  <c r="B174" i="1"/>
  <c r="S173" i="1"/>
  <c r="Q173" i="1"/>
  <c r="L173" i="1"/>
  <c r="K173" i="1"/>
  <c r="J173" i="1"/>
  <c r="H173" i="1"/>
  <c r="G173" i="1"/>
  <c r="F173" i="1"/>
  <c r="D173" i="1"/>
  <c r="B173" i="1"/>
  <c r="S172" i="1"/>
  <c r="Q172" i="1"/>
  <c r="L172" i="1"/>
  <c r="K172" i="1"/>
  <c r="J172" i="1"/>
  <c r="H172" i="1"/>
  <c r="G172" i="1"/>
  <c r="F172" i="1"/>
  <c r="D172" i="1"/>
  <c r="B172" i="1"/>
  <c r="S171" i="1"/>
  <c r="Q171" i="1"/>
  <c r="L171" i="1"/>
  <c r="K171" i="1"/>
  <c r="J171" i="1"/>
  <c r="H171" i="1"/>
  <c r="G171" i="1"/>
  <c r="F171" i="1"/>
  <c r="D171" i="1"/>
  <c r="B171" i="1"/>
  <c r="S170" i="1"/>
  <c r="Q170" i="1"/>
  <c r="L170" i="1"/>
  <c r="K170" i="1"/>
  <c r="J170" i="1"/>
  <c r="H170" i="1"/>
  <c r="G170" i="1"/>
  <c r="F170" i="1"/>
  <c r="D170" i="1"/>
  <c r="B170" i="1"/>
  <c r="S169" i="1"/>
  <c r="L169" i="1"/>
  <c r="K169" i="1"/>
  <c r="J169" i="1"/>
  <c r="H169" i="1"/>
  <c r="G169" i="1"/>
  <c r="F169" i="1"/>
  <c r="D169" i="1"/>
  <c r="B169" i="1"/>
  <c r="S168" i="1"/>
  <c r="Q168" i="1"/>
  <c r="L168" i="1"/>
  <c r="K168" i="1"/>
  <c r="J168" i="1"/>
  <c r="H168" i="1"/>
  <c r="G168" i="1"/>
  <c r="F168" i="1"/>
  <c r="D168" i="1"/>
  <c r="B168" i="1"/>
  <c r="S167" i="1"/>
  <c r="L167" i="1"/>
  <c r="K167" i="1"/>
  <c r="J167" i="1"/>
  <c r="H167" i="1"/>
  <c r="G167" i="1"/>
  <c r="F167" i="1"/>
  <c r="D167" i="1"/>
  <c r="B167" i="1"/>
  <c r="S166" i="1"/>
  <c r="L166" i="1"/>
  <c r="K166" i="1"/>
  <c r="J166" i="1"/>
  <c r="H166" i="1"/>
  <c r="G166" i="1"/>
  <c r="F166" i="1"/>
  <c r="D166" i="1"/>
  <c r="B166" i="1"/>
  <c r="S165" i="1"/>
  <c r="Q165" i="1"/>
  <c r="L165" i="1"/>
  <c r="K165" i="1"/>
  <c r="J165" i="1"/>
  <c r="H165" i="1"/>
  <c r="G165" i="1"/>
  <c r="F165" i="1"/>
  <c r="D165" i="1"/>
  <c r="B165" i="1"/>
  <c r="S164" i="1"/>
  <c r="Q164" i="1"/>
  <c r="L164" i="1"/>
  <c r="K164" i="1"/>
  <c r="J164" i="1"/>
  <c r="H164" i="1"/>
  <c r="G164" i="1"/>
  <c r="F164" i="1"/>
  <c r="D164" i="1"/>
  <c r="B164" i="1"/>
  <c r="S163" i="1"/>
  <c r="Q163" i="1"/>
  <c r="L163" i="1"/>
  <c r="K163" i="1"/>
  <c r="J163" i="1"/>
  <c r="H163" i="1"/>
  <c r="G163" i="1"/>
  <c r="F163" i="1"/>
  <c r="D163" i="1"/>
  <c r="B163" i="1"/>
  <c r="S162" i="1"/>
  <c r="Q162" i="1"/>
  <c r="L162" i="1"/>
  <c r="K162" i="1"/>
  <c r="J162" i="1"/>
  <c r="H162" i="1"/>
  <c r="G162" i="1"/>
  <c r="F162" i="1"/>
  <c r="D162" i="1"/>
  <c r="B162" i="1"/>
  <c r="S161" i="1"/>
  <c r="L161" i="1"/>
  <c r="K161" i="1"/>
  <c r="J161" i="1"/>
  <c r="H161" i="1"/>
  <c r="G161" i="1"/>
  <c r="F161" i="1"/>
  <c r="D161" i="1"/>
  <c r="B161" i="1"/>
  <c r="S160" i="1"/>
  <c r="L160" i="1"/>
  <c r="K160" i="1"/>
  <c r="J160" i="1"/>
  <c r="H160" i="1"/>
  <c r="G160" i="1"/>
  <c r="F160" i="1"/>
  <c r="D160" i="1"/>
  <c r="B160" i="1"/>
  <c r="S159" i="1"/>
  <c r="L159" i="1"/>
  <c r="K159" i="1"/>
  <c r="J159" i="1"/>
  <c r="H159" i="1"/>
  <c r="G159" i="1"/>
  <c r="F159" i="1"/>
  <c r="D159" i="1"/>
  <c r="B159" i="1"/>
  <c r="S158" i="1"/>
  <c r="L158" i="1"/>
  <c r="K158" i="1"/>
  <c r="J158" i="1"/>
  <c r="H158" i="1"/>
  <c r="G158" i="1"/>
  <c r="F158" i="1"/>
  <c r="D158" i="1"/>
  <c r="B158" i="1"/>
  <c r="S157" i="1"/>
  <c r="L157" i="1"/>
  <c r="K157" i="1"/>
  <c r="J157" i="1"/>
  <c r="H157" i="1"/>
  <c r="G157" i="1"/>
  <c r="F157" i="1"/>
  <c r="D157" i="1"/>
  <c r="B157" i="1"/>
  <c r="S156" i="1"/>
  <c r="L156" i="1"/>
  <c r="K156" i="1"/>
  <c r="J156" i="1"/>
  <c r="H156" i="1"/>
  <c r="G156" i="1"/>
  <c r="F156" i="1"/>
  <c r="D156" i="1"/>
  <c r="B156" i="1"/>
  <c r="S155" i="1"/>
  <c r="L155" i="1"/>
  <c r="K155" i="1"/>
  <c r="J155" i="1"/>
  <c r="H155" i="1"/>
  <c r="G155" i="1"/>
  <c r="F155" i="1"/>
  <c r="D155" i="1"/>
  <c r="B155" i="1"/>
  <c r="S154" i="1"/>
  <c r="L154" i="1"/>
  <c r="K154" i="1"/>
  <c r="J154" i="1"/>
  <c r="H154" i="1"/>
  <c r="G154" i="1"/>
  <c r="F154" i="1"/>
  <c r="D154" i="1"/>
  <c r="B154" i="1"/>
  <c r="S153" i="1"/>
  <c r="L153" i="1"/>
  <c r="K153" i="1"/>
  <c r="J153" i="1"/>
  <c r="H153" i="1"/>
  <c r="G153" i="1"/>
  <c r="F153" i="1"/>
  <c r="D153" i="1"/>
  <c r="B153" i="1"/>
  <c r="S152" i="1"/>
  <c r="Q152" i="1"/>
  <c r="L152" i="1"/>
  <c r="K152" i="1"/>
  <c r="J152" i="1"/>
  <c r="I152" i="1"/>
  <c r="H152" i="1"/>
  <c r="G152" i="1"/>
  <c r="F152" i="1"/>
  <c r="D152" i="1"/>
  <c r="B152" i="1"/>
  <c r="S151" i="1"/>
  <c r="Q151" i="1"/>
  <c r="L151" i="1"/>
  <c r="K151" i="1"/>
  <c r="J151" i="1"/>
  <c r="H151" i="1"/>
  <c r="G151" i="1"/>
  <c r="F151" i="1"/>
  <c r="D151" i="1"/>
  <c r="B151" i="1"/>
  <c r="S150" i="1"/>
  <c r="L150" i="1"/>
  <c r="K150" i="1"/>
  <c r="J150" i="1"/>
  <c r="H150" i="1"/>
  <c r="G150" i="1"/>
  <c r="F150" i="1"/>
  <c r="D150" i="1"/>
  <c r="B150" i="1"/>
  <c r="S149" i="1"/>
  <c r="L149" i="1"/>
  <c r="K149" i="1"/>
  <c r="J149" i="1"/>
  <c r="H149" i="1"/>
  <c r="G149" i="1"/>
  <c r="F149" i="1"/>
  <c r="D149" i="1"/>
  <c r="B149" i="1"/>
  <c r="S148" i="1"/>
  <c r="L148" i="1"/>
  <c r="K148" i="1"/>
  <c r="J148" i="1"/>
  <c r="H148" i="1"/>
  <c r="G148" i="1"/>
  <c r="F148" i="1"/>
  <c r="D148" i="1"/>
  <c r="B148" i="1"/>
  <c r="S147" i="1"/>
  <c r="L147" i="1"/>
  <c r="K147" i="1"/>
  <c r="J147" i="1"/>
  <c r="H147" i="1"/>
  <c r="G147" i="1"/>
  <c r="F147" i="1"/>
  <c r="D147" i="1"/>
  <c r="B147" i="1"/>
  <c r="S146" i="1"/>
  <c r="L146" i="1"/>
  <c r="K146" i="1"/>
  <c r="J146" i="1"/>
  <c r="H146" i="1"/>
  <c r="G146" i="1"/>
  <c r="F146" i="1"/>
  <c r="D146" i="1"/>
  <c r="B146" i="1"/>
  <c r="S145" i="1"/>
  <c r="Q145" i="1"/>
  <c r="L145" i="1"/>
  <c r="K145" i="1"/>
  <c r="J145" i="1"/>
  <c r="H145" i="1"/>
  <c r="G145" i="1"/>
  <c r="F145" i="1"/>
  <c r="D145" i="1"/>
  <c r="B145" i="1"/>
  <c r="S144" i="1"/>
  <c r="L144" i="1"/>
  <c r="K144" i="1"/>
  <c r="J144" i="1"/>
  <c r="H144" i="1"/>
  <c r="G144" i="1"/>
  <c r="F144" i="1"/>
  <c r="D144" i="1"/>
  <c r="B144" i="1"/>
  <c r="S143" i="1"/>
  <c r="L143" i="1"/>
  <c r="K143" i="1"/>
  <c r="J143" i="1"/>
  <c r="H143" i="1"/>
  <c r="G143" i="1"/>
  <c r="F143" i="1"/>
  <c r="D143" i="1"/>
  <c r="B143" i="1"/>
  <c r="S142" i="1"/>
  <c r="Q142" i="1"/>
  <c r="L142" i="1"/>
  <c r="K142" i="1"/>
  <c r="J142" i="1"/>
  <c r="H142" i="1"/>
  <c r="G142" i="1"/>
  <c r="F142" i="1"/>
  <c r="D142" i="1"/>
  <c r="B142" i="1"/>
  <c r="S141" i="1"/>
  <c r="L141" i="1"/>
  <c r="K141" i="1"/>
  <c r="J141" i="1"/>
  <c r="H141" i="1"/>
  <c r="G141" i="1"/>
  <c r="F141" i="1"/>
  <c r="D141" i="1"/>
  <c r="B141" i="1"/>
  <c r="S140" i="1"/>
  <c r="L140" i="1"/>
  <c r="K140" i="1"/>
  <c r="J140" i="1"/>
  <c r="H140" i="1"/>
  <c r="G140" i="1"/>
  <c r="F140" i="1"/>
  <c r="D140" i="1"/>
  <c r="B140" i="1"/>
  <c r="S139" i="1"/>
  <c r="L139" i="1"/>
  <c r="K139" i="1"/>
  <c r="J139" i="1"/>
  <c r="I139" i="1"/>
  <c r="H139" i="1"/>
  <c r="G139" i="1"/>
  <c r="F139" i="1"/>
  <c r="D139" i="1"/>
  <c r="B139" i="1"/>
  <c r="S138" i="1"/>
  <c r="Q138" i="1"/>
  <c r="L138" i="1"/>
  <c r="K138" i="1"/>
  <c r="J138" i="1"/>
  <c r="H138" i="1"/>
  <c r="G138" i="1"/>
  <c r="F138" i="1"/>
  <c r="D138" i="1"/>
  <c r="B138" i="1"/>
  <c r="S137" i="1"/>
  <c r="Q137" i="1"/>
  <c r="L137" i="1"/>
  <c r="K137" i="1"/>
  <c r="J137" i="1"/>
  <c r="H137" i="1"/>
  <c r="G137" i="1"/>
  <c r="F137" i="1"/>
  <c r="D137" i="1"/>
  <c r="B137" i="1"/>
  <c r="S136" i="1"/>
  <c r="L136" i="1"/>
  <c r="K136" i="1"/>
  <c r="J136" i="1"/>
  <c r="H136" i="1"/>
  <c r="G136" i="1"/>
  <c r="F136" i="1"/>
  <c r="D136" i="1"/>
  <c r="B136" i="1"/>
  <c r="S135" i="1"/>
  <c r="L135" i="1"/>
  <c r="K135" i="1"/>
  <c r="J135" i="1"/>
  <c r="H135" i="1"/>
  <c r="G135" i="1"/>
  <c r="F135" i="1"/>
  <c r="D135" i="1"/>
  <c r="B135" i="1"/>
  <c r="S134" i="1"/>
  <c r="L134" i="1"/>
  <c r="K134" i="1"/>
  <c r="J134" i="1"/>
  <c r="H134" i="1"/>
  <c r="G134" i="1"/>
  <c r="F134" i="1"/>
  <c r="D134" i="1"/>
  <c r="B134" i="1"/>
  <c r="S133" i="1"/>
  <c r="Q133" i="1"/>
  <c r="L133" i="1"/>
  <c r="K133" i="1"/>
  <c r="J133" i="1"/>
  <c r="I133" i="1"/>
  <c r="H133" i="1"/>
  <c r="G133" i="1"/>
  <c r="F133" i="1"/>
  <c r="D133" i="1"/>
  <c r="B133" i="1"/>
  <c r="S132" i="1"/>
  <c r="L132" i="1"/>
  <c r="K132" i="1"/>
  <c r="J132" i="1"/>
  <c r="H132" i="1"/>
  <c r="G132" i="1"/>
  <c r="F132" i="1"/>
  <c r="D132" i="1"/>
  <c r="B132" i="1"/>
  <c r="S131" i="1"/>
  <c r="L131" i="1"/>
  <c r="K131" i="1"/>
  <c r="J131" i="1"/>
  <c r="H131" i="1"/>
  <c r="G131" i="1"/>
  <c r="F131" i="1"/>
  <c r="D131" i="1"/>
  <c r="B131" i="1"/>
  <c r="S130" i="1"/>
  <c r="L130" i="1"/>
  <c r="K130" i="1"/>
  <c r="J130" i="1"/>
  <c r="H130" i="1"/>
  <c r="G130" i="1"/>
  <c r="F130" i="1"/>
  <c r="D130" i="1"/>
  <c r="B130" i="1"/>
  <c r="S129" i="1"/>
  <c r="Q129" i="1"/>
  <c r="L129" i="1"/>
  <c r="K129" i="1"/>
  <c r="J129" i="1"/>
  <c r="H129" i="1"/>
  <c r="G129" i="1"/>
  <c r="F129" i="1"/>
  <c r="D129" i="1"/>
  <c r="B129" i="1"/>
  <c r="S128" i="1"/>
  <c r="Q128" i="1"/>
  <c r="L128" i="1"/>
  <c r="K128" i="1"/>
  <c r="J128" i="1"/>
  <c r="H128" i="1"/>
  <c r="G128" i="1"/>
  <c r="F128" i="1"/>
  <c r="D128" i="1"/>
  <c r="B128" i="1"/>
  <c r="S127" i="1"/>
  <c r="Q127" i="1"/>
  <c r="L127" i="1"/>
  <c r="K127" i="1"/>
  <c r="J127" i="1"/>
  <c r="H127" i="1"/>
  <c r="G127" i="1"/>
  <c r="F127" i="1"/>
  <c r="D127" i="1"/>
  <c r="B127" i="1"/>
  <c r="S126" i="1"/>
  <c r="Q126" i="1"/>
  <c r="L126" i="1"/>
  <c r="K126" i="1"/>
  <c r="J126" i="1"/>
  <c r="H126" i="1"/>
  <c r="G126" i="1"/>
  <c r="F126" i="1"/>
  <c r="D126" i="1"/>
  <c r="B126" i="1"/>
  <c r="S125" i="1"/>
  <c r="L125" i="1"/>
  <c r="K125" i="1"/>
  <c r="J125" i="1"/>
  <c r="H125" i="1"/>
  <c r="G125" i="1"/>
  <c r="F125" i="1"/>
  <c r="D125" i="1"/>
  <c r="B125" i="1"/>
  <c r="S124" i="1"/>
  <c r="L124" i="1"/>
  <c r="K124" i="1"/>
  <c r="J124" i="1"/>
  <c r="H124" i="1"/>
  <c r="G124" i="1"/>
  <c r="F124" i="1"/>
  <c r="D124" i="1"/>
  <c r="B124" i="1"/>
  <c r="S123" i="1"/>
  <c r="L123" i="1"/>
  <c r="K123" i="1"/>
  <c r="J123" i="1"/>
  <c r="H123" i="1"/>
  <c r="G123" i="1"/>
  <c r="F123" i="1"/>
  <c r="D123" i="1"/>
  <c r="B123" i="1"/>
  <c r="S122" i="1"/>
  <c r="L122" i="1"/>
  <c r="K122" i="1"/>
  <c r="J122" i="1"/>
  <c r="H122" i="1"/>
  <c r="G122" i="1"/>
  <c r="F122" i="1"/>
  <c r="D122" i="1"/>
  <c r="B122" i="1"/>
  <c r="S121" i="1"/>
  <c r="L121" i="1"/>
  <c r="K121" i="1"/>
  <c r="J121" i="1"/>
  <c r="H121" i="1"/>
  <c r="G121" i="1"/>
  <c r="F121" i="1"/>
  <c r="D121" i="1"/>
  <c r="B121" i="1"/>
  <c r="S120" i="1"/>
  <c r="L120" i="1"/>
  <c r="K120" i="1"/>
  <c r="J120" i="1"/>
  <c r="H120" i="1"/>
  <c r="G120" i="1"/>
  <c r="F120" i="1"/>
  <c r="D120" i="1"/>
  <c r="B120" i="1"/>
  <c r="S119" i="1"/>
  <c r="L119" i="1"/>
  <c r="K119" i="1"/>
  <c r="J119" i="1"/>
  <c r="H119" i="1"/>
  <c r="G119" i="1"/>
  <c r="F119" i="1"/>
  <c r="D119" i="1"/>
  <c r="B119" i="1"/>
  <c r="S118" i="1"/>
  <c r="L118" i="1"/>
  <c r="K118" i="1"/>
  <c r="J118" i="1"/>
  <c r="H118" i="1"/>
  <c r="G118" i="1"/>
  <c r="F118" i="1"/>
  <c r="D118" i="1"/>
  <c r="B118" i="1"/>
  <c r="S117" i="1"/>
  <c r="L117" i="1"/>
  <c r="K117" i="1"/>
  <c r="J117" i="1"/>
  <c r="H117" i="1"/>
  <c r="G117" i="1"/>
  <c r="F117" i="1"/>
  <c r="D117" i="1"/>
  <c r="B117" i="1"/>
  <c r="S116" i="1"/>
  <c r="L116" i="1"/>
  <c r="K116" i="1"/>
  <c r="J116" i="1"/>
  <c r="H116" i="1"/>
  <c r="G116" i="1"/>
  <c r="F116" i="1"/>
  <c r="D116" i="1"/>
  <c r="B116" i="1"/>
  <c r="S115" i="1"/>
  <c r="L115" i="1"/>
  <c r="K115" i="1"/>
  <c r="J115" i="1"/>
  <c r="H115" i="1"/>
  <c r="G115" i="1"/>
  <c r="F115" i="1"/>
  <c r="D115" i="1"/>
  <c r="B115" i="1"/>
  <c r="S114" i="1"/>
  <c r="L114" i="1"/>
  <c r="K114" i="1"/>
  <c r="J114" i="1"/>
  <c r="H114" i="1"/>
  <c r="G114" i="1"/>
  <c r="F114" i="1"/>
  <c r="D114" i="1"/>
  <c r="B114" i="1"/>
  <c r="S113" i="1"/>
  <c r="L113" i="1"/>
  <c r="K113" i="1"/>
  <c r="J113" i="1"/>
  <c r="H113" i="1"/>
  <c r="G113" i="1"/>
  <c r="F113" i="1"/>
  <c r="D113" i="1"/>
  <c r="B113" i="1"/>
  <c r="S112" i="1"/>
  <c r="L112" i="1"/>
  <c r="K112" i="1"/>
  <c r="J112" i="1"/>
  <c r="H112" i="1"/>
  <c r="G112" i="1"/>
  <c r="F112" i="1"/>
  <c r="D112" i="1"/>
  <c r="B112" i="1"/>
  <c r="S111" i="1"/>
  <c r="Q111" i="1"/>
  <c r="L111" i="1"/>
  <c r="K111" i="1"/>
  <c r="J111" i="1"/>
  <c r="H111" i="1"/>
  <c r="G111" i="1"/>
  <c r="F111" i="1"/>
  <c r="D111" i="1"/>
  <c r="B111" i="1"/>
  <c r="S110" i="1"/>
  <c r="Q110" i="1"/>
  <c r="L110" i="1"/>
  <c r="K110" i="1"/>
  <c r="J110" i="1"/>
  <c r="H110" i="1"/>
  <c r="G110" i="1"/>
  <c r="F110" i="1"/>
  <c r="D110" i="1"/>
  <c r="B110" i="1"/>
  <c r="S109" i="1"/>
  <c r="Q109" i="1"/>
  <c r="L109" i="1"/>
  <c r="K109" i="1"/>
  <c r="J109" i="1"/>
  <c r="H109" i="1"/>
  <c r="G109" i="1"/>
  <c r="F109" i="1"/>
  <c r="D109" i="1"/>
  <c r="B109" i="1"/>
  <c r="S108" i="1"/>
  <c r="Q108" i="1"/>
  <c r="L108" i="1"/>
  <c r="K108" i="1"/>
  <c r="J108" i="1"/>
  <c r="H108" i="1"/>
  <c r="G108" i="1"/>
  <c r="F108" i="1"/>
  <c r="D108" i="1"/>
  <c r="B108" i="1"/>
  <c r="S107" i="1"/>
  <c r="L107" i="1"/>
  <c r="K107" i="1"/>
  <c r="J107" i="1"/>
  <c r="H107" i="1"/>
  <c r="G107" i="1"/>
  <c r="F107" i="1"/>
  <c r="D107" i="1"/>
  <c r="B107" i="1"/>
  <c r="S106" i="1"/>
  <c r="Q106" i="1"/>
  <c r="L106" i="1"/>
  <c r="K106" i="1"/>
  <c r="J106" i="1"/>
  <c r="H106" i="1"/>
  <c r="G106" i="1"/>
  <c r="F106" i="1"/>
  <c r="D106" i="1"/>
  <c r="B106" i="1"/>
  <c r="S105" i="1"/>
  <c r="L105" i="1"/>
  <c r="K105" i="1"/>
  <c r="J105" i="1"/>
  <c r="H105" i="1"/>
  <c r="G105" i="1"/>
  <c r="F105" i="1"/>
  <c r="D105" i="1"/>
  <c r="B105" i="1"/>
  <c r="S104" i="1"/>
  <c r="L104" i="1"/>
  <c r="K104" i="1"/>
  <c r="J104" i="1"/>
  <c r="H104" i="1"/>
  <c r="G104" i="1"/>
  <c r="F104" i="1"/>
  <c r="D104" i="1"/>
  <c r="B104" i="1"/>
  <c r="S103" i="1"/>
  <c r="L103" i="1"/>
  <c r="K103" i="1"/>
  <c r="J103" i="1"/>
  <c r="H103" i="1"/>
  <c r="G103" i="1"/>
  <c r="F103" i="1"/>
  <c r="D103" i="1"/>
  <c r="B103" i="1"/>
  <c r="S102" i="1"/>
  <c r="L102" i="1"/>
  <c r="K102" i="1"/>
  <c r="J102" i="1"/>
  <c r="H102" i="1"/>
  <c r="G102" i="1"/>
  <c r="F102" i="1"/>
  <c r="D102" i="1"/>
  <c r="B102" i="1"/>
  <c r="S101" i="1"/>
  <c r="Q101" i="1"/>
  <c r="L101" i="1"/>
  <c r="K101" i="1"/>
  <c r="J101" i="1"/>
  <c r="H101" i="1"/>
  <c r="G101" i="1"/>
  <c r="F101" i="1"/>
  <c r="D101" i="1"/>
  <c r="B101" i="1"/>
  <c r="S100" i="1"/>
  <c r="L100" i="1"/>
  <c r="K100" i="1"/>
  <c r="J100" i="1"/>
  <c r="H100" i="1"/>
  <c r="G100" i="1"/>
  <c r="F100" i="1"/>
  <c r="D100" i="1"/>
  <c r="B100" i="1"/>
  <c r="S99" i="1"/>
  <c r="L99" i="1"/>
  <c r="K99" i="1"/>
  <c r="J99" i="1"/>
  <c r="H99" i="1"/>
  <c r="G99" i="1"/>
  <c r="F99" i="1"/>
  <c r="D99" i="1"/>
  <c r="B99" i="1"/>
  <c r="S98" i="1"/>
  <c r="L98" i="1"/>
  <c r="K98" i="1"/>
  <c r="J98" i="1"/>
  <c r="H98" i="1"/>
  <c r="G98" i="1"/>
  <c r="F98" i="1"/>
  <c r="D98" i="1"/>
  <c r="B98" i="1"/>
  <c r="S97" i="1"/>
  <c r="Q97" i="1"/>
  <c r="L97" i="1"/>
  <c r="K97" i="1"/>
  <c r="J97" i="1"/>
  <c r="H97" i="1"/>
  <c r="G97" i="1"/>
  <c r="F97" i="1"/>
  <c r="D97" i="1"/>
  <c r="B97" i="1"/>
  <c r="S96" i="1"/>
  <c r="L96" i="1"/>
  <c r="K96" i="1"/>
  <c r="J96" i="1"/>
  <c r="H96" i="1"/>
  <c r="G96" i="1"/>
  <c r="F96" i="1"/>
  <c r="D96" i="1"/>
  <c r="B96" i="1"/>
  <c r="S95" i="1"/>
  <c r="L95" i="1"/>
  <c r="K95" i="1"/>
  <c r="J95" i="1"/>
  <c r="H95" i="1"/>
  <c r="G95" i="1"/>
  <c r="F95" i="1"/>
  <c r="D95" i="1"/>
  <c r="B95" i="1"/>
  <c r="S94" i="1"/>
  <c r="L94" i="1"/>
  <c r="K94" i="1"/>
  <c r="J94" i="1"/>
  <c r="H94" i="1"/>
  <c r="G94" i="1"/>
  <c r="F94" i="1"/>
  <c r="D94" i="1"/>
  <c r="B94" i="1"/>
  <c r="S93" i="1"/>
  <c r="L93" i="1"/>
  <c r="K93" i="1"/>
  <c r="J93" i="1"/>
  <c r="H93" i="1"/>
  <c r="G93" i="1"/>
  <c r="F93" i="1"/>
  <c r="D93" i="1"/>
  <c r="B93" i="1"/>
  <c r="S92" i="1"/>
  <c r="L92" i="1"/>
  <c r="K92" i="1"/>
  <c r="J92" i="1"/>
  <c r="H92" i="1"/>
  <c r="G92" i="1"/>
  <c r="F92" i="1"/>
  <c r="D92" i="1"/>
  <c r="B92" i="1"/>
  <c r="S91" i="1"/>
  <c r="L91" i="1"/>
  <c r="K91" i="1"/>
  <c r="J91" i="1"/>
  <c r="H91" i="1"/>
  <c r="G91" i="1"/>
  <c r="F91" i="1"/>
  <c r="D91" i="1"/>
  <c r="B91" i="1"/>
  <c r="S90" i="1"/>
  <c r="L90" i="1"/>
  <c r="K90" i="1"/>
  <c r="J90" i="1"/>
  <c r="H90" i="1"/>
  <c r="G90" i="1"/>
  <c r="F90" i="1"/>
  <c r="D90" i="1"/>
  <c r="B90" i="1"/>
  <c r="S89" i="1"/>
  <c r="L89" i="1"/>
  <c r="K89" i="1"/>
  <c r="J89" i="1"/>
  <c r="H89" i="1"/>
  <c r="G89" i="1"/>
  <c r="F89" i="1"/>
  <c r="D89" i="1"/>
  <c r="B89" i="1"/>
  <c r="S88" i="1"/>
  <c r="L88" i="1"/>
  <c r="K88" i="1"/>
  <c r="J88" i="1"/>
  <c r="H88" i="1"/>
  <c r="G88" i="1"/>
  <c r="F88" i="1"/>
  <c r="D88" i="1"/>
  <c r="B88" i="1"/>
  <c r="S87" i="1"/>
  <c r="L87" i="1"/>
  <c r="K87" i="1"/>
  <c r="J87" i="1"/>
  <c r="H87" i="1"/>
  <c r="G87" i="1"/>
  <c r="F87" i="1"/>
  <c r="D87" i="1"/>
  <c r="B87" i="1"/>
  <c r="S86" i="1"/>
  <c r="L86" i="1"/>
  <c r="K86" i="1"/>
  <c r="J86" i="1"/>
  <c r="H86" i="1"/>
  <c r="G86" i="1"/>
  <c r="F86" i="1"/>
  <c r="D86" i="1"/>
  <c r="B86" i="1"/>
  <c r="S85" i="1"/>
  <c r="L85" i="1"/>
  <c r="K85" i="1"/>
  <c r="J85" i="1"/>
  <c r="H85" i="1"/>
  <c r="G85" i="1"/>
  <c r="F85" i="1"/>
  <c r="D85" i="1"/>
  <c r="B85" i="1"/>
  <c r="S84" i="1"/>
  <c r="L84" i="1"/>
  <c r="K84" i="1"/>
  <c r="J84" i="1"/>
  <c r="H84" i="1"/>
  <c r="G84" i="1"/>
  <c r="F84" i="1"/>
  <c r="D84" i="1"/>
  <c r="B84" i="1"/>
  <c r="S83" i="1"/>
  <c r="L83" i="1"/>
  <c r="K83" i="1"/>
  <c r="J83" i="1"/>
  <c r="H83" i="1"/>
  <c r="G83" i="1"/>
  <c r="F83" i="1"/>
  <c r="D83" i="1"/>
  <c r="B83" i="1"/>
  <c r="S82" i="1"/>
  <c r="L82" i="1"/>
  <c r="K82" i="1"/>
  <c r="J82" i="1"/>
  <c r="H82" i="1"/>
  <c r="G82" i="1"/>
  <c r="F82" i="1"/>
  <c r="D82" i="1"/>
  <c r="B82" i="1"/>
  <c r="S81" i="1"/>
  <c r="Q81" i="1"/>
  <c r="L81" i="1"/>
  <c r="K81" i="1"/>
  <c r="J81" i="1"/>
  <c r="I81" i="1"/>
  <c r="H81" i="1"/>
  <c r="G81" i="1"/>
  <c r="F81" i="1"/>
  <c r="D81" i="1"/>
  <c r="B81" i="1"/>
  <c r="S80" i="1"/>
  <c r="L80" i="1"/>
  <c r="K80" i="1"/>
  <c r="J80" i="1"/>
  <c r="H80" i="1"/>
  <c r="G80" i="1"/>
  <c r="F80" i="1"/>
  <c r="D80" i="1"/>
  <c r="B80" i="1"/>
  <c r="S79" i="1"/>
  <c r="L79" i="1"/>
  <c r="K79" i="1"/>
  <c r="J79" i="1"/>
  <c r="H79" i="1"/>
  <c r="G79" i="1"/>
  <c r="F79" i="1"/>
  <c r="D79" i="1"/>
  <c r="B79" i="1"/>
  <c r="S78" i="1"/>
  <c r="L78" i="1"/>
  <c r="K78" i="1"/>
  <c r="J78" i="1"/>
  <c r="H78" i="1"/>
  <c r="G78" i="1"/>
  <c r="F78" i="1"/>
  <c r="D78" i="1"/>
  <c r="B78" i="1"/>
  <c r="S77" i="1"/>
  <c r="Q77" i="1"/>
  <c r="L77" i="1"/>
  <c r="K77" i="1"/>
  <c r="J77" i="1"/>
  <c r="H77" i="1"/>
  <c r="G77" i="1"/>
  <c r="F77" i="1"/>
  <c r="D77" i="1"/>
  <c r="B77" i="1"/>
  <c r="S76" i="1"/>
  <c r="L76" i="1"/>
  <c r="K76" i="1"/>
  <c r="J76" i="1"/>
  <c r="H76" i="1"/>
  <c r="G76" i="1"/>
  <c r="F76" i="1"/>
  <c r="D76" i="1"/>
  <c r="B76" i="1"/>
  <c r="S75" i="1"/>
  <c r="L75" i="1"/>
  <c r="K75" i="1"/>
  <c r="J75" i="1"/>
  <c r="H75" i="1"/>
  <c r="G75" i="1"/>
  <c r="F75" i="1"/>
  <c r="D75" i="1"/>
  <c r="B75" i="1"/>
  <c r="S74" i="1"/>
  <c r="L74" i="1"/>
  <c r="K74" i="1"/>
  <c r="J74" i="1"/>
  <c r="H74" i="1"/>
  <c r="G74" i="1"/>
  <c r="F74" i="1"/>
  <c r="D74" i="1"/>
  <c r="B74" i="1"/>
  <c r="S73" i="1"/>
  <c r="L73" i="1"/>
  <c r="K73" i="1"/>
  <c r="J73" i="1"/>
  <c r="H73" i="1"/>
  <c r="G73" i="1"/>
  <c r="F73" i="1"/>
  <c r="D73" i="1"/>
  <c r="B73" i="1"/>
  <c r="S72" i="1"/>
  <c r="L72" i="1"/>
  <c r="K72" i="1"/>
  <c r="J72" i="1"/>
  <c r="H72" i="1"/>
  <c r="G72" i="1"/>
  <c r="F72" i="1"/>
  <c r="D72" i="1"/>
  <c r="B72" i="1"/>
  <c r="S71" i="1"/>
  <c r="Q71" i="1"/>
  <c r="L71" i="1"/>
  <c r="K71" i="1"/>
  <c r="J71" i="1"/>
  <c r="H71" i="1"/>
  <c r="G71" i="1"/>
  <c r="F71" i="1"/>
  <c r="D71" i="1"/>
  <c r="B71" i="1"/>
  <c r="S70" i="1"/>
  <c r="Q70" i="1"/>
  <c r="L70" i="1"/>
  <c r="K70" i="1"/>
  <c r="J70" i="1"/>
  <c r="H70" i="1"/>
  <c r="G70" i="1"/>
  <c r="F70" i="1"/>
  <c r="D70" i="1"/>
  <c r="B70" i="1"/>
  <c r="S69" i="1"/>
  <c r="Q69" i="1"/>
  <c r="L69" i="1"/>
  <c r="K69" i="1"/>
  <c r="J69" i="1"/>
  <c r="H69" i="1"/>
  <c r="G69" i="1"/>
  <c r="F69" i="1"/>
  <c r="D69" i="1"/>
  <c r="B69" i="1"/>
  <c r="S68" i="1"/>
  <c r="Q68" i="1"/>
  <c r="L68" i="1"/>
  <c r="K68" i="1"/>
  <c r="J68" i="1"/>
  <c r="H68" i="1"/>
  <c r="G68" i="1"/>
  <c r="F68" i="1"/>
  <c r="D68" i="1"/>
  <c r="B68" i="1"/>
  <c r="S67" i="1"/>
  <c r="Q67" i="1"/>
  <c r="L67" i="1"/>
  <c r="K67" i="1"/>
  <c r="J67" i="1"/>
  <c r="H67" i="1"/>
  <c r="G67" i="1"/>
  <c r="F67" i="1"/>
  <c r="D67" i="1"/>
  <c r="B67" i="1"/>
  <c r="S66" i="1"/>
  <c r="Q66" i="1"/>
  <c r="L66" i="1"/>
  <c r="K66" i="1"/>
  <c r="J66" i="1"/>
  <c r="H66" i="1"/>
  <c r="G66" i="1"/>
  <c r="F66" i="1"/>
  <c r="D66" i="1"/>
  <c r="B66" i="1"/>
  <c r="S65" i="1"/>
  <c r="L65" i="1"/>
  <c r="K65" i="1"/>
  <c r="J65" i="1"/>
  <c r="H65" i="1"/>
  <c r="G65" i="1"/>
  <c r="F65" i="1"/>
  <c r="D65" i="1"/>
  <c r="B65" i="1"/>
  <c r="S64" i="1"/>
  <c r="L64" i="1"/>
  <c r="K64" i="1"/>
  <c r="J64" i="1"/>
  <c r="H64" i="1"/>
  <c r="G64" i="1"/>
  <c r="F64" i="1"/>
  <c r="D64" i="1"/>
  <c r="B64" i="1"/>
  <c r="S63" i="1"/>
  <c r="L63" i="1"/>
  <c r="K63" i="1"/>
  <c r="J63" i="1"/>
  <c r="H63" i="1"/>
  <c r="G63" i="1"/>
  <c r="F63" i="1"/>
  <c r="D63" i="1"/>
  <c r="B63" i="1"/>
  <c r="S62" i="1"/>
  <c r="L62" i="1"/>
  <c r="K62" i="1"/>
  <c r="J62" i="1"/>
  <c r="H62" i="1"/>
  <c r="G62" i="1"/>
  <c r="F62" i="1"/>
  <c r="D62" i="1"/>
  <c r="B62" i="1"/>
  <c r="S61" i="1"/>
  <c r="L61" i="1"/>
  <c r="K61" i="1"/>
  <c r="J61" i="1"/>
  <c r="H61" i="1"/>
  <c r="G61" i="1"/>
  <c r="F61" i="1"/>
  <c r="D61" i="1"/>
  <c r="B61" i="1"/>
  <c r="S60" i="1"/>
  <c r="L60" i="1"/>
  <c r="K60" i="1"/>
  <c r="J60" i="1"/>
  <c r="H60" i="1"/>
  <c r="G60" i="1"/>
  <c r="F60" i="1"/>
  <c r="D60" i="1"/>
  <c r="B60" i="1"/>
  <c r="S59" i="1"/>
  <c r="L59" i="1"/>
  <c r="K59" i="1"/>
  <c r="J59" i="1"/>
  <c r="H59" i="1"/>
  <c r="G59" i="1"/>
  <c r="F59" i="1"/>
  <c r="D59" i="1"/>
  <c r="B59" i="1"/>
  <c r="S58" i="1"/>
  <c r="L58" i="1"/>
  <c r="K58" i="1"/>
  <c r="J58" i="1"/>
  <c r="H58" i="1"/>
  <c r="G58" i="1"/>
  <c r="F58" i="1"/>
  <c r="D58" i="1"/>
  <c r="B58" i="1"/>
  <c r="S57" i="1"/>
  <c r="Q57" i="1"/>
  <c r="L57" i="1"/>
  <c r="K57" i="1"/>
  <c r="J57" i="1"/>
  <c r="H57" i="1"/>
  <c r="G57" i="1"/>
  <c r="F57" i="1"/>
  <c r="D57" i="1"/>
  <c r="B57" i="1"/>
  <c r="S56" i="1"/>
  <c r="L56" i="1"/>
  <c r="K56" i="1"/>
  <c r="J56" i="1"/>
  <c r="H56" i="1"/>
  <c r="G56" i="1"/>
  <c r="F56" i="1"/>
  <c r="D56" i="1"/>
  <c r="B56" i="1"/>
  <c r="S55" i="1"/>
  <c r="L55" i="1"/>
  <c r="K55" i="1"/>
  <c r="J55" i="1"/>
  <c r="H55" i="1"/>
  <c r="G55" i="1"/>
  <c r="F55" i="1"/>
  <c r="D55" i="1"/>
  <c r="B55" i="1"/>
  <c r="S54" i="1"/>
  <c r="L54" i="1"/>
  <c r="K54" i="1"/>
  <c r="J54" i="1"/>
  <c r="H54" i="1"/>
  <c r="G54" i="1"/>
  <c r="F54" i="1"/>
  <c r="D54" i="1"/>
  <c r="B54" i="1"/>
  <c r="S53" i="1"/>
  <c r="Q53" i="1"/>
  <c r="L53" i="1"/>
  <c r="K53" i="1"/>
  <c r="J53" i="1"/>
  <c r="I53" i="1"/>
  <c r="H53" i="1"/>
  <c r="G53" i="1"/>
  <c r="F53" i="1"/>
  <c r="D53" i="1"/>
  <c r="B53" i="1"/>
  <c r="S52" i="1"/>
  <c r="Q52" i="1"/>
  <c r="L52" i="1"/>
  <c r="K52" i="1"/>
  <c r="J52" i="1"/>
  <c r="H52" i="1"/>
  <c r="G52" i="1"/>
  <c r="F52" i="1"/>
  <c r="D52" i="1"/>
  <c r="B52" i="1"/>
  <c r="S51" i="1"/>
  <c r="L51" i="1"/>
  <c r="K51" i="1"/>
  <c r="J51" i="1"/>
  <c r="H51" i="1"/>
  <c r="G51" i="1"/>
  <c r="F51" i="1"/>
  <c r="D51" i="1"/>
  <c r="B51" i="1"/>
  <c r="S50" i="1"/>
  <c r="L50" i="1"/>
  <c r="K50" i="1"/>
  <c r="J50" i="1"/>
  <c r="H50" i="1"/>
  <c r="G50" i="1"/>
  <c r="F50" i="1"/>
  <c r="D50" i="1"/>
  <c r="B50" i="1"/>
  <c r="S49" i="1"/>
  <c r="L49" i="1"/>
  <c r="K49" i="1"/>
  <c r="J49" i="1"/>
  <c r="H49" i="1"/>
  <c r="G49" i="1"/>
  <c r="F49" i="1"/>
  <c r="D49" i="1"/>
  <c r="B49" i="1"/>
  <c r="S48" i="1"/>
  <c r="L48" i="1"/>
  <c r="K48" i="1"/>
  <c r="J48" i="1"/>
  <c r="H48" i="1"/>
  <c r="G48" i="1"/>
  <c r="F48" i="1"/>
  <c r="D48" i="1"/>
  <c r="B48" i="1"/>
  <c r="S47" i="1"/>
  <c r="L47" i="1"/>
  <c r="K47" i="1"/>
  <c r="J47" i="1"/>
  <c r="H47" i="1"/>
  <c r="G47" i="1"/>
  <c r="F47" i="1"/>
  <c r="D47" i="1"/>
  <c r="B47" i="1"/>
  <c r="S46" i="1"/>
  <c r="L46" i="1"/>
  <c r="K46" i="1"/>
  <c r="J46" i="1"/>
  <c r="H46" i="1"/>
  <c r="G46" i="1"/>
  <c r="F46" i="1"/>
  <c r="D46" i="1"/>
  <c r="B46" i="1"/>
  <c r="S45" i="1"/>
  <c r="Q45" i="1"/>
  <c r="L45" i="1"/>
  <c r="K45" i="1"/>
  <c r="J45" i="1"/>
  <c r="I45" i="1"/>
  <c r="H45" i="1"/>
  <c r="G45" i="1"/>
  <c r="F45" i="1"/>
  <c r="D45" i="1"/>
  <c r="B45" i="1"/>
  <c r="S44" i="1"/>
  <c r="Q44" i="1"/>
  <c r="L44" i="1"/>
  <c r="K44" i="1"/>
  <c r="J44" i="1"/>
  <c r="I44" i="1"/>
  <c r="H44" i="1"/>
  <c r="G44" i="1"/>
  <c r="F44" i="1"/>
  <c r="D44" i="1"/>
  <c r="B44" i="1"/>
  <c r="S43" i="1"/>
  <c r="Q43" i="1"/>
  <c r="L43" i="1"/>
  <c r="K43" i="1"/>
  <c r="J43" i="1"/>
  <c r="I43" i="1"/>
  <c r="H43" i="1"/>
  <c r="G43" i="1"/>
  <c r="F43" i="1"/>
  <c r="D43" i="1"/>
  <c r="B43" i="1"/>
  <c r="S42" i="1"/>
  <c r="L42" i="1"/>
  <c r="K42" i="1"/>
  <c r="J42" i="1"/>
  <c r="H42" i="1"/>
  <c r="G42" i="1"/>
  <c r="F42" i="1"/>
  <c r="D42" i="1"/>
  <c r="B42" i="1"/>
  <c r="S41" i="1"/>
  <c r="Q41" i="1"/>
  <c r="L41" i="1"/>
  <c r="K41" i="1"/>
  <c r="J41" i="1"/>
  <c r="I41" i="1"/>
  <c r="H41" i="1"/>
  <c r="G41" i="1"/>
  <c r="F41" i="1"/>
  <c r="D41" i="1"/>
  <c r="B41" i="1"/>
  <c r="S40" i="1"/>
  <c r="Q40" i="1"/>
  <c r="L40" i="1"/>
  <c r="K40" i="1"/>
  <c r="J40" i="1"/>
  <c r="I40" i="1"/>
  <c r="H40" i="1"/>
  <c r="G40" i="1"/>
  <c r="F40" i="1"/>
  <c r="D40" i="1"/>
  <c r="B40" i="1"/>
  <c r="S39" i="1"/>
  <c r="L39" i="1"/>
  <c r="K39" i="1"/>
  <c r="J39" i="1"/>
  <c r="H39" i="1"/>
  <c r="G39" i="1"/>
  <c r="F39" i="1"/>
  <c r="D39" i="1"/>
  <c r="B39" i="1"/>
  <c r="S38" i="1"/>
  <c r="L38" i="1"/>
  <c r="K38" i="1"/>
  <c r="J38" i="1"/>
  <c r="H38" i="1"/>
  <c r="G38" i="1"/>
  <c r="F38" i="1"/>
  <c r="D38" i="1"/>
  <c r="B38" i="1"/>
  <c r="S37" i="1"/>
  <c r="Q37" i="1"/>
  <c r="L37" i="1"/>
  <c r="K37" i="1"/>
  <c r="J37" i="1"/>
  <c r="I37" i="1"/>
  <c r="H37" i="1"/>
  <c r="G37" i="1"/>
  <c r="F37" i="1"/>
  <c r="D37" i="1"/>
  <c r="B37" i="1"/>
  <c r="S36" i="1"/>
  <c r="Q36" i="1"/>
  <c r="L36" i="1"/>
  <c r="K36" i="1"/>
  <c r="J36" i="1"/>
  <c r="I36" i="1"/>
  <c r="H36" i="1"/>
  <c r="G36" i="1"/>
  <c r="F36" i="1"/>
  <c r="D36" i="1"/>
  <c r="B36" i="1"/>
  <c r="S35" i="1"/>
  <c r="L35" i="1"/>
  <c r="K35" i="1"/>
  <c r="J35" i="1"/>
  <c r="H35" i="1"/>
  <c r="G35" i="1"/>
  <c r="F35" i="1"/>
  <c r="D35" i="1"/>
  <c r="B35" i="1"/>
  <c r="S34" i="1"/>
  <c r="L34" i="1"/>
  <c r="K34" i="1"/>
  <c r="J34" i="1"/>
  <c r="H34" i="1"/>
  <c r="G34" i="1"/>
  <c r="F34" i="1"/>
  <c r="D34" i="1"/>
  <c r="B34" i="1"/>
  <c r="S33" i="1"/>
  <c r="L33" i="1"/>
  <c r="K33" i="1"/>
  <c r="J33" i="1"/>
  <c r="H33" i="1"/>
  <c r="G33" i="1"/>
  <c r="F33" i="1"/>
  <c r="D33" i="1"/>
  <c r="B33" i="1"/>
  <c r="S32" i="1"/>
  <c r="Q32" i="1"/>
  <c r="L32" i="1"/>
  <c r="K32" i="1"/>
  <c r="J32" i="1"/>
  <c r="I32" i="1"/>
  <c r="H32" i="1"/>
  <c r="G32" i="1"/>
  <c r="F32" i="1"/>
  <c r="D32" i="1"/>
  <c r="B32" i="1"/>
  <c r="S31" i="1"/>
  <c r="Q31" i="1"/>
  <c r="L31" i="1"/>
  <c r="K31" i="1"/>
  <c r="J31" i="1"/>
  <c r="I31" i="1"/>
  <c r="H31" i="1"/>
  <c r="F31" i="1"/>
  <c r="D31" i="1"/>
  <c r="B31" i="1"/>
  <c r="S30" i="1"/>
  <c r="L30" i="1"/>
  <c r="K30" i="1"/>
  <c r="J30" i="1"/>
  <c r="H30" i="1"/>
  <c r="G30" i="1"/>
  <c r="F30" i="1"/>
  <c r="D30" i="1"/>
  <c r="B30" i="1"/>
  <c r="S29" i="1"/>
  <c r="L29" i="1"/>
  <c r="K29" i="1"/>
  <c r="J29" i="1"/>
  <c r="H29" i="1"/>
  <c r="G29" i="1"/>
  <c r="F29" i="1"/>
  <c r="D29" i="1"/>
  <c r="B29" i="1"/>
  <c r="S28" i="1"/>
  <c r="L28" i="1"/>
  <c r="K28" i="1"/>
  <c r="J28" i="1"/>
  <c r="I28" i="1"/>
  <c r="H28" i="1"/>
  <c r="F28" i="1"/>
  <c r="D28" i="1"/>
  <c r="B28" i="1"/>
  <c r="S27" i="1"/>
  <c r="L27" i="1"/>
  <c r="K27" i="1"/>
  <c r="J27" i="1"/>
  <c r="H27" i="1"/>
  <c r="G27" i="1"/>
  <c r="F27" i="1"/>
  <c r="D27" i="1"/>
  <c r="B27" i="1"/>
  <c r="S26" i="1"/>
  <c r="L26" i="1"/>
  <c r="K26" i="1"/>
  <c r="J26" i="1"/>
  <c r="H26" i="1"/>
  <c r="G26" i="1"/>
  <c r="F26" i="1"/>
  <c r="D26" i="1"/>
  <c r="B26" i="1"/>
  <c r="S25" i="1"/>
  <c r="L25" i="1"/>
  <c r="K25" i="1"/>
  <c r="J25" i="1"/>
  <c r="H25" i="1"/>
  <c r="G25" i="1"/>
  <c r="F25" i="1"/>
  <c r="D25" i="1"/>
  <c r="B25" i="1"/>
  <c r="S24" i="1"/>
  <c r="L24" i="1"/>
  <c r="K24" i="1"/>
  <c r="J24" i="1"/>
  <c r="H24" i="1"/>
  <c r="G24" i="1"/>
  <c r="F24" i="1"/>
  <c r="D24" i="1"/>
  <c r="B24" i="1"/>
  <c r="S23" i="1"/>
  <c r="L23" i="1"/>
  <c r="K23" i="1"/>
  <c r="J23" i="1"/>
  <c r="H23" i="1"/>
  <c r="G23" i="1"/>
  <c r="F23" i="1"/>
  <c r="D23" i="1"/>
  <c r="B23" i="1"/>
  <c r="S22" i="1"/>
  <c r="L22" i="1"/>
  <c r="K22" i="1"/>
  <c r="J22" i="1"/>
  <c r="H22" i="1"/>
  <c r="G22" i="1"/>
  <c r="F22" i="1"/>
  <c r="D22" i="1"/>
  <c r="B22" i="1"/>
  <c r="S21" i="1"/>
  <c r="L21" i="1"/>
  <c r="K21" i="1"/>
  <c r="J21" i="1"/>
  <c r="H21" i="1"/>
  <c r="G21" i="1"/>
  <c r="F21" i="1"/>
  <c r="D21" i="1"/>
  <c r="B21" i="1"/>
  <c r="S20" i="1"/>
  <c r="Q20" i="1"/>
  <c r="L20" i="1"/>
  <c r="K20" i="1"/>
  <c r="J20" i="1"/>
  <c r="I20" i="1"/>
  <c r="H20" i="1"/>
  <c r="G20" i="1"/>
  <c r="F20" i="1"/>
  <c r="D20" i="1"/>
  <c r="B20" i="1"/>
  <c r="S19" i="1"/>
  <c r="L19" i="1"/>
  <c r="K19" i="1"/>
  <c r="J19" i="1"/>
  <c r="H19" i="1"/>
  <c r="G19" i="1"/>
  <c r="F19" i="1"/>
  <c r="D19" i="1"/>
  <c r="B19" i="1"/>
  <c r="S18" i="1"/>
  <c r="Q18" i="1"/>
  <c r="L18" i="1"/>
  <c r="K18" i="1"/>
  <c r="J18" i="1"/>
  <c r="I18" i="1"/>
  <c r="H18" i="1"/>
  <c r="G18" i="1"/>
  <c r="F18" i="1"/>
  <c r="D18" i="1"/>
  <c r="B18" i="1"/>
  <c r="S17" i="1"/>
  <c r="Q17" i="1"/>
  <c r="L17" i="1"/>
  <c r="K17" i="1"/>
  <c r="J17" i="1"/>
  <c r="H17" i="1"/>
  <c r="G17" i="1"/>
  <c r="F17" i="1"/>
  <c r="D17" i="1"/>
  <c r="B17" i="1"/>
  <c r="S16" i="1"/>
  <c r="L16" i="1"/>
  <c r="K16" i="1"/>
  <c r="J16" i="1"/>
  <c r="H16" i="1"/>
  <c r="G16" i="1"/>
  <c r="F16" i="1"/>
  <c r="D16" i="1"/>
  <c r="B16" i="1"/>
  <c r="S15" i="1"/>
  <c r="Q15" i="1"/>
  <c r="L15" i="1"/>
  <c r="K15" i="1"/>
  <c r="J15" i="1"/>
  <c r="H15" i="1"/>
  <c r="G15" i="1"/>
  <c r="F15" i="1"/>
  <c r="D15" i="1"/>
  <c r="B15" i="1"/>
  <c r="S14" i="1"/>
  <c r="L14" i="1"/>
  <c r="K14" i="1"/>
  <c r="J14" i="1"/>
  <c r="H14" i="1"/>
  <c r="G14" i="1"/>
  <c r="F14" i="1"/>
  <c r="D14" i="1"/>
  <c r="B14" i="1"/>
  <c r="S13" i="1"/>
  <c r="L13" i="1"/>
  <c r="K13" i="1"/>
  <c r="J13" i="1"/>
  <c r="H13" i="1"/>
  <c r="G13" i="1"/>
  <c r="F13" i="1"/>
  <c r="D13" i="1"/>
  <c r="B13" i="1"/>
  <c r="S12" i="1"/>
  <c r="L12" i="1"/>
  <c r="K12" i="1"/>
  <c r="J12" i="1"/>
  <c r="H12" i="1"/>
  <c r="G12" i="1"/>
  <c r="F12" i="1"/>
  <c r="D12" i="1"/>
  <c r="B12" i="1"/>
  <c r="S11" i="1"/>
  <c r="L11" i="1"/>
  <c r="K11" i="1"/>
  <c r="J11" i="1"/>
  <c r="H11" i="1"/>
  <c r="G11" i="1"/>
  <c r="F11" i="1"/>
  <c r="D11" i="1"/>
  <c r="B11" i="1"/>
  <c r="S10" i="1"/>
  <c r="L10" i="1"/>
  <c r="K10" i="1"/>
  <c r="J10" i="1"/>
  <c r="H10" i="1"/>
  <c r="G10" i="1"/>
  <c r="F10" i="1"/>
  <c r="D10" i="1"/>
  <c r="B10" i="1"/>
  <c r="S9" i="1"/>
  <c r="L9" i="1"/>
  <c r="K9" i="1"/>
  <c r="J9" i="1"/>
  <c r="H9" i="1"/>
  <c r="G9" i="1"/>
  <c r="F9" i="1"/>
  <c r="D9" i="1"/>
  <c r="B9" i="1"/>
  <c r="S8" i="1"/>
  <c r="L8" i="1"/>
  <c r="K8" i="1"/>
  <c r="J8" i="1"/>
  <c r="H8" i="1"/>
  <c r="G8" i="1"/>
  <c r="F8" i="1"/>
  <c r="D8" i="1"/>
  <c r="B8" i="1"/>
  <c r="S7" i="1"/>
  <c r="L7" i="1"/>
  <c r="K7" i="1"/>
  <c r="J7" i="1"/>
  <c r="H7" i="1"/>
  <c r="G7" i="1"/>
  <c r="F7" i="1"/>
  <c r="D7" i="1"/>
  <c r="B7" i="1"/>
  <c r="S6" i="1"/>
  <c r="L6" i="1"/>
  <c r="K6" i="1"/>
  <c r="J6" i="1"/>
  <c r="H6" i="1"/>
  <c r="G6" i="1"/>
  <c r="F6" i="1"/>
  <c r="D6" i="1"/>
  <c r="B6" i="1"/>
  <c r="S5" i="1"/>
  <c r="L5" i="1"/>
  <c r="K5" i="1"/>
  <c r="J5" i="1"/>
  <c r="H5" i="1"/>
  <c r="G5" i="1"/>
  <c r="F5" i="1"/>
  <c r="D5" i="1"/>
  <c r="B5" i="1"/>
  <c r="S4" i="1"/>
  <c r="Q4" i="1"/>
  <c r="L4" i="1"/>
  <c r="K4" i="1"/>
  <c r="J4" i="1"/>
  <c r="H4" i="1"/>
  <c r="G4" i="1"/>
  <c r="F4" i="1"/>
  <c r="D4" i="1"/>
  <c r="B4" i="1"/>
  <c r="S3" i="1"/>
  <c r="L3" i="1"/>
  <c r="K3" i="1"/>
  <c r="J3" i="1"/>
  <c r="H3" i="1"/>
  <c r="G3" i="1"/>
  <c r="F3" i="1"/>
  <c r="D3" i="1"/>
  <c r="B3" i="1"/>
  <c r="S2" i="1"/>
  <c r="L2" i="1"/>
  <c r="K2" i="1"/>
  <c r="J2" i="1"/>
  <c r="H2" i="1"/>
  <c r="G2" i="1"/>
  <c r="F2" i="1"/>
  <c r="D2" i="1"/>
  <c r="B2" i="1"/>
</calcChain>
</file>

<file path=xl/sharedStrings.xml><?xml version="1.0" encoding="utf-8"?>
<sst xmlns="http://schemas.openxmlformats.org/spreadsheetml/2006/main" count="26350" uniqueCount="2444">
  <si>
    <t>汇总</t>
  </si>
  <si>
    <t>客户电话</t>
  </si>
  <si>
    <t>来电地区</t>
  </si>
  <si>
    <t>热线号码</t>
  </si>
  <si>
    <t>IVR</t>
  </si>
  <si>
    <t>队列号</t>
  </si>
  <si>
    <t>队列名</t>
  </si>
  <si>
    <t>座席工号</t>
  </si>
  <si>
    <t>座席姓名</t>
  </si>
  <si>
    <t>座席电话</t>
  </si>
  <si>
    <t>开始时间</t>
  </si>
  <si>
    <t>接通时间</t>
  </si>
  <si>
    <t>通话时长</t>
  </si>
  <si>
    <t>接听状态</t>
  </si>
  <si>
    <t>挂机方</t>
  </si>
  <si>
    <t>总时长</t>
  </si>
  <si>
    <t>录音</t>
  </si>
  <si>
    <t>话费（元）</t>
  </si>
  <si>
    <t>自定义字段</t>
  </si>
  <si>
    <t>备注</t>
  </si>
  <si>
    <t>是否在案例库</t>
  </si>
  <si>
    <t>质检评分</t>
  </si>
  <si>
    <t>质检备注</t>
  </si>
  <si>
    <t>北京/北京</t>
  </si>
  <si>
    <t>114肿瘤</t>
  </si>
  <si>
    <t>杨明</t>
  </si>
  <si>
    <t>人工接听</t>
  </si>
  <si>
    <t>座席</t>
  </si>
  <si>
    <t>20170415/3004063-20170415204140-TMTJiMDk3ZDU0NzdjZjQ5YTA3ZTMzZDE4ZDZhNzQwMTI=-01043977569-record-10.10.62.138-1492260100.238210.mp3</t>
  </si>
  <si>
    <t>无</t>
  </si>
  <si>
    <t>不在</t>
  </si>
  <si>
    <t>付蕾</t>
  </si>
  <si>
    <t>20170415/3004063-20170415200937-TM2U3N2IyNWIyYTgwNThjNmNlNDQzYjE0NDFlYTEyYjY=-01043977568-record-10.10.62.138-1492258177.231885.mp3</t>
  </si>
  <si>
    <t>人工未接听</t>
  </si>
  <si>
    <t>客户</t>
  </si>
  <si>
    <t>天津/天津</t>
  </si>
  <si>
    <t>吴多良</t>
  </si>
  <si>
    <t>20170415/3004063-20170415184027-TNzczNjU1ODJhYmQ1N2M4MDNkMTE3ZjcxODc2MTE0MGE=-01043977572-record-10.10.62.138-1492252827.210472.mp3</t>
  </si>
  <si>
    <t>内蒙/乌兰察布市</t>
  </si>
  <si>
    <t>20170415/3004063-20170415182936-TNjA4ZmRjMTg4ODM3NTY2MGExOGIwYjk5MjZhYjIwZWU=-01043977568-record-10.10.62.138-1492252176.207562.mp3</t>
  </si>
  <si>
    <t>20170415/3004063-20170415171948-TYzFjYTNiZTFkYmZlNzdkZTFkYWY0YWU2ZmFhMjIzZGM=-01043977569-record-10.10.62.138-1492247988.192236.mp3</t>
  </si>
  <si>
    <t>内蒙/乌海</t>
  </si>
  <si>
    <t>20170415/3004063-20170415171730-TZDFmNzhiZWExN2E5MDFjNmNiMmI2MTJlODk5YjU4OGU=-01043977572-record-10.10.62.138-1492247850.191487.mp3</t>
  </si>
  <si>
    <t>20170415/3004063-20170415161803-TNWU1YTdhNDRjMGUzYmJlOWJlNmNjMTY4ZmQwMTc3ZWI=-01043977568-record-10.10.62.138-1492244283.168541.mp3</t>
  </si>
  <si>
    <t>河北/张家口</t>
  </si>
  <si>
    <t>20170415/3004063-20170415155830-TNzc0YzcyNzZhNWVhNTQ0MzcwYjBkYWU1MDk2OWU3NTM=-01043977572-record-10.10.62.138-1492243110.160362.mp3</t>
  </si>
  <si>
    <t>20170415/3004063-20170415153747-TM2FkYmVhZmU1MDRmYmU0ZDg0MzUyYzUxMzdjM2FmYmU=-01043977568-record-10.10.62.138-1492241867.151019.mp3</t>
  </si>
  <si>
    <t>20170415/3004063-20170415152404-TY2U4ZTFmOGUyMWFhYTM4ZjIzNzFjYzU4MWFkMWNiYzI=-01043977572-record-10.10.62.138-1492241044.144816.mp3</t>
  </si>
  <si>
    <t>20170415/3004063-20170415144749-TMjk0OTRiOWUwMjJiODA2ZGFjMDdlZTE2ZDNkNjEyZTk=-01043977568-record-10.10.62.138-1492238869.128251.mp3</t>
  </si>
  <si>
    <t>山东/东营</t>
  </si>
  <si>
    <t>20170415/3004063-20170415143801-TNWNkNzg5NDk1YzI3M2UyZTBmM2U5ZGU3ODIwYzI4YWE=-01043977568-record-10.10.62.138-1492238281.123669.mp3</t>
  </si>
  <si>
    <t>河北/廊坊</t>
  </si>
  <si>
    <t>20170415/3004063-20170415130408-TMzJmZTU5OGYzNTMxMjZhNDcxMjhjYzFhYTRmODY4YmU=-01043977572-record-10.10.62.138-1492232648.89930.mp3</t>
  </si>
  <si>
    <t>400呼入</t>
  </si>
  <si>
    <t>李燕龙2</t>
  </si>
  <si>
    <t>系统应答</t>
  </si>
  <si>
    <t>20170415/3004063-20170415115119-TMjk3OWNlMTJhMzU2M2JjY2U1ODc0MGE1ZTQzYzQ0NjM=-01043977568-record-10.10.62.138-1492228279.72228.mp3</t>
  </si>
  <si>
    <t>20170415/3004063-20170415113018-TYWE2OGY1MmI2MTQ5ZWQ1ODNmMDU3NTY5YjRlNjE1YTA=-01043977568-record-10.10.62.138-1492227018.63169.mp3</t>
  </si>
  <si>
    <t>20170415/3004063-20170415112913-TODRkMTgyODQ0ODY1YTc2MWI4NTI5ZjgzMTIwZmEyMGU=-01043977569-record-10.10.62.138-1492226953.62722.mp3</t>
  </si>
  <si>
    <t>20170415/3004063-20170415112200-TYzdmMWMzNmJkYzI3ZTA4OWVmNGMyZWQyNDM1MzE0NWQ=-01043977572-record-10.10.62.138-1492226520.59571.mp3</t>
  </si>
  <si>
    <t>20170415/3004063-20170415111339-TMGU1NzhmZDEyOGQ3YjM3NTBkZDY1MWI3MGM1N2NiNWE=-01043977572-record-10.10.62.138-1492226019.55804.mp3</t>
  </si>
  <si>
    <t>20170415/3004063-20170415110700-TNTc2N2JkZTk5NDI5ZmNiYWM1ZmY5MzJiYWM4OTkyNzA=-01043977568-record-10.10.62.138-1492225620.52793.mp3</t>
  </si>
  <si>
    <t>20170415/3004063-20170415104807-TYThjMTBhNDU4N2Q4MTk4NGExMmJlODg1M2U2NWE5Yjk=-01043977572-record-10.10.62.138-1492224487.44565.mp3</t>
  </si>
  <si>
    <t>20170415/3004063-20170415104528-TMzgwMzYxNTRkZDdiNzlkZTMyZDQ4NTJhNTQ5Yjc1Njk=-01043977568-record-10.10.62.138-1492224328.43387.mp3</t>
  </si>
  <si>
    <t>江西/抚州</t>
  </si>
  <si>
    <t>今唐健康</t>
  </si>
  <si>
    <t>20170415/3004063-20170415104518-TNzUwY2VkZjEzODZiNjdmMTljOTg5M2I0MWM4ZWY3MGI=-01000000000-record-10.10.62.138-1492224318.43306.mp3</t>
  </si>
  <si>
    <t>湖北/十堰</t>
  </si>
  <si>
    <t>20170415/3004063-20170415104039-TMDI0NGM4YTFlYmIyN2IxM2JkYjFhMWEyYTZhZDFmNzY=-01043977568-record-10.10.62.138-1492224039.41162.mp3</t>
  </si>
  <si>
    <t>黑龙江/哈尔滨</t>
  </si>
  <si>
    <t>20170415/3004063-20170415103039-TODEyYmJkYWFlNWIwMjkwOWRmNjVjOTE2NDViNzAyYjY=-01043977569-record-10.10.62.138-1492223439.36779.mp3</t>
  </si>
  <si>
    <t>陈超</t>
  </si>
  <si>
    <t>20170415/3004063-20170415100824-TYWZmNTQ3YTc5NjJhNDY1NTczODBmNDZjNDg5ZTFiY2I=-01043977571-record-10.10.62.138-1492222104.27002.mp3</t>
  </si>
  <si>
    <t>20170415/3004063-20170415100613-TY2RiNTZjMTI3Y2Q1ZGE0MGE2ZDA3Yzg4ZWJjOTg2ZGQ=-01043977572-record-10.10.62.138-1492221973.26176.mp3</t>
  </si>
  <si>
    <t>20170415/3004063-20170415095654-TYTJjYTk2MDkwMDZjYWQ1YmU3NzVkNzFjMGMyNjNjMmU=-01043977568-record-10.10.62.138-1492221414.23198.mp3</t>
  </si>
  <si>
    <t>20170415/3004063-20170415094737-TZWM1MmFiZjc0YjJjZTdlMjA5YjJlYmZlOTk2NWEwNWU=-01043977569-record-10.10.62.138-1492220857.20392.mp3</t>
  </si>
  <si>
    <t>河北/唐山</t>
  </si>
  <si>
    <t>20170415/3004063-20170415094356-TY2E4YjFkYzQzZDg1NTA4ZDg4NWJmZTg1NTlhMjNlYzg=-01043977571-record-10.10.62.138-1492220636.19283.mp3</t>
  </si>
  <si>
    <t>辽宁/沈阳</t>
  </si>
  <si>
    <t>20170415/3004063-20170415093348-TYjhlN2U5OWVhZWNkZDZjNjM4NTc3YjAxYjIxY2Q0Y2Q=-01043977572-record-10.10.62.138-1492220028.16552.mp3</t>
  </si>
  <si>
    <t>河北/衡水</t>
  </si>
  <si>
    <t>河北/石家庄</t>
  </si>
  <si>
    <t>20170415/3004063-20170415092134-TM2Y2NzA4NzFmNzk0OWZmMjI0ZjIwNGYxYzIyOGQ4N2Q=-01043977569-record-10.10.62.138-1492219294.13374.mp3</t>
  </si>
  <si>
    <t>四川/泸州</t>
  </si>
  <si>
    <t>20170415/3004063-20170415090948-TNzRjNzY0ZDU1MzUwZjM1MjYwMWI1MGY0NGE0NWZlM2Q=-01043977572-record-10.10.62.138-1492218588.10591.mp3</t>
  </si>
  <si>
    <t>辽宁/阜新</t>
  </si>
  <si>
    <t>20170415/3004063-20170415090824-TMTFmMWUyYjc1YzZmZTY1YTIyMmRmMmE2ZWYyYjAxZjQ=-01043977569-record-10.10.62.138-1492218504.10269.mp3</t>
  </si>
  <si>
    <t>山东/临沂</t>
  </si>
  <si>
    <t>20170415/3004063-20170415085429-TYjkxYWY5YjNiNzU5MzBlNzU1ZmM2Y2UzZDA5ZDg1MjA=-01043977572-record-10.10.62.138-1492217669.7432.mp3</t>
  </si>
  <si>
    <t>20170415/3004063-20170415084527-TMzkzOGRiODQyOGM0YzQ4YzM5OTI1ZGVjNzA1NTlkMWU=-01043977569-record-10.10.62.138-1492217127.6312.mp3</t>
  </si>
  <si>
    <t>20170415/3004063-20170415084404-TNjcwYTM3NDJlNjM1ODBkMmJhYjBmZTIzNzk3NjZkOGQ=-01043977572-record-10.10.62.138-1492217044.6148.mp3</t>
  </si>
  <si>
    <t>广西/南宁|崇左</t>
  </si>
  <si>
    <t>黑龙江/黑河</t>
  </si>
  <si>
    <t>20170415/3004063-20170415080038-TMTQ5ZGU0ODk1ZGM5OTBkOWJlMGE4MzFmNDE3YmU3MDI=-01043977572-record-10.10.62.138-1492214438.2202.mp3</t>
  </si>
  <si>
    <t>湖北/武汉</t>
  </si>
  <si>
    <t>张思宇</t>
  </si>
  <si>
    <t>20170414/3004063-20170414194741-TMmI2NTdmMjUwNGU1YTUzMDAxOTQwZGMyYmQwMDc0OWQ=-01043977565-record-10.10.62.138-1492170461.287947.mp3</t>
  </si>
  <si>
    <t>河北/邯郸</t>
  </si>
  <si>
    <t>20170414/3004063-20170414191451-TMjU1MjdmMzVlMWRlYjkxZDFlODIzOTQ0YTRiZDEzNGE=-01043977565-record-10.10.62.138-1492168491.280315.mp3</t>
  </si>
  <si>
    <t>河北/保定</t>
  </si>
  <si>
    <t>20170414/3004063-20170414184018-TOGE3YjY0OWI2MTAzZDExYzYxMjJjYzVhNzI2Y2IwN2I=-01043977568-record-10.10.62.138-1492166418.271456.mp3</t>
  </si>
  <si>
    <t>20170414/3004063-20170414173523-TZjA2OTcyYTMwNmQ5YWFlMzdmNzllMjBhOTIzZjgyZDQ=-01043977571-record-10.10.62.138-1492162523.247468.mp3</t>
  </si>
  <si>
    <t>山西/大同</t>
  </si>
  <si>
    <t>20170414/3004063-20170414171928-TMGQ4YmNhNTNhMDA1ZjM1ZTVkOTM5YmNjMDdiZDYzYjc=-01043977572-record-10.10.62.138-1492161568.239854.mp3</t>
  </si>
  <si>
    <t>20170414/3004063-20170414164407-TOTg1ODVkN2Q5OTMxMmEzZjNlYTgzNzA4M2YwOThkNDg=-01043977565-record-10.10.62.138-1492159447.221048.mp3</t>
  </si>
  <si>
    <t>山西/忻州</t>
  </si>
  <si>
    <t>赵丹丹</t>
  </si>
  <si>
    <t>20170414/3004063-20170414163745-TZGNiN2VmNWMzOWMyYjU5YTY0OTAzNTUwZWMzNzg5NWY=-01043977567-record-10.10.62.138-1492159065.217336.mp3</t>
  </si>
  <si>
    <t>20170414/3004063-20170414163424-TMzUwY2NiNGZiNzllNWJhNzVmYTFkNDQyZjVhYmEwZTM=-01043977571-record-10.10.62.138-1492158864.215369.mp3</t>
  </si>
  <si>
    <t>河北/沧州</t>
  </si>
  <si>
    <t>20170414/3004063-20170414162830-TMTI0ZDY0MDYzZTIxMTViNjVhNmVhMGQ2OGNmYmUyOWE=-01043977568-record-10.10.62.138-1492158510.212008.mp3</t>
  </si>
  <si>
    <t>20170414/3004063-20170414160744-TZTY5YjUyODdiNzFkNjhiZTdmNmYwMDdiZjVhNmMwZjc=-01043977565-record-10.10.62.138-1492157264.200530.mp3</t>
  </si>
  <si>
    <t>辽宁/朝阳</t>
  </si>
  <si>
    <t>内蒙/呼和浩特</t>
  </si>
  <si>
    <t>20170414/3004063-20170414152438-TODU5OWEyNDJiNzJlMDBmOTJhODA5MWM5MGQ1ZWQyMWM=-01043977568-record-10.10.62.138-1492154678.176179.mp3</t>
  </si>
  <si>
    <t>20170414/3004063-20170414150612-TODAxNDFkMDhhNTNkOTMwODYyNjZlNmE4ZTU0MjkzYzc=-01043977568-record-10.10.62.138-1492153572.166147.mp3</t>
  </si>
  <si>
    <t>黑龙江/伊春</t>
  </si>
  <si>
    <t>20170414/3004063-20170414144237-TNTYzMjI2YTM4ZjU4MmU4NzM3MjRhODY4YzdjMjRkN2Y=-01043977567-record-10.10.62.138-1492152157.153157.mp3</t>
  </si>
  <si>
    <t>山西/朔州</t>
  </si>
  <si>
    <t>仵凤</t>
  </si>
  <si>
    <t>20170414/3004063-20170414142708-TMjQzMDgwZThlZTc2NzhiOGExMDczZjFiMjBhZTE4NWY=-01043977566-record-10.10.62.138-1492151228.144764.mp3</t>
  </si>
  <si>
    <t>20170414/3004063-20170414141654-TNGUwMjg1MDdlNzFjZjY2ZmU5MjAxYzliMThmNzlkZTk=-01043977572-record-10.10.62.138-1492150614.139057.mp3</t>
  </si>
  <si>
    <t>湖南/邵阳</t>
  </si>
  <si>
    <t>20170414/3004063-20170414133357-TMDA1ZDgxYzZjMzdhNDJkNjBkYjMxM2ZhYTgyOWY4M2Q=-01043977565-record-10.10.62.138-1492148037.119311.mp3</t>
  </si>
  <si>
    <t>20170414/3004063-20170414133334-TZDI2MjQ0NzIzNzA4ODVhOWUyMmEyZjdhMWJlNGNmNTQ=-01043977568-record-10.10.62.138-1492148014.119168.mp3</t>
  </si>
  <si>
    <t>20170414/3004063-20170414132932-TNDc2YTk0ZjIyZDQ2YjBkNjQwOTJmNzAyY2Q4YTVjMzA=-01043977568-record-10.10.62.138-1492147772.117765.mp3</t>
  </si>
  <si>
    <t>内蒙/包头</t>
  </si>
  <si>
    <t>辽宁/大连</t>
  </si>
  <si>
    <t>20170414/3004063-20170414131728-TYTBjYmI5MTQzODM4NTQ0ZjA0MTcyZGQ3NTY0NjI1Y2E=-01043977565-record-10.10.62.138-1492147048.113849.mp3</t>
  </si>
  <si>
    <t>杨勇</t>
  </si>
  <si>
    <t>20170414/3004063-20170414131050-TZmQ4NDU5MjVhN2EyNTI5YTk1NzRmZDgzNDRhZGI0YTA=-13699138136-record-10.10.62.138-1492146650.111788.mp3</t>
  </si>
  <si>
    <t>20170414/3004063-20170414130723-TMjY0YjYxMTNmOTkxYTZkNjcwZjZhYzk3NmRjYThlOTc=-01043977568-record-10.10.62.138-1492146443.110915.mp3</t>
  </si>
  <si>
    <t>内蒙/呼伦贝尔</t>
  </si>
  <si>
    <t>20170414/3004063-20170414130518-TNGQ5ZTAzZGVmYjBhZjYzYzY5N2Y1NGFjYTExMjE3YjM=-01043977568-record-10.10.62.138-1492146318.110363.mp3</t>
  </si>
  <si>
    <t>20170414/3004063-20170414125130-TYzhjMTIyNmVkZTZjNjU0NjVjNDNiZmE0M2Y4NmFkNGE=-01043977566-record-10.10.62.138-1492145490.107026.mp3</t>
  </si>
  <si>
    <t>张振鹏</t>
  </si>
  <si>
    <t>20170414/3004063-20170414124644-TZmQ4NDU5MjVhN2EyNTI5YTk1NzRmZDgzNDRhZGI0YTA=-01043989717-record-10.10.62.138-1492145204.106035.mp3</t>
  </si>
  <si>
    <t>河北/承德</t>
  </si>
  <si>
    <t>20170414/3004063-20170414122347-TMzE2Njc5ZTU2MGQxNTBhZTFmZWNkZmIwOGMzNTBjMGI=-01043989717-record-10.10.62.138-1492143827.100684.mp3</t>
  </si>
  <si>
    <t>20170414/3004063-20170414121619-TYjQzYTE3Y2Q1NDA3NjQxMWMyZThiMzJkOTExYThmMjg=-01043977565-record-10.10.62.138-1492143379.98677.mp3</t>
  </si>
  <si>
    <t>20170414/3004063-20170414121616-TODhiOGEyZTg2NmRlMjZkNTAzOTY4MGQyYzQ5MDFjN2Q=-01043977568-record-10.10.62.138-1492143376.98660.mp3</t>
  </si>
  <si>
    <t>20170414/3004063-20170414120538-TMDBhYmM0NDU2YTZkYTViZTJhNDNjY2MwZmYzOGI2OTc=-01043977568-record-10.10.62.138-1492142738.95447.mp3</t>
  </si>
  <si>
    <t>20170414/3004063-20170414120128-TOTdjNmJmYjc3ZjQ5NGMxMTFkZWNkMjQ2YTM5ODQwOWY=-01043977566-record-10.10.62.138-1492142488.94123.mp3</t>
  </si>
  <si>
    <t>侯鸿翔</t>
  </si>
  <si>
    <t>20170414/3004063-20170414115618-TZjZjNzQwOTNmNTYzNjIzYTMzYmM4NzYyYTMxOWQ1NzQ=-01043977573-record-10.10.62.138-1492142178.92173.mp3</t>
  </si>
  <si>
    <t>20170414/3004063-20170414115402-TYjgzMWRmNDI4NDlkMDdiOTVjMjk4NWZlNGM4ZTBjYzk=-01043977573-record-10.10.62.138-1492142042.91280.mp3</t>
  </si>
  <si>
    <t>20170414/3004063-20170414114845-TMzY1YjgwYzY2ZDY1NWNiNWMyZGQ4ZWYwNzQxMzRhYTM=-01043977572-record-10.10.62.138-1492141725.88752.mp3</t>
  </si>
  <si>
    <t>20170414/3004063-20170414114254-TN2M1YjRmZjEwNWU4ZDhhZGMyNWM3Nzg5ZTA4NzA0Mjg=-01043977567-record-10.10.62.138-1492141374.85773.mp3</t>
  </si>
  <si>
    <t>陈超2</t>
  </si>
  <si>
    <t>20170414/3004063-20170414112928-TYzI1Y2E1YzE4YmFkZGNlMzdjNTE3NTBmNjJmNTZiMDg=-13718091869-record-10.10.62.138-1492140568.78879.mp3</t>
  </si>
  <si>
    <t>陕西/西安</t>
  </si>
  <si>
    <t>20170414/3004063-20170414111951-TNGI4YzFhMGQzNzU0NzRiMWUwZWNjODhjNTNlMzI2NjQ=-01043977567-record-10.10.62.138-1492139991.73836.mp3</t>
  </si>
  <si>
    <t>20170414/3004063-20170414111701-TM2M1NmZhOGJiNjgzOTZmNzY2OGRjM2JiYTAxMTNkMzc=-01043989717-record-10.10.62.138-1492139821.72372.mp3</t>
  </si>
  <si>
    <t>20170414/3004063-20170414111103-TMzY1YjgwYzY2ZDY1NWNiNWMyZGQ4ZWYwNzQxMzRhYTM=-01043977572-record-10.10.62.138-1492139463.69214.mp3</t>
  </si>
  <si>
    <t>20170414/3004063-20170414111004-TMzY1YjgwYzY2ZDY1NWNiNWMyZGQ4ZWYwNzQxMzRhYTM=-01043977572-record-10.10.62.138-1492139404.68704.mp3</t>
  </si>
  <si>
    <t>20170414/3004063-20170414110836-TMzY1YjgwYzY2ZDY1NWNiNWMyZGQ4ZWYwNzQxMzRhYTM=-01043977572-record-10.10.62.138-1492139316.67934.mp3</t>
  </si>
  <si>
    <t>20170414/3004063-20170414103457-TNTdiMTBmYzE1NjI4OTFiYTRiYWQwNTI2NGIwMmU3MjE=-01043977567-record-10.10.62.138-1492137297.48852.mp3</t>
  </si>
  <si>
    <t>湖南/长沙|湘潭|株洲</t>
  </si>
  <si>
    <t>20170414/3004063-20170414102410-TNzdmOWI1NDg5MDNmYjUwMTM5YWUyYTBhNTE1ZWY2NTA=-01043977567-record-10.10.62.138-1492136650.42577.mp3</t>
  </si>
  <si>
    <t>未知地区</t>
  </si>
  <si>
    <t>20170414/3004063-20170414095438-TZmE0YjU4M2M4ODMxNzc3NjYwODNhODEyYzUyMzE0ZDA=-01043989717-record-10.10.62.138-1492134878.27109.mp3</t>
  </si>
  <si>
    <t>20170414/3004063-20170414095258-TZjRiMGRjMjRkMTdmNzNlY2E5NjhiYzU0YmI0NDYwMDI=-01043977567-record-10.10.62.138-1492134778.26205.mp3</t>
  </si>
  <si>
    <t>20170414/3004063-20170414095145-TYjg0MDRmZTcxODE2MmM3ZjFiYjQ0YWQyYTQ1YmQwYTE=-01043989717-record-10.10.62.138-1492134705.25566.mp3</t>
  </si>
  <si>
    <t>20170414/3004063-20170414094350-TOGY3ZTQ4YTUwMTE5MTllMjI1YTBlNjJkZmUyY2EwZDg=-01043977567-record-10.10.62.138-1492134230.21434.mp3</t>
  </si>
  <si>
    <t>20170414/3004063-20170414094350-TMDRkMTgyMzk3ZTQxNzdiNjdmYzRiY2UyMzY4NWU1MmI=-01043977573-record-10.10.62.138-1492134230.21436.mp3</t>
  </si>
  <si>
    <t>20170414/3004063-20170414093220-TNGI5MjI3NTQwYmQ1MGM5ZWJmYzJjYzUwZjAzOWMyM2I=-01043989717-record-10.10.62.138-1492133540.15838.mp3</t>
  </si>
  <si>
    <t>20170414/3004063-20170414092611-TYzUwZGYxNzgzZDcyMDc0OWI4OTgxZTRiNjE0YzNmZDQ=-01043977572-record-10.10.62.138-1492133171.13450.mp3</t>
  </si>
  <si>
    <t>20170414/3004063-20170414091953-TYTM3NmFkMzMwNDExODA3MzI0NTYzNzg0ZWM0Y2Q2Nzc=-01043977573-record-10.10.62.138-1492132793.11315.mp3</t>
  </si>
  <si>
    <t>20170414/3004063-20170414091110-TNTBkNjY5NTRkZjI4ODIzZTdlYWNhOTFkYWI3Mjc0YzA=-01043977571-record-10.10.62.138-1492132270.8913.mp3</t>
  </si>
  <si>
    <t>20170414/3004063-20170414090652-TN2I4ZDcyYzNlZWQzYzdlMzFlYjY3NDc2ZDllYzRmYzI=-01043989717-record-10.10.62.138-1492132012.7851.mp3</t>
  </si>
  <si>
    <t>吉林/长春</t>
  </si>
  <si>
    <t>20170414/3004063-20170414090547-TZjRlOWE4OWEyMzgwYWVkNjQ1OTQwZDQ0N2EzOGE2MzY=-01043977572-record-10.10.62.138-1492131947.7538.mp3</t>
  </si>
  <si>
    <t>20170414/3004063-20170414090042-TN2MwZjQzMGJmOWI3MTc5ZTViYjY3N2YwZTFmOTlkMjk=-01043989717-record-10.10.62.138-1492131642.6316.mp3</t>
  </si>
  <si>
    <t>20170414/3004063-20170414085758-TZTcyYTFiMGJhZTFlNzgzZmVjYTFkMGVlZmE5MDJiN2E=-01043977573-record-10.10.62.138-1492131478.5914.mp3</t>
  </si>
  <si>
    <t>20170414/3004063-20170414085554-TNDExMjQ2YmNiMjU0ZmY2MzFjYjA0M2YwZTFjMjlkMzg=-01043977567-record-10.10.62.138-1492131354.5681.mp3</t>
  </si>
  <si>
    <t>20170414/3004063-20170414084627-TMDVlYTY3NWVkYTYxMDBlOWZmMjg0NWRlMTA4OGMxZWE=-01043989717-record-10.10.62.138-1492130787.4545.mp3</t>
  </si>
  <si>
    <t>20170414/3004063-20170414084252-TZjJjN2MwMTMyYWQxZDQwYWE1ZDQxNzhjOTE1MjQzODI=-01043977573-record-10.10.62.138-1492130572.4174.mp3</t>
  </si>
  <si>
    <t>20170414/3004063-20170414084117-TNTk5MDljODNhYmFiYjhjNGE4NTE3MGM4MzQzYmFlZWU=-01043977572-record-10.10.62.138-1492130477.4051.mp3</t>
  </si>
  <si>
    <t>20170414/3004063-20170414083226-TZjY1NGU5NWM4MjczMGM5ZGFmNGMyYmIwYzAyNWFmOWM=-01043989717-record-10.10.62.138-1492129946.3428.mp3</t>
  </si>
  <si>
    <t>20170414/3004063-20170414082632-TZWEyYmI0ZGM2OTk5NzIxMGQ1MmYwZjI1Y2EzNzNhNTY=-01043977572-record-10.10.62.138-1492129592.3085.mp3</t>
  </si>
  <si>
    <t>20170414/3004063-20170414082149-TODU0YTljYjM3NDhjMjAwMjgyMzk4NTdkNjNlMDRiNDE=-01043977573-record-10.10.62.138-1492129309.2863.mp3</t>
  </si>
  <si>
    <t>114非工作时间</t>
  </si>
  <si>
    <t>20170414/3004063-20170414073504-TYjc1MTRkMzVmNjk3MzQzZGQzN2Y1NTJkNzdjMDk5ODc=-10.10.62.138-1492126504.1235.mp3</t>
  </si>
  <si>
    <t>留言:公共留言箱</t>
  </si>
  <si>
    <t>20170413/3004063-20170413203853-TNmMxNjk1ODJlNDE3ZTU4YWMwNjIzYWQ3MjMxNzJkOTY=-01043977566-record-10.10.62.138-1492087133.279688.mp3</t>
  </si>
  <si>
    <t>20170413/3004063-20170413203743-TODJiZDQ0MWUwNGQ2OWI1ZWY4ZmNjZGY3YTAyYWRiZTM=-01043977565-record-10.10.62.138-1492087063.279504.mp3</t>
  </si>
  <si>
    <t>20170413/3004063-20170413191605-TMzJlZWNjYWZjM2Y5NTE1NGQzMzQ5ZTE5MGFjYjg2NjA=-01043977568-record-10.10.62.138-1492082165.263405.mp3</t>
  </si>
  <si>
    <t>20170413/3004063-20170413190152-TNWZiOGJlMDRmZWQ0MWZlNmFjNzcyNjgxNjA3OGQwNTc=-01043977568-record-10.10.62.138-1492081312.260210.mp3</t>
  </si>
  <si>
    <t>河北/秦皇岛</t>
  </si>
  <si>
    <t>云南/楚雄</t>
  </si>
  <si>
    <t>20170413/3004063-20170413184159-TYzZlMGJhN2M4ZjU5NzU2NWY5MWY3OTkwMWUwMDc0ODQ=-01043977566-record-10.10.62.138-1492080119.255310.mp3</t>
  </si>
  <si>
    <t>20170413/3004063-20170413184011-TZTUzNzVjOTIxYWM5YzM3YjZmNWMwMjQzMmNkOWZmZDI=-01043977568-record-10.10.62.138-1492080011.254820.mp3</t>
  </si>
  <si>
    <t>20170413/3004063-20170413183417-TMDMxNzIzY2Y0OTUyNTFhOTY3OWNmMDZkNTlmMWQ2ZTM=-01043977565-record-10.10.62.138-1492079657.253310.mp3</t>
  </si>
  <si>
    <t>广东/深圳</t>
  </si>
  <si>
    <t>20170413/3004063-20170413182516-TMjUxNWZiZDQ4N2RhZGQ4NTE2MTBjM2E5ODNlMjNmMTI=-13718091869-record-10.10.62.138-1492079116.250701.mp3</t>
  </si>
  <si>
    <t>20170413/3004063-20170413182455-TYTNlZDA1NDEzNzlmYzFjYzUzZDc0YzM4YTc4YWY1N2Q=-01043977568-record-10.10.62.138-1492079095.250607.mp3</t>
  </si>
  <si>
    <t>20170413/3004063-20170413181952-TNDg5MmYyYTQ1ZGNkYjNkN2RjMzliZGZlYmJlNDUyMDI=-01043977566-record-10.10.62.138-1492078792.248944.mp3</t>
  </si>
  <si>
    <t>20170413/3004063-20170413181112-TMjM3ODY4ZTMxMDM4MGNiMzVkNTAxOTQxM2MwYjdmMDM=-01043977565-record-10.10.62.138-1492078272.246276.mp3</t>
  </si>
  <si>
    <t>20170413/3004063-20170413174253-TMzVmZjJiNmNjOTI1YjVmN2IxZmY3ZWVlMDAxOWE2ZTY=-01043977572-record-10.10.62.138-1492076573.236817.mp3</t>
  </si>
  <si>
    <t>20170413/3004063-20170413172437-TMjU2MzQzMTZjZTM2NDYzOGM1ZDlkZDIxZjI0YTM1NzA=-01043977568-record-10.10.62.138-1492075477.229677.mp3</t>
  </si>
  <si>
    <t>陕西/榆林</t>
  </si>
  <si>
    <t>20170413/3004063-20170413172109-TNDQ0ZTUwODFjYTM2MDEwNTk2ZjU1OGY3YWZmOTRhYmM=-01043977568-record-10.10.62.138-1492075269.227905.mp3</t>
  </si>
  <si>
    <t>20170413/3004063-20170413171724-TMjUxNWZiZDQ4N2RhZGQ4NTE2MTBjM2E5ODNlMjNmMTI=-13718091869-record-10.10.62.138-1492075044.226069.mp3</t>
  </si>
  <si>
    <t>山西/晋城</t>
  </si>
  <si>
    <t>20170413/3004063-20170413170757-TNmY3OWI5NWE4NWQwMDA2NTYyOTdiMjMyZGY2MmFlOTQ=-01043977566-record-10.10.62.138-1492074477.221604.mp3</t>
  </si>
  <si>
    <t>山东/烟台</t>
  </si>
  <si>
    <t>20170413/3004063-20170413165717-TNDBjMGRmMjE3NDJhNzM2ZDg1MDBkMTI5NzU2MGVkYTY=-01043977569-record-10.10.62.138-1492073837.215748.mp3</t>
  </si>
  <si>
    <t>20170413/3004063-20170413165352-TNWRlNTY2ZWVjNmI4ZGVkOWI2MTBiNzRjN2NiNDE1Nzg=-01043977568-record-10.10.62.138-1492073632.213742.mp3</t>
  </si>
  <si>
    <t>20170413/3004063-20170413164433-TYTM3NmFkMzMwNDExODA3MzI0NTYzNzg0ZWM0Y2Q2Nzc=-01043977569-record-10.10.62.138-1492073073.208767.mp3</t>
  </si>
  <si>
    <t>20170413/3004063-20170413164406-TYTYyZDIzNGQ5NjU5MzhiZTg0MWI1NGJjZDk4NTQyODQ=-01043977572-record-10.10.62.138-1492073046.208527.mp3</t>
  </si>
  <si>
    <t>20170413/3004063-20170413164030-TMTZjZjA4YzFkOTY4ZDE5Mjc4ZDE2MTEzYjJmODM2MDQ=-01043977568-record-10.10.62.138-1492072830.206654.mp3</t>
  </si>
  <si>
    <t>20170413/3004063-20170413161749-TNjVjNjBkNWU4NTU1MmM4ZWE4ZTNjMzI2MmI3OGYwYWNiMmQ4MGM0NDhhMjIyODA4NjZkMzhkNzc5MzU5N2M1Mg==-01043977568-record-10.10.62.138-1492071469.194204.mp3</t>
  </si>
  <si>
    <t>20170413/3004063-20170413161435-TNDQ0ZTUwODFjYTM2MDEwNTk2ZjU1OGY3YWZmOTRhYmM=-01043989717-record-10.10.62.138-1492071275.192379.mp3</t>
  </si>
  <si>
    <t>20170413/3004063-20170413161404-TNjg3MmQ3YTBlNmY5MDc5ZWY5ZDRkNjJkNjc4N2IzZWM=-01043977569-record-10.10.62.138-1492071244.192084.mp3</t>
  </si>
  <si>
    <t>20170413/3004063-20170413161139-TZTAxZTExMTlmMDAzNGZiMzBmNDhkMzEzNjRhOTBmODg=-01043977568-record-10.10.62.138-1492071099.190851.mp3</t>
  </si>
  <si>
    <t>20170413/3004063-20170413160416-TOWIxYmE3NzRlZDZkYWNkYWUyNDVkMDk3NTU0MDAzMWY=-01043977568-record-10.10.62.138-1492070656.186921.mp3</t>
  </si>
  <si>
    <t>20170413/3004063-20170413155650-TNjg3MmQ3YTBlNmY5MDc5ZWY5ZDRkNjJkNjc4N2IzZWM=-01043989717-record-10.10.62.138-1492070210.182714.mp3</t>
  </si>
  <si>
    <t>20170413/3004063-20170413154759-TNGFmYWUyMjVjMDA1ZTJhYTkxOGQ3MTFkNzJiZjE5N2E=-01043977572-record-10.10.62.138-1492069679.177733.mp3</t>
  </si>
  <si>
    <t>20170413/3004063-20170413154317-TYzM1ZDI3ODJmZjExMTY0Y2RiMWNhNjYxMzQ3Y2Y4MTM=-01043977573-record-10.10.62.138-1492069397.175265.mp3</t>
  </si>
  <si>
    <t>20170413/3004063-20170413153649-TZDJiOTFlYTM1YWFkMTY1MTA4MDliOTA0MmQyMjQ4Yzc=-01043977568-record-10.10.62.138-1492069009.171792.mp3</t>
  </si>
  <si>
    <t>安徽/芜湖</t>
  </si>
  <si>
    <t>20170413/3004063-20170413152559-TNDg4MWEwODdhZDk3NjEwZWJkODA1ZjQyYWU1MmNiMWI=-01043989717-record-10.10.62.138-1492068359.165634.mp3</t>
  </si>
  <si>
    <t>20170413/3004063-20170413152557-TOTdjYTQwYjYzYTE4NGJlMGYxNDUzZjNjZDJmOWFiNTM=-01043977566-record-10.10.62.138-1492068357.165620.mp3</t>
  </si>
  <si>
    <t>20170413/3004063-20170413152225-TMmNlYTIyMjFkNjQwYmFkZmNmN2FkOTBmNjFmMWE4Mjg=-13718091869-record-10.10.62.138-1492068145.163685.mp3</t>
  </si>
  <si>
    <t>20170413/3004063-20170413152040-TMmNlYTIyMjFkNjQwYmFkZmNmN2FkOTBmNjFmMWE4Mjg=-13718091869-record-10.10.62.138-1492068040.162693.mp3</t>
  </si>
  <si>
    <t>20170413/3004063-20170413151703-TMDgyZjM2ODVkYzIzZmI2YmFiN2UyMTkyYjgzZGE4YTM=-01043977568-record-10.10.62.138-1492067823.160582.mp3</t>
  </si>
  <si>
    <t>内蒙/通辽</t>
  </si>
  <si>
    <t>20170413/3004063-20170413151122-TNjJhMGNmNGVmYzVlMmM3ZDQwNTVmMDE5ZWUxZDM3ODA=-01043977573-record-10.10.62.138-1492067482.157236.mp3</t>
  </si>
  <si>
    <t>20170413/3004063-20170413145910-TOTU5NDAxNTIzMTU1OGNmOTU2YmUzMmEyNjM1YmRmMDM=-01043977568-record-10.10.62.138-1492066750.150091.mp3</t>
  </si>
  <si>
    <t>20170413/3004063-20170413143007-TMjVlZDQ2MjNiMTExODc2NTY5YmNiOTgzMGI1ZWFjMmU=-01043977572-record-10.10.62.138-1492065007.133910.mp3</t>
  </si>
  <si>
    <t>20170413/3004063-20170413142326-TZDY3OGU0YTE3ZjM5MDQzYTIwNGM5ZjY1MjkyY2Q5OGM=-01043977565-record-10.10.62.138-1492064606.130350.mp3</t>
  </si>
  <si>
    <t>20170413/3004063-20170413142054-TY2M5YTI2ZjM3OTBlMzJhOTJjZTJlMzI2MTAyMjEwM2U=-01043977565-record-10.10.62.138-1492064454.128959.mp3</t>
  </si>
  <si>
    <t>安徽/阜阳|毫州</t>
  </si>
  <si>
    <t>20170413/3004063-20170413141321-TOGQyZGE3OWNhMTlkMmYyZTZmMWNlMGNjNzIyODJkMjE=-01043989717-record-10.10.62.138-1492064001.124701.mp3</t>
  </si>
  <si>
    <t>20170413/3004063-20170413135355-TY2M5YTI2ZjM3OTBlMzJhOTJjZTJlMzI2MTAyMjEwM2U=-01043977565-record-10.10.62.138-1492062835.115555.mp3</t>
  </si>
  <si>
    <t>20170413/3004063-20170413130730-TZDJkOWVhZmI1NmY1NGJiYzJmNDQwYTEyMWFhNGI2ZTM=-01043977568-record-10.10.62.138-1492060050.100179.mp3</t>
  </si>
  <si>
    <t>20170413/3004063-20170413125942-TYmFmMGJiNjRlNzUzMzQ1Y2FmZDIzODczNDQ0NjUwNmI=-01043977565-record-10.10.62.138-1492059582.98455.mp3</t>
  </si>
  <si>
    <t>黑龙江/大庆</t>
  </si>
  <si>
    <t>20170413/3004063-20170413121035-TOTBjY2Y4ZTM3NGEwNzY2NmViMDI0MWI1MDNjYzlhNDQ=-01043977568-record-10.10.62.138-1492056635.87723.mp3</t>
  </si>
  <si>
    <t>20170413/3004063-20170413114555-TMTgwYzdhZTA2ODQ4MTNiZWY1M2E3N2EyOWY4OTgzZTg=-01043977572-record-10.10.62.138-1492055155.78338.mp3</t>
  </si>
  <si>
    <t>20170413/3004063-20170413112845-TMDFiYTdkZWY0YjI1M2I0ZjM2ODA1YjNkM2IwMTUzMjU=-01043977567-record-10.10.62.138-1492054125.69392.mp3</t>
  </si>
  <si>
    <t>上海/上海</t>
  </si>
  <si>
    <t>20170413/3004063-20170413110954-TNzg5MWUzNDI2ZGM4NWE2YzdiNmJhMDkyMDQzOTg2YzY=-01043977573-record-10.10.62.138-1492052994.59430.mp3</t>
  </si>
  <si>
    <t>20170413/3004063-20170413110038-TZmI5M2RiNzExZDQ2Mzc5MjFmMzg2NTg3ZmNhOTQyYTU=-01043977572-record-10.10.62.138-1492052438.54223.mp3</t>
  </si>
  <si>
    <t>山东/泰安</t>
  </si>
  <si>
    <t>20170413/3004063-20170413104218-TZjJhZmE1NmNiZWI5ODMxZGUwOTgxMDhjYmRkYzY1N2E=-01043977572-record-10.10.62.138-1492051338.44058.mp3</t>
  </si>
  <si>
    <t>20170413/3004063-20170413103954-TOWJhZTIzYWEyZTE0ZDVmZGRmNDQzNTFkNjczMWJiMWY=-01043977569-record-10.10.62.138-1492051194.42778.mp3</t>
  </si>
  <si>
    <t>20170413/3004063-20170413103844-TYWVmYTUzYTNmYjU3ZmM5MWU4YTkwZWM1ZTZkZTI4Y2M=-01043989717-record-10.10.62.138-1492051124.42117.mp3</t>
  </si>
  <si>
    <t>20170413/3004063-20170413103815-TZWExMzA1NWIyYTk3MzM5YjRiNGQ4N2NhMTc4NmQ2ZjE=-01043977567-record-10.10.62.138-1492051095.41850.mp3</t>
  </si>
  <si>
    <t>吉林/吉林</t>
  </si>
  <si>
    <t>20170413/3004063-20170413102525-TYzRiNmY1NmQ2YzlhMDI0ZTJkMGMyODljZTNhMzQ5OGE=-01043977573-record-10.10.62.138-1492050325.35201.mp3</t>
  </si>
  <si>
    <t>20170413/3004063-20170413101313-TODliYzJlMmQzYTMxMWJhMmJjYTFkMTYyMjNhM2FlNjU=-01043989717-record-10.10.62.138-1492049593.28803.mp3</t>
  </si>
  <si>
    <t>20170413/3004063-20170413100446-TYWQ3NjgxNWFiZmFkM2JiMTNkMjA3MmMzNGRkNWE3MWM=-01043977573-record-10.10.62.138-1492049086.24706.mp3</t>
  </si>
  <si>
    <t>20170413/3004063-20170413100330-TY2FkMThiNjcwOGM2MjRiMzc2NmU1MDcyYjBhOGE3NWQ=-01043977572-record-10.10.62.138-1492049010.24135.mp3</t>
  </si>
  <si>
    <t>20170413/3004063-20170413095905-TMTVkZTRmM2YwZTJjZjBiNzRlYmJiZWQzZmNkMDg2MmI=-13718091869-record-10.10.62.138-1492048745.22115.mp3</t>
  </si>
  <si>
    <t>20170413/3004063-20170413095800-TZGJjZjM3ZWFmNWY1MTA3YzY0NTg1NzI4MTRkNmViNWQ=-01043977572-record-10.10.62.138-1492048680.21610.mp3</t>
  </si>
  <si>
    <t>20170413/3004063-20170413094125-TOTMyNDEwMmQxMTU1NDA2YWE4YjNkMGNhYjNhNTMwYmY=-01043977567-record-10.10.62.138-1492047685.14873.mp3</t>
  </si>
  <si>
    <t>20170413/3004063-20170413092746-TMzM1ZGYzN2EwOWNmZmZmYTk0NTc4NmExNzUyODQxZjE=-01043989717-record-10.10.62.138-1492046866.10535.mp3</t>
  </si>
  <si>
    <t>20170413/3004063-20170413092609-TZGJhZDk2ZGU2MzUyMzAzMWE1YjMyYjUxNWU5M2YxZTY=-01043977572-record-10.10.62.138-1492046769.10128.mp3</t>
  </si>
  <si>
    <t>20170413/3004063-20170413091524-TNDBiZjE3YWVjZTdjNmNkMWM2YzNlM2NiN2E0YjhhMTg=-01043977573-record-10.10.62.138-1492046124.7663.mp3</t>
  </si>
  <si>
    <t>20170413/3004063-20170413085227-TZGJhZDk2ZGU2MzUyMzAzMWE1YjMyYjUxNWU5M2YxZTY=-01043977569-record-10.10.62.138-1492044747.4314.mp3</t>
  </si>
  <si>
    <t>20170413/3004063-20170413083414-TZWFhNDcyMjFjZWU4YTEwNTA1NmUwMDg3MzZjODVkNzY=-01043977567-record-10.10.62.138-1492043654.2909.mp3</t>
  </si>
  <si>
    <t>20170413/3004063-20170413083202-TODA5NWVjODViN2E1ZWNmNTQ3MzcwOGQ4NmFlNGNhYmM=-01043977569-record-10.10.62.138-1492043522.2752.mp3</t>
  </si>
  <si>
    <t>20170413/3004063-20170413080933-TMTVkZTRmM2YwZTJjZjBiNzRlYmJiZWQzZmNkMDg2MmI=-01043989717-record-10.10.62.138-1492042173.1762.mp3</t>
  </si>
  <si>
    <t>20170413/3004063-20170413071026-TYjc1MTRkMzVmNjk3MzQzZGQzN2Y1NTJkNzdjMDk5ODc=-10.10.62.138-1492038626.673.mp3</t>
  </si>
  <si>
    <t>20170412/3004063-20170412195208-TOWZmYTA1MWQ0MmU1OGUyYTVlYzVmM2IwYWI5MjMzZGU=-01043977568-record-10.10.62.138-1491997928.260811.mp3</t>
  </si>
  <si>
    <t>20170412/3004063-20170412194539-TNGQ0ZGU4NTZkNzIxMWQ1Yzc2MzY2ZTgyMThiMTZkNjg=-01043977565-record-10.10.62.138-1491997539.259542.mp3</t>
  </si>
  <si>
    <t>20170412/3004063-20170412194307-TNDZlZjZhZmU3ZjgxYWZmMjYyMjc0M2I5ODA5NzIyYzA=-01043977568-record-10.10.62.138-1491997387.258998.mp3</t>
  </si>
  <si>
    <t>20170412/3004063-20170412182844-TOWU3ODMyMjEwODc5OGM1ZThjZTY1MDcyNTA3NWZlYTk=-01043977568-record-10.10.62.138-1491992924.242679.mp3</t>
  </si>
  <si>
    <t>四川/成都</t>
  </si>
  <si>
    <t>20170412/3004063-20170412175133-TNTMxYzA2NGJjY2ViZWIzNzhkMDY4MmY1YjJmZDgyOWQ=-01043989717-record-10.10.62.138-1491990693.231992.mp3</t>
  </si>
  <si>
    <t>江苏/南通</t>
  </si>
  <si>
    <t>20170412/3004063-20170412174342-TZjRkNDQzM2JkZjdjMzViNGQ4OGQ0NjVkZWRjZTc2MTI=-13718091869-record-10.10.62.138-1491990222.230062.mp3</t>
  </si>
  <si>
    <t>辽宁/营口</t>
  </si>
  <si>
    <t>20170412/3004063-20170412173925-TZTY3ZDE3MzllMjNjZDVjNDdjODIzNDZiYjg0OWY2ZGI=-01043989717-record-10.10.62.138-1491989965.228953.mp3</t>
  </si>
  <si>
    <t>20170412/3004063-20170412170125-TNzUwY2VkZjEzODZiNjdmMTljOTg5M2I0MWM4ZWY3MGI=-01043977565-record-10.10.62.138-1491987685.212817.mp3</t>
  </si>
  <si>
    <t>20170412/3004063-20170412164206-TMjNmNjNmZmE5ZDBhMDA3NzBhYjBmYzcxMDA4OTEyYjc=-01043977569-record-10.10.62.138-1491986526.202804.mp3</t>
  </si>
  <si>
    <t>20170412/3004063-20170412163928-TNjRiYjQ4Y2M0ZDNmMzk5YTc2ZTk2ZjkwOTQ0Zjg0NTQ=-01043977572-record-10.10.62.138-1491986368.201416.mp3</t>
  </si>
  <si>
    <t>20170412/3004063-20170412163832-TNzliOGIzM2M5MGYyMTI2NjA3OThkN2E4MTM2MWRjMjU=-01043977569-record-10.10.62.138-1491986312.200879.mp3</t>
  </si>
  <si>
    <t>20170412/3004063-20170412163211-TNDMwNDQ2YTIxMTM4YzNiMWEzZDk3ZTYwNGYwZTJlOTg=-01043977565-record-10.10.62.138-1491985931.197766.mp3</t>
  </si>
  <si>
    <t>20170412/3004063-20170412162313-TYjhlYjdjODMwMWI4NGJlYTc0OWYyNTcyNWE0ZmYzYWI=-01043977572-record-10.10.62.138-1491985393.192986.mp3</t>
  </si>
  <si>
    <t>20170412/3004063-20170412161956-TMjExYTNiYjZjZjRjMzg4YzIxMzk1ODQyMDViOGIyMzM=-01043977566-record-10.10.62.138-1491985196.191278.mp3</t>
  </si>
  <si>
    <t>20170412/3004063-20170412161846-TYTI4NWYwNDU0NjdhNzg1YzI1YmI5MTdjNzk0NzJjYmQ=-01043977568-record-10.10.62.138-1491985126.190650.mp3</t>
  </si>
  <si>
    <t>河南/郑州</t>
  </si>
  <si>
    <t>20170412/3004063-20170412161141-TZmI0OThiOGVmZTEwYzcyZjU4NWJjNmZhOTQ4NTRjMjQ=-01043977565-record-10.10.62.138-1491984701.186941.mp3</t>
  </si>
  <si>
    <t>20170412/3004063-20170412160044-TYzgwMTE1ODEyNGIwMDZjNDQ5MzZlODQzMDgxODU1Nzc=-01043977566-record-10.10.62.138-1491984044.181364.mp3</t>
  </si>
  <si>
    <t>20170412/3004063-20170412160004-TOGYyZWQ2NjY0ZTcxMDk2ZDMzYWUxZjI0NzliMDBlZGY=-01043977568-record-10.10.62.138-1491984004.181013.mp3</t>
  </si>
  <si>
    <t>20170412/3004063-20170412154857-TYWFhYzA4N2YyZjQ2NTRhZTZkNWQ4NmI0MGY2NGI0NDY=-13718091869-record-10.10.62.138-1491983337.175235.mp3</t>
  </si>
  <si>
    <t>20170412/3004063-20170412154733-TZWNhOWI1OWIxNGY1OGFmYjBkYmIyZjNjMDgxZWRkZDI=-01043977568-record-10.10.62.138-1491983253.174528.mp3</t>
  </si>
  <si>
    <t>20170412/3004063-20170412153142-TMTM4ZjcxZmZmNWY5MmY3MzY5NGVhMzU2ZGQ5OWM0ZDY=-01043977572-record-10.10.62.138-1491982302.166383.mp3</t>
  </si>
  <si>
    <t>20170412/3004063-20170412153108-TZWI5MDZhOTc5NzMyMTgxNzY4YzUzYzNmY2Q4YzYyNjQ=-01043977568-record-10.10.62.138-1491982268.166058.mp3</t>
  </si>
  <si>
    <t>安徽/合肥</t>
  </si>
  <si>
    <t>20170412/3004063-20170412145919-TZTA4OTdiMDFkZTJiYTRjYzgxNDg2YzM3NDAwYzE2ZWQ=-01043977566-record-10.10.62.138-1491980359.149512.mp3</t>
  </si>
  <si>
    <t>吉林/松原</t>
  </si>
  <si>
    <t>20170412/3004063-20170412144859-TNTE3OThiNDFlN2FmNTBiMjU1OWNkNDAwNWJmM2U0M2U=-01043977573-record-10.10.62.138-1491979739.143840.mp3</t>
  </si>
  <si>
    <t>20170412/3004063-20170412143050-TY2IyZTljODQ1YzFmZDRhNDZkY2RiZjA3MTUxNWU2OTM=-01043977566-record-10.10.62.138-1491978650.134182.mp3</t>
  </si>
  <si>
    <t>20170412/3004063-20170412142855-TODYyODc5NjZhOTgwYjEwMzJiYjMwNDg4OGU1NjYzY2M=-01043977569-record-10.10.62.138-1491978535.133143.mp3</t>
  </si>
  <si>
    <t>拓朴 质子</t>
  </si>
  <si>
    <t>侯博</t>
  </si>
  <si>
    <t>20170412/3004063-20170412142201-TMGYzNjEzOWViMDg4N2ZiYzBmYjU3ZDQ0YTAwYWZmZTk=-18600169000-record-10.10.62.138-1491978121.129515.mp3</t>
  </si>
  <si>
    <t>20170412/3004063-20170412142146-TODZmODY3NmY3MmU3MmNiYTExZmRmYTVhZmY2ZDBmY2U=-01043977567-record-10.10.62.138-1491978106.129371.mp3</t>
  </si>
  <si>
    <t>拓朴 A45</t>
  </si>
  <si>
    <t>20170412/3004063-20170412141324-TNzA5NTJmYTVlY2Q1MzljMzliZmY3ZTQ3Yzg3NzYyMzE=-18600169000-record-10.10.62.138-1491977604.125114.mp3</t>
  </si>
  <si>
    <t>20170412/3004063-20170412135252-TY2VlNGY2ZGM3NDNiMTAyNGRkOGRlYTU0ODQ2YmIyMTA=-01043977568-record-10.10.62.138-1491976372.116218.mp3</t>
  </si>
  <si>
    <t>黑龙江/大兴安岭</t>
  </si>
  <si>
    <t>20170412/3004063-20170412134020-TZmRjMzBiOTIxNWI1NjYxYWUzMmE3MzYwZGU1OTExZmE=-01043977567-record-10.10.62.138-1491975620.111328.mp3</t>
  </si>
  <si>
    <t>辽宁/辽阳</t>
  </si>
  <si>
    <t>20170412/3004063-20170412133208-TNzVlMzRjNjdkM2Q4OGExOGY0OTcwYWNiMjAyMjQ3N2Q=-01043977565-record-10.10.62.138-1491975128.108354.mp3</t>
  </si>
  <si>
    <t>20170412/3004063-20170412132358-TYzMzZGVmNDIyZTgyNGU4ZDc0NDRhODIwM2EyNTU1OGM=-01043977568-record-10.10.62.138-1491974638.105967.mp3</t>
  </si>
  <si>
    <t>20170412/3004063-20170412130643-TNjE1NTk1ZjFjODViNzdmMzQxYTc5NzU2ZGM3NTQ0Y2Y=-01043977568-record-10.10.62.138-1491973603.101421.mp3</t>
  </si>
  <si>
    <t>20170412/3004063-20170412124209-TNzA5NTJmYTVlY2Q1MzljMzliZmY3ZTQ3Yzg3NzYyMzE=-18600169000-record-10.10.62.138-1491972129.96855.mp3</t>
  </si>
  <si>
    <t>20170412/3004063-20170412122420-TNTQ4Y2YyOWMyZjMxNjQwNjU4MzNhM2YwNDdmNmEzOTI=-01043977568-record-10.10.62.138-1491971060.93173.mp3</t>
  </si>
  <si>
    <t>20170412/3004063-20170412120444-TYWJkNGNjNDhjMTEwYjQwYTkzZWQzY2QyYTRmNDQwYjM=-01043977568-record-10.10.62.138-1491969884.87516.mp3</t>
  </si>
  <si>
    <t>20170412/3004063-20170412120116-TYjlkZjlhMjBlYzg4ZWNkMGZlMDVmZDllMTI4MTcwMWU=-01043977568-record-10.10.62.138-1491969676.86384.mp3</t>
  </si>
  <si>
    <t>转移:电话-01043977567</t>
  </si>
  <si>
    <t>20170412/3004063-20170412115653-TZjI5MjM4OWY5ZDk5OWFlYWIyZjdmYTA3M2ZjNTU5MTg=-01043989717-record-10.10.62.138-1491969413.84692.mp3</t>
  </si>
  <si>
    <t>20170412/3004063-20170412114743-TYjlkZjlhMjBlYzg4ZWNkMGZlMDVmZDllMTI4MTcwMWU=-01043977567-record-10.10.62.138-1491968863.80524.mp3</t>
  </si>
  <si>
    <t>20170412/3004063-20170412114259-TY2E4MGY5MTg0YjY4MjVhMjM4ZDUzZDg2YmM0ODA1Mzk=-01043977569-record-10.10.62.138-1491968579.78219.mp3</t>
  </si>
  <si>
    <t>宁夏/吴忠</t>
  </si>
  <si>
    <t>20170412/3004063-20170412114050-TYjlkZjlhMjBlYzg4ZWNkMGZlMDVmZDllMTI4MTcwMWU=-01043977569-record-10.10.62.138-1491968450.77188.mp3</t>
  </si>
  <si>
    <t>20170412/3004063-20170412113540-TNmJmYzIwNjM3YWUzNDU3ZGVjY2E2N2UxMWNjNDk5NDc=-13718091869-record-10.10.62.138-1491968140.74458.mp3</t>
  </si>
  <si>
    <t>20170412/3004063-20170412111048-TMThlOTNlZWNiZmQzNzQwNWNmOGU1ZjhlNDQ4MmQ3YTY=-01043977572-record-10.10.62.138-1491966648.61670.mp3</t>
  </si>
  <si>
    <t>20170412/3004063-20170412111030-TN2RjYThiMzg2ZWI1OWY2ODY2NjI0MzkwMmRkMGQwODBiMmQ4MGM0NDhhMjIyODA4NjZkMzhkNzc5MzU5N2M1Mg==-01043977569-record-10.10.62.138-1491966630.61489.mp3</t>
  </si>
  <si>
    <t>20170412/3004063-20170412110336-TNTEzZTVjNWFmOWIxZjQyMjdhYjFiNDZlZTk5YWUxM2Y=-01043977572-record-10.10.62.138-1491966216.57768.mp3</t>
  </si>
  <si>
    <t>20170412/3004063-20170412104637-TZDk1ZTU2OGM2ODYyMzJmZjNlNGE3MGQ1NTAxMGI2ZjQ=-01043977573-record-10.10.62.138-1491965197.49290.mp3</t>
  </si>
  <si>
    <t>20170412/3004063-20170412104304-TNjA4NzRiMGM5OTIwNWQ5YTBiMDE1ZTQxNTdhMDQ2YjU=-01043977572-record-10.10.62.138-1491964984.47534.mp3</t>
  </si>
  <si>
    <t>20170412/3004063-20170412103326-TNjA4NzRiMGM5OTIwNWQ5YTBiMDE1ZTQxNTdhMDQ2YjU=-01043977567-record-10.10.62.138-1491964406.42431.mp3</t>
  </si>
  <si>
    <t>20170412/3004063-20170412103044-TMDMwNWE4ODQzZWZjNTNlMDkzZTc3MmEwYjdhNWJmMGQ=-01043977569-record-10.10.62.138-1491964244.41030.mp3</t>
  </si>
  <si>
    <t>20170412/3004063-20170412102619-TMGFiM2E0M2I1ZTQ0MjdmNTVhNmZhM2Q1MTY5NTdhMDM=-01043977567-record-10.10.62.138-1491963979.38829.mp3</t>
  </si>
  <si>
    <t>20170412/3004063-20170412102224-TZjJhZmE1NmNiZWI5ODMxZGUwOTgxMDhjYmRkYzY1N2E=-01043977573-record-10.10.62.138-1491963744.36889.mp3</t>
  </si>
  <si>
    <t>20170412/3004063-20170412101653-TOTNjZDMxODYyMjU1NjQ0ZWQzYjUzOWVhNWRmNWUxMmY=-01043977569-record-10.10.62.138-1491963413.33997.mp3</t>
  </si>
  <si>
    <t>20170412/3004063-20170412101428-TMzc3YjA1YzkyMTE2MGNmMjczMjAxOWJmZTFlMGY5OWE=-01043977567-record-10.10.62.138-1491963268.32767.mp3</t>
  </si>
  <si>
    <t>20170412/3004063-20170412101406-TOWRkYWJlYmRlMTg3OTY5OWM5NDc0ZTIwMzgyZjdmMjk=-01043977572-record-10.10.62.138-1491963246.32560.mp3</t>
  </si>
  <si>
    <t>20170412/3004063-20170412101351-TNDNlNjRkNWRmODA4ZmQ5ZTliOGU3MjBjM2VkY2M2OWY=-01043989717-record-10.10.62.138-1491963231.32434.mp3</t>
  </si>
  <si>
    <t>20170412/3004063-20170412095858-TZmFiYmNhMDg3ZTk3NGU3YjkwODVmNDEzOTUxMmY3NDg=-01043977572-record-10.10.62.138-1491962338.25427.mp3</t>
  </si>
  <si>
    <t>20170412/3004063-20170412095527-TNTA0NjcwYWRkMWJkZDU0NWFiNTM5YzE2ZGJlZTA1ZjY=-01043977567-record-10.10.62.138-1491962127.23786.mp3</t>
  </si>
  <si>
    <t>20170412/3004063-20170412094451-TYWE0ZDM0M2RkMzI3NTc1NmMzMjk4ZmY5NjFhYWY2MmQ=-18600169000-record-10.10.62.138-1491961491.18945.mp3</t>
  </si>
  <si>
    <t>转移:节点-8451_1</t>
  </si>
  <si>
    <t>黑龙江/齐齐哈尔</t>
  </si>
  <si>
    <t>20170412/3004063-20170412094328-TYTZhZmI4ZGNkMDQzMmNmNWRhZmNiMTU1Nzc2MTI4YTU=-01043977567-record-10.10.62.138-1491961408.18320.mp3</t>
  </si>
  <si>
    <t>20170412/3004063-20170412093221-TOTJmODc2MjhhNGVkYTk5Yzk3MzZiNzI3MjFkNjZjZWQ=-01043977567-record-10.10.62.138-1491960741.13484.mp3</t>
  </si>
  <si>
    <t>江苏/徐州</t>
  </si>
  <si>
    <t>20170412/3004063-20170412092328-TNzY5OTY3MmRmOTkzMDJjOWFlOWUxNjc0YWRiMjhiYzI=-01043989717-record-10.10.62.138-1491960208.10833.mp3</t>
  </si>
  <si>
    <t>20170412/3004063-20170412092322-TNTNiZDZjODhkMGIwNzg1N2Q0ZGU3OWQ5OTkzN2YxOTQ=-01043977569-record-10.10.62.138-1491960202.10801.mp3</t>
  </si>
  <si>
    <t>20170412/3004063-20170412092058-TZmE0ODY5NGI0ODJjNTNiNWQ5ZmFiNDhmYWY5ZTIxNzY=-01043977572-record-10.10.62.138-1491960058.10113.mp3</t>
  </si>
  <si>
    <t>20170412/3004063-20170412092026-TNmRlMzU3ZGQ2YTlmNTRiNzE0MmQ1M2NkOTdlZTJlMGY=-01043977573-record-10.10.62.138-1491960026.9961.mp3</t>
  </si>
  <si>
    <t>20170412/3004063-20170412084646-TMWZkMDJjYjc1NjU5OTkyNDIxZjhjMmFlN2FmNGQ3ZmY=-01043977572-record-10.10.62.138-1491958006.4079.mp3</t>
  </si>
  <si>
    <t>20170412/3004063-20170412083842-TZDY1YzJmNzgzZjg4OWVlMGIyN2E1NmU5MjhiZWUyNDQ=-01043977573-record-10.10.62.138-1491957522.3556.mp3</t>
  </si>
  <si>
    <t>20170412/3004063-20170412080747-TNWI2MWFjNGIzY2RmMzU5YTUyYjViM2I2MTIzZDkwZGI=-01043977573-record-10.10.62.138-1491955667.1851.mp3</t>
  </si>
  <si>
    <t>20170411/3004063-20170411201457-TOTM0ZmE3OWNjOGUzN2FmZWYzYzQyMWJhYzRiMDkzMDA=-01043977565-record-10.10.62.138-1491912897.250118.mp3</t>
  </si>
  <si>
    <t>20170411/3004063-20170411201409-TMjM4OWIyNjhkMGFhMDcyOWY0MDA4OTBhYzE1YmMyYmE=-01043977568-record-10.10.62.138-1491912849.249979.mp3</t>
  </si>
  <si>
    <t>20170411/3004063-20170411195610-TNGZmNDZhNWQ2OTAyMWNiNTUwNzFiNjZjNTI5OTVkZmU=-01043977568-record-10.10.62.138-1491911770.246351.mp3</t>
  </si>
  <si>
    <t>20170411/3004063-20170411190812-TZDY0M2EzMWFiYzUyM2QzMjFjMjBkMjMxNjk0MTU3ZjQ=-01043977568-record-10.10.62.138-1491908892.235744.mp3</t>
  </si>
  <si>
    <t>20170411/3004063-20170411184032-TNjE5NzRjZWEwMzI1OWQ3OWQ3MDViZmFlMDJkNjk2ZTA=-01043977572-record-10.10.62.138-1491907232.228823.mp3</t>
  </si>
  <si>
    <t>20170411/3004063-20170411183018-TYTE5MjNjYTUzMzQ2N2M3YzVhNmQ2NmExZDMxMzFjZTY=-01043977572-record-10.10.62.138-1491906618.226171.mp3</t>
  </si>
  <si>
    <t>20170411/3004063-20170411182618-TZmVlNjQzYTUyNzA0OGFjY2IwYzU1ODI0MDExYzQ4NjA=-01043977566-record-10.10.62.138-1491906378.225088.mp3</t>
  </si>
  <si>
    <t>20170411/3004063-20170411182002-TMjE2NjIwOGFlZTRlYTRmYWNkMTliYTJjZDZkMWM1NDE=-01043977568-record-10.10.62.138-1491906002.223132.mp3</t>
  </si>
  <si>
    <t>20170411/3004063-20170411181736-TYzU4NWI2NWE5NTExNmMyMzNjODIyYTUwMWVjOWM2MWU=-01043977566-record-10.10.62.138-1491905856.222420.mp3</t>
  </si>
  <si>
    <t>20170411/3004063-20170411181728-TOTFkOTY3ODExYWFjMjlkNTI1ZDM0NjJmODJjNzk5YzU=-01043989717-record-10.10.62.138-1491905848.222374.mp3</t>
  </si>
  <si>
    <t>20170411/3004063-20170411180810-TN2MxYWYyYTU0ZThlNDkyN2I2MjZhYjYyMjlhNTBjMzc=-01043977569-record-10.10.62.138-1491905290.219727.mp3</t>
  </si>
  <si>
    <t>20170411/3004063-20170411175746-TZDZlNDUxMGNmMzRlZjk3Njg0MDU1MTY2YTczZDg2MTI=-01043989717-record-10.10.62.138-1491904666.216939.mp3</t>
  </si>
  <si>
    <t>20170411/3004063-20170411175501-TZTkxZmRhMTkzY2U1NWI5YWVhYWFkMmZmZjhkYmM3Yjk=-01043977565-record-10.10.62.138-1491904501.216166.mp3</t>
  </si>
  <si>
    <t>20170411/3004063-20170411174133-TMDI1ZTBhYTg3M2YwMTVmNDg5ZTBmYTFlOTJjNTA5YzE=-01043977568-record-10.10.62.138-1491903693.211886.mp3</t>
  </si>
  <si>
    <t>20170411/3004063-20170411173010-TMTEwZjkxMDVhZDIyOWE2YzBmOTFlZGNlN2FlNjFkMDY=-01043977573-record-10.10.62.138-1491903010.207759.mp3</t>
  </si>
  <si>
    <t>20170411/3004063-20170411171355-TNmZkM2I0OGQyNGY5Y2EwNDkxNDkzMTFlMmRhN2Q4YzI=-01043977565-record-10.10.62.138-1491902035.198804.mp3</t>
  </si>
  <si>
    <t>20170411/3004063-20170411170704-TMTZkYmI0NTE3ZTFkYTM2ODllMDBkYjE5YzMwNTFmNzQ=-01043977568-record-10.10.62.138-1491901624.195047.mp3</t>
  </si>
  <si>
    <t>20170411/3004063-20170411163817-TNDMyZmY5ZTU1MGUwMzNhYTE1NjgzZmQ5MzU5Yjk5YjI=-01043977569-record-10.10.62.138-1491899897.180616.mp3</t>
  </si>
  <si>
    <t>20170411/3004063-20170411162327-TNDU1YjE3MDczYTQwZjQ1YTQ1NGMzN2Q1N2FjZDE4MWI=-01043977565-record-10.10.62.138-1491899007.172829.mp3</t>
  </si>
  <si>
    <t>20170411/3004063-20170411161640-TMWM1MTgzN2MyOWNkOWRmNThjNzUyNGMzYjlkM2Q4MDQ=-01043989717-record-10.10.62.138-1491898600.169039.mp3</t>
  </si>
  <si>
    <t>20170411/3004063-20170411160855-TZWQ1MzVmYTZhZmIxMzNkZmM5NWQxNjViODkzYWYxZWE=-01043977567-record-10.10.62.138-1491898135.165293.mp3</t>
  </si>
  <si>
    <t>20170411/3004063-20170411155638-TZjA3MzQ0NDkyZmVhMTcyMDQzZTQ4ZDkyMjIyMDdmOTE=-01043977568-record-10.10.62.138-1491897398.159154.mp3</t>
  </si>
  <si>
    <t>20170411/3004063-20170411155235-TM2RmMjE2OTk2NWQwODBjN2IxNDc4OTBmZTRjYmRlZDE=-01043977567-record-10.10.62.138-1491897155.157190.mp3</t>
  </si>
  <si>
    <t>20170411/3004063-20170411154949-TMDQ1Yzk4MDczNTRkNmYwNTlhODliMDc2MTMxMDRhMzk=-01043977568-record-10.10.62.138-1491896989.155845.mp3</t>
  </si>
  <si>
    <t>20170411/3004063-20170411154728-TYTQwODE2YWU5NzM4NTRkZDQxYzNlYzVhMzUwN2M0ZjA=-01043977569-record-10.10.62.138-1491896848.154780.mp3</t>
  </si>
  <si>
    <t>20170411/3004063-20170411154703-TOWQ4NmE0YzkyZTBmMWViZmEwNTNlNTRjYzNhNTM4Nzg=-01043977566-record-10.10.62.138-1491896823.154591.mp3</t>
  </si>
  <si>
    <t>20170411/3004063-20170411153909-TYjE4NjIzZGMzMGU3NThlODhjNjljYzExYTI4YWY4M2Y=-01043989717-record-10.10.62.138-1491896349.150539.mp3</t>
  </si>
  <si>
    <t>20170411/3004063-20170411153814-TY2M5MzhhNGY0OGM5NzIwYmU0M2IyNDc4YmJlMDhhYmY=-01043977565-record-10.10.62.138-1491896294.150055.mp3</t>
  </si>
  <si>
    <t>20170411/3004063-20170411153121-TMjBmZjNiNTE5Y2Q5YTIwOTNmN2YyZTFjZmU0OTkzYjE=-01043977568-record-10.10.62.138-1491895881.146493.mp3</t>
  </si>
  <si>
    <t>20170411/3004063-20170411152807-TNDA1Y2UyOTYzMmE3Mzk2YTEyMTg0MTI2MTFmNDYwYmM=-13718091869-record-10.10.62.138-1491895687.144775.mp3</t>
  </si>
  <si>
    <t>河北/邢台</t>
  </si>
  <si>
    <t>20170411/3004063-20170411152307-TMDU5NmJmNWEzMjcyMTZlZGE0MmYwYWYzMjgwYjBmYWE=-01043989717-record-10.10.62.138-1491895387.142426.mp3</t>
  </si>
  <si>
    <t>20170411/3004063-20170411150044-TNDA1Y2UyOTYzMmE3Mzk2YTEyMTg0MTI2MTFmNDYwYmM=-01043977565-record-10.10.62.138-1491894044.131829.mp3</t>
  </si>
  <si>
    <t>20170411/3004063-20170411145336-TOWMzNDUzODNiMmE2ODQ5Zjg4MWI2M2E4OWE1ZjRkODg=-01043977573-record-10.10.62.138-1491893616.128584.mp3</t>
  </si>
  <si>
    <t>20170411/3004063-20170411142849-TMTBlZDhkZDQ0MzQ4NjA3NjNlMzIzZTNiNmFkYTBkZDI=-01043977573-record-10.10.62.138-1491892129.116598.mp3</t>
  </si>
  <si>
    <t>20170411/3004063-20170411141733-TMDY5MDY0ZjRjMDc1Nzc5N2Q5Y2E1NjA2NTFjN2ZhMjc=-01043989717-record-10.10.62.138-1491891453.111565.mp3</t>
  </si>
  <si>
    <t>20170411/3004063-20170411140822-TNDcwNzk0NDllNDVlOWI4OWQ3NDEzNzBkNzU3YWE3MTE=-01043977567-record-10.10.62.138-1491890902.107342.mp3</t>
  </si>
  <si>
    <t>转移:座席号-0034</t>
  </si>
  <si>
    <t>20170411/3004063-20170411140530-TMjFmNzdjOTRiM2FkMDk5Zjk4NmQ2MWVkOGEwNjNlNjI=-01043977567-record-10.10.62.138-1491890730.106131.mp3</t>
  </si>
  <si>
    <t>20170411/3004063-20170411135633-TNDA3MTZmOGYwZTI2ZGY3NzgzNmRjMmJiOWU5ZTg4N2Y=-01043977568-record-10.10.62.138-1491890193.102765.mp3</t>
  </si>
  <si>
    <t>山东/济宁</t>
  </si>
  <si>
    <t>20170411/3004063-20170411134650-TNGEzMWZkODE4OWRkMDFmNDlkY2VhMmNmMzhhYjYyMzg=-01043977567-record-10.10.62.138-1491889610.99410.mp3</t>
  </si>
  <si>
    <t>20170411/3004063-20170411134634-TMDcxMDlmN2RkMDYxMjhiYzNmM2MyOTUxZjE5OWI0Y2M=-01043977568-record-10.10.62.138-1491889594.99323.mp3</t>
  </si>
  <si>
    <t>20170411/3004063-20170411134613-TYjAxYjg5MjkwMDRmYzY3NjQ3MmI3MzMxYTUyODczZmQ=-01043977567-record-10.10.62.138-1491889573.99207.mp3</t>
  </si>
  <si>
    <t>系统未应答</t>
  </si>
  <si>
    <t>20170411/3004063-20170411132056-TMTA4OWJlNWM3ZThlZGE3MjMyYjZiY2Y2ZTMyYWE1ODg=-01043977567-record-10.10.62.138-1491888056.91789.mp3</t>
  </si>
  <si>
    <t>20170411/3004063-20170411130236-TYjAxYjg5MjkwMDRmYzY3NjQ3MmI3MzMxYTUyODczZmQ=-01043977567-record-10.10.62.138-1491886956.88138.mp3</t>
  </si>
  <si>
    <t>20170411/3004063-20170411130154-TYjAxYjg5MjkwMDRmYzY3NjQ3MmI3MzMxYTUyODczZmQ=-01043977568-record-10.10.62.138-1491886914.88030.mp3</t>
  </si>
  <si>
    <t>20170411/3004063-20170411114951-TMWE3YzA2NmU0ODM3MzQ1NTBiZWQ2NDljMWM1ZTZlODY=-01043989717-record-10.10.62.138-1491882591.72535.mp3</t>
  </si>
  <si>
    <t>20170411/3004063-20170411113341-TODc1N2ZiNGJhNmQxMDk5N2YwZTMzNjE0NDcwMjZhN2Y=-01043989717-record-10.10.62.138-1491881621.65500.mp3</t>
  </si>
  <si>
    <t>20170411/3004063-20170411112124-TZmY0MGFmYWNiYTg0NjU5NGQ4YWYwYTgwODFlZjM1NDk=-01043977573-record-10.10.62.138-1491880884.60170.mp3</t>
  </si>
  <si>
    <t>20170411/3004063-20170411111644-TMWJmMTYxM2Q2NTQ4MDIwNGQ5YzdlOGE3MzY0ZjkwZjc=-01043977567-record-10.10.62.138-1491880604.58185.mp3</t>
  </si>
  <si>
    <t>20170411/3004063-20170411104549-TZGJjMWVkMWNmYmFjMWRiZGQ4ZDZlNTJmZjhmYjdjNDg=-01043977567-record-10.10.62.138-1491878749.43974.mp3</t>
  </si>
  <si>
    <t>20170411/3004063-20170411102629-TOTk1OWJlZWI1NTZkNmJiNzEyZjhmNmFkZmY1OTdkMjI=-01043977567-record-10.10.62.138-1491877589.35330.mp3</t>
  </si>
  <si>
    <t>20170411/3004063-20170411102026-TMmYwZjY5YTc3MjY1YzU3ZjQ3ZTg2MTBhYjQ4NmIyNTc=-01043977567-record-10.10.62.138-1491877226.32411.mp3</t>
  </si>
  <si>
    <t>20170411/3004063-20170411095119-TMjZiZmM0NGNiZjllNmU1ZTI1NjUwNTQwOTEyNTIwMjU=-01043977573-record-10.10.62.138-1491875479.20329.mp3</t>
  </si>
  <si>
    <t>20170411/3004063-20170411092332-TMTkyOTUwYjQwY2RjZmZiMzIxNjkzODgzYTY0NjVhN2I=-01043977567-record-10.10.62.138-1491873812.10407.mp3</t>
  </si>
  <si>
    <t>20170411/3004063-20170411092023-TZDUyZTJjZjkwMzA5ZGZiNjQzZTRmYTgzMDhiOGE0OWY=-01043977567-record-10.10.62.138-1491873623.9490.mp3</t>
  </si>
  <si>
    <t>20170411/3004063-20170411085430-TNjE0YjdjYWNhNjFkZjRkZWVmMzFmYWQxNTc4YTJiNzM=-13718091869-record-10.10.62.138-1491872070.4397.mp3</t>
  </si>
  <si>
    <t>20170411/3004063-20170411084218-TZmY2M2M2YzFiYWM4MmU0MDFlOWRjOGJkYTgyMGMxZTg=-01043989717-record-10.10.62.138-1491871338.3502.mp3</t>
  </si>
  <si>
    <t>114慢病</t>
  </si>
  <si>
    <t>20170411/3004063-20170411083639-TYjAxYjg5MjkwMDRmYzY3NjQ3MmI3MzMxYTUyODczZmQ=-01043977569-record-10.10.62.138-1491870999.3060.mp3</t>
  </si>
  <si>
    <t>转移:电话-89177328</t>
  </si>
  <si>
    <t>20170411/3004063-20170411083430-TNDIxOWVhYzJkZTM4YmRlYTQ5ZWM4YzNhODkwMmNmMzM=-01043977573-record-10.10.62.138-1491870870.2921.mp3</t>
  </si>
  <si>
    <t>20170411/3004063-20170411082008-TY2NlMDg1MzVmODk3YjUyMjQ5ODcyYTcxOTljZjdkYWE=-01043977572-record-10.10.62.138-1491870008.2159.mp3</t>
  </si>
  <si>
    <t>400非工作时间</t>
  </si>
  <si>
    <t>20170410/3004063-20170410204458-TNTBjMTEwMGYyNDQ3OTliZWRkOWQ1ODFkMTgxMzgzMzI=-01043977568-record-10.10.62.138-1491828298.241624.mp3</t>
  </si>
  <si>
    <t>重庆/重庆</t>
  </si>
  <si>
    <t>20170410/3004063-20170410195241-TNjQyY2EyYmQwM2Q2YWU3M2IwN2E0NmFmYjJlNGVjODc=-01043977565-record-10.10.62.138-1491825161.231479.mp3</t>
  </si>
  <si>
    <t>20170410/3004063-20170410195024-TMGY1YThmMzgyYzMzODNhNTNkOTI2MTM1YmQzZDUzNTE=-01043977568-record-10.10.62.138-1491825024.231028.mp3</t>
  </si>
  <si>
    <t>20170410/3004063-20170410193205-TMzhlYmVhYTI4ZGVjYjY5YzgyN2YyNDZjZjAyZjk2YzI=-01043977566-record-10.10.62.138-1491823925.226746.mp3</t>
  </si>
  <si>
    <t>20170410/3004063-20170410192033-TMzQ3NDhiMjgwZmE4NzNjOTY4YzdmNTYxNWFjM2VhNGQ=-01043977568-record-10.10.62.138-1491823233.224209.mp3</t>
  </si>
  <si>
    <t>20170410/3004063-20170410190033-TYmU4ZGQ5YmY5ZWFmMjE3YzAwNTY5ZTk0MjFhMDZkNTU=-01043977566-record-10.10.62.138-1491822033.219592.mp3</t>
  </si>
  <si>
    <t>20170410/3004063-20170410185901-TOGFlY2E5ZDgxNjNiNzRlNjhkMGJmM2FjZTU2ZTU0NmI=-01043977568-record-10.10.62.138-1491821941.219195.mp3</t>
  </si>
  <si>
    <t>20170410/3004063-20170410185545-TNzA1NTNkZjAzY2ZiYjNhNTU2MDUxMzQwMzdlMTJiOTI=-01043977565-record-10.10.62.138-1491821745.218282.mp3</t>
  </si>
  <si>
    <t>20170410/3004063-20170410184538-TMzQ1YTcwNDI1OGUzNTBkNTIxYzA1YzY1YjgxMDMyY2I=-01043977568-record-10.10.62.138-1491821138.215826.mp3</t>
  </si>
  <si>
    <t>20170410/3004063-20170410181501-TMGQ2NmQ3YjVhYjk4ODg2YjE3NmVlNmM4ZjUzYmM5NTk=-01043977565-record-10.10.62.138-1491819301.207926.mp3</t>
  </si>
  <si>
    <t>20170410/3004063-20170410173653-TZmMxMzAzMTVmY2U3YjJhYjVhMzRiMjgxMjJhNjRiMjc=-01043977572-record-10.10.62.138-1491817013.197975.mp3</t>
  </si>
  <si>
    <t>20170410/3004063-20170410172412-TZDQzYmNhYWQyZjk5NDU2ZDNjM2Q0MGQyZTdlMzk0OTc=-01043977565-record-10.10.62.138-1491816252.193614.mp3</t>
  </si>
  <si>
    <t>20170410/3004063-20170410172332-TZWFmZmU0MmFhM2VlZGY2MTE1MzFhYmJmNmFlNTY2Y2I=-01043977566-record-10.10.62.138-1491816212.193360.mp3</t>
  </si>
  <si>
    <t>20170410/3004063-20170410170506-TYzUxYWQxY2RkODE5YWZjYTIxMjlkNzM3NDA0NTNhYTRiMmQ4MGM0NDhhMjIyODA4NjZkMzhkNzc5MzU5N2M1Mg==-01043989717-record-10.10.62.138-1491815106.186010.mp3</t>
  </si>
  <si>
    <t>20170410/3004063-20170410163927-TMjY3ZjUwNWU5YzZjMjRkN2ZjMzEwYzg3M2UyMGU1ZDQ=-13718091869-record-10.10.62.138-1491813567.174254.mp3</t>
  </si>
  <si>
    <t>20170410/3004063-20170410162526-TNGQ1Mzk5NjUyNTVhYzdjOTQ2YTVhNjNmNzMwZjMxZjI=-01043977566-record-10.10.62.138-1491812726.167810.mp3</t>
  </si>
  <si>
    <t>20170410/3004063-20170410162137-TN2Q1MTljMWQwODg4ZjJjMDU1NGFjNzAxMmY5NjU1NGU=-01043977566-record-10.10.62.138-1491812497.166078.mp3</t>
  </si>
  <si>
    <t>20170410/3004063-20170410161825-TYmYwZTFlMjdlZTg5YzM0Njk3MTIyYzFiZDk1YWY3YTU=-01043977573-record-10.10.62.138-1491812305.164595.mp3</t>
  </si>
  <si>
    <t>20170410/3004063-20170410160350-TMTYzNTdjMjMyMDBmMDM3NDRmNGYyM2NlOGU3NTIyNjI=-01043977568-record-10.10.62.138-1491811430.157549.mp3</t>
  </si>
  <si>
    <t>20170410/3004063-20170410155338-TNGExNDA3MjAzNWJhNTkxOWY4NmQ3NTIyNzkwNjBiNDc=-01043977566-record-10.10.62.138-1491810818.152709.mp3</t>
  </si>
  <si>
    <t>20170410/3004063-20170410154456-TMWNlZjNjMDA3NjBiNGJmN2YxYzAzNjg3NDQwOWRmNjE=-01043977572-record-10.10.62.138-1491810296.148454.mp3</t>
  </si>
  <si>
    <t>20170410/3004063-20170410152931-TZDE3OGI0YmUzYmNjZWFmZjQzZDQ2YWUxMGEyZmM5MjM=-01043977573-record-10.10.62.138-1491809371.140301.mp3</t>
  </si>
  <si>
    <t>20170410/3004063-20170410151325-TODI4MTFmYTY0NzVjMDYyNTlhYjFiZGQyZWViZWZiYjE=-01043977569-record-10.10.62.138-1491808405.131653.mp3</t>
  </si>
  <si>
    <t>20170410/3004063-20170410151242-TZGU4ZWVhZTVmNjFlNGVmMmI5YTMzNTE1MDEwOGU4YzA=-01043977572-record-10.10.62.138-1491808362.131284.mp3</t>
  </si>
  <si>
    <t>20170410/3004063-20170410150921-TNTRiNmVmOTIyMjU4MTgxNTc0YzM4NmJlYzAyYzNlNmU=-01043977573-record-10.10.62.138-1491808161.129625.mp3</t>
  </si>
  <si>
    <t>20170410/3004063-20170410145059-TMzc0NDk0ZjMwZmUyYzA3MDkxM2ZlMzE2ODlmZmVjZmY=-01043977569-record-10.10.62.138-1491807059.120393.mp3</t>
  </si>
  <si>
    <t>20170410/3004063-20170410144941-TNmZjZjFkMmYyYTZkZmY2OGYyODkwMzc0MDcyNDNkMzE=-01043977573-record-10.10.62.138-1491806981.119704.mp3</t>
  </si>
  <si>
    <t>20170410/3004063-20170410142223-TMDk2ZDkzMDkzOGY2ODQ2ZjM3NDBhZWM3YTVjZTNmNzg=-01043977565-record-10.10.62.138-1491805343.106495.mp3</t>
  </si>
  <si>
    <t>20170410/3004063-20170410135243-TMGUyOGI0MTVlNWEwMGVhYThmMTQxNTM1YjE4OTc2OWY=-01043977569-record-10.10.62.138-1491803563.94171.mp3</t>
  </si>
  <si>
    <t>20170410/3004063-20170410134208-TYWQzZmE4OTU5NWUxZTNlZTVhNzM1MWRjYTg3NTUwODA=-01043977567-record-10.10.62.138-1491802928.90647.mp3</t>
  </si>
  <si>
    <t>20170410/3004063-20170410132256-TYjYxOWIzM2Q5ZGVlYzA5ZjAzMzZjYzdjNTlhZGI3M2M=-01043977567-record-10.10.62.138-1491801776.85235.mp3</t>
  </si>
  <si>
    <t>20170410/3004063-20170410125859-TMDc1MzM5M2ZkN2NlMTBjMDNjNjQ1NDI4MDRjNWE1M2E=-13718091869-record-10.10.62.138-1491800339.80740.mp3</t>
  </si>
  <si>
    <t>20170410/3004063-20170410125710-TMjNhZjU5ZDYzNjYzY2IyYjgwOWRjYmViZDNjMTZmMjY=-01043989717-record-10.10.62.138-1491800230.80452.mp3</t>
  </si>
  <si>
    <t>20170410/3004063-20170410125212-TNWYxNjljZDRhZGViZmVlMTAyMmRmNDM2Y2ViZTYzNzM=-13699138136-record-10.10.62.138-1491799932.79724.mp3</t>
  </si>
  <si>
    <t>20170410/3004063-20170410124921-TOGMwMzY0YTVjNDQ1MDIyYzczZWM1ZWI0MGJkMmEyNjg=-01043977565-record-10.10.62.138-1491799761.79355.mp3</t>
  </si>
  <si>
    <t>20170410/3004063-20170410122545-TMDMxMzFiZjcxNDgyNmM1ZjZjMDgwZjQxYzI3ODI1NWQ=-01043989717-record-10.10.62.138-1491798345.76066.mp3</t>
  </si>
  <si>
    <t>20170410/3004063-20170410121222-TYmZkZDE3MDRjMzMxY2JiNDM0YjVhZTNmZmJjMjQwMWY=-01043977572-record-10.10.62.138-1491797542.73488.mp3</t>
  </si>
  <si>
    <t>20170410/3004063-20170410120558-TMGFiNWY5ZWY4NTAwMGQzZjAwNjZlOGI1MzU3NzZmZTQ=-01043977565-record-10.10.62.138-1491797158.72149.mp3</t>
  </si>
  <si>
    <t>20170410/3004063-20170410115742-TMzgzMGViN2RlZTVjZDZiZmU0MzVjNTU2YTIyNDk3OGU=-01043989717-record-10.10.62.138-1491796662.70080.mp3</t>
  </si>
  <si>
    <t>20170410/3004063-20170410114657-TZmQxMWJlZjA5ZTllMTkyNDc2MTgxNzYxYTczYjlhYTg=-01043977572-record-10.10.62.138-1491796017.66210.mp3</t>
  </si>
  <si>
    <t>20170410/3004063-20170410113501-TODlhZjNjN2I4NmQxNjlkZThiNGUyYjYwN2JiMDY2YTU=-01043977569-record-10.10.62.138-1491795301.61072.mp3</t>
  </si>
  <si>
    <t>20170410/3004063-20170410113435-TMWU3MDgyY2I3MTZjZDhkN2EyZGY1NzU2NzY5ZDA0MmE=-01043977572-record-10.10.62.138-1491795275.60872.mp3</t>
  </si>
  <si>
    <t>内蒙/赤峰</t>
  </si>
  <si>
    <t>20170410/3004063-20170410113130-TNjgwNjA5NmQxZGYwMTMyNTE1ZTMyOGZmNjM3ZjVlNWE=-01043989717-record-10.10.62.138-1491795090.59501.mp3</t>
  </si>
  <si>
    <t>20170410/3004063-20170410112236-TMjY2OGQxZDk4Yjc3ZDYyNjU1OGE5NDg0ODM3YjRiODU=-01043989717-record-10.10.62.138-1491794556.55640.mp3</t>
  </si>
  <si>
    <t>20170410/3004063-20170410111645-TOTFkZTYzYTU2Yzg4NGY5Y2NmYzM4MzZhYTY1ZjFjNWM=-01043977567-record-10.10.62.138-1491794205.53079.mp3</t>
  </si>
  <si>
    <t>20170410/3004063-20170410105244-TZWMyOGVlMjAwN2I5NGNjNGUzMDQ4ZDZjZWQwMDU5MmE=-01043977569-record-10.10.62.138-1491792764.42319.mp3</t>
  </si>
  <si>
    <t>山西/长治</t>
  </si>
  <si>
    <t>20170410/3004063-20170410104133-TNjI0M2QzOTBjNjc0NzM5MmNmM2QyNTk3YzMxYmVhODI=-01043977572-record-10.10.62.138-1491792093.37604.mp3</t>
  </si>
  <si>
    <t>江苏/南京</t>
  </si>
  <si>
    <t>20170410/3004063-20170410103921-TYWUyOTUzMjIwNmI5NGY0NjM3ZDU4YzhiMTVmZmJiZWY=-01043977567-record-10.10.62.138-1491791961.36659.mp3</t>
  </si>
  <si>
    <t>20170410/3004063-20170410102145-TN2RlNjhhNmJhODAzOWM4YTFjYzYyN2NlNWY4MTBiNzc=-01043977567-record-10.10.62.138-1491790905.29070.mp3</t>
  </si>
  <si>
    <t>黑龙江/牡丹江</t>
  </si>
  <si>
    <t>20170410/3004063-20170410101352-TMjU1MjIxZjAyNjczMGZiMTczNzk5MDM5N2MxZmE4Yzc=-01043989717-record-10.10.62.138-1491790432.25775.mp3</t>
  </si>
  <si>
    <t>20170410/3004063-20170410100056-TMzYyOWJkYTQyMWZmZDZiZmQwN2RmODI4ZjRlMzhkYmU=-01043977572-record-10.10.62.138-1491789656.20454.mp3</t>
  </si>
  <si>
    <t>20170410/3004063-20170410100032-TZmZlYjE2NjEwZTk1MzllMDNmNzRlNWZlYzM0YWQ1NWQ=-01043977567-record-10.10.62.138-1491789632.20286.mp3</t>
  </si>
  <si>
    <t>20170410/3004063-20170410094948-TZjk1ZGFkNzQ5ZTgzNGE1MGEzNTY5ODdlODhhODU0OTA=-01043977571-record-10.10.62.138-1491788988.16484.mp3</t>
  </si>
  <si>
    <t>20170410/3004063-20170410094812-TMDI2MzA4OWU3YWZlNGFiZTMzMmFhNTZlNGVlY2IxN2Y=-01043977567-record-10.10.62.138-1491788892.15984.mp3</t>
  </si>
  <si>
    <t>20170410/3004063-20170410094355-TZmZlNWVhOTY1MmE4NjA3NTUwZDUyZmI2ZWZmNTc5NzU=-01043977569-record-10.10.62.138-1491788635.14605.mp3</t>
  </si>
  <si>
    <t>20170410/3004063-20170410094232-TNzc1ZTNmZDgxNjk1NzZjMWI0MGRmMDhmNDFiNDRlMTc=-01043989717-record-10.10.62.138-1491788552.14176.mp3</t>
  </si>
  <si>
    <t>20170410/3004063-20170410093428-TOGVkMDcwNTM5MDlkY2VkYjVkOTAzOWM5MzgwMDc1Yzk=-01043977567-record-10.10.62.138-1491788068.11686.mp3</t>
  </si>
  <si>
    <t>20170410/3004063-20170410092559-TMjU1YTdlZTA2NmNhNzcwY2I5ZTI1NzUwYzQ1OWFiMGI=-01043977573-record-10.10.62.138-1491787559.9492.mp3</t>
  </si>
  <si>
    <t>20170410/3004063-20170410091954-TMGEwMGNlN2M3NDhhMDJkZTY0NTk0MDYwMWI4M2VhOGM=-01043977572-record-10.10.62.138-1491787194.7983.mp3</t>
  </si>
  <si>
    <t>20170410/3004063-20170410091600-TMDgxZDM3NzNmN2RkMWE4ZTc4ZjNkZjA1NGZiOGIwYTM=-01043977573-record-10.10.62.138-1491786960.7112.mp3</t>
  </si>
  <si>
    <t>20170410/3004063-20170410091030-TMDkzNjE1NTU5ZjdjYzA1ZGFkZDgyYzIzNzkzZmQ0M2Y=-01043977571-record-10.10.62.138-1491786630.6012.mp3</t>
  </si>
  <si>
    <t>20170410/3004063-20170410085602-TMzQxMDhjYThlNDJlMmI3ZWI3YWJmZjA3ZGFmZWJmYjI=-01043977571-record-10.10.62.138-1491785762.3986.mp3</t>
  </si>
  <si>
    <t>20170410/3004063-20170410085326-TZjhlMjU0MDhhNWM1NWNjMGQzNGQ5NzFiZTRlODZjODg=-01043989717-record-10.10.62.138-1491785606.3805.mp3</t>
  </si>
  <si>
    <t>20170410/3004063-20170410085022-TOGFjNDljNDM3ODRmMzBkYzVjMTQ2YjYwMzg2MzBmMjk=-01043977569-record-10.10.62.138-1491785422.3568.mp3</t>
  </si>
  <si>
    <t>20170410/3004063-20170410084818-TNThjZGZmZTA4Nzc0MzQ2NDUyYWYwNzdiYTBjMDlmZjM=-01043977572-record-10.10.62.138-1491785298.3405.mp3</t>
  </si>
  <si>
    <t>20170410/3004063-20170410084101-TYTdmNGZkZjU5ZjM4OTczYTczODc0YmU2MzUwOWFmNDk=-01043977571-record-10.10.62.138-1491784861.2970.mp3</t>
  </si>
  <si>
    <t>20170410/3004063-20170410083330-TZjdlZTdiYmViNmE0NjAzYzFlMGE2ZGQ4NDhlZTI4Mzg=-01043977573-record-10.10.62.138-1491784410.2598.mp3</t>
  </si>
  <si>
    <t>山东/菏泽</t>
  </si>
  <si>
    <t>20170410/3004063-20170410080948-TZmMxN2M4Njg0M2RlYWNmN2E2YjViNTkxODg1ZjAxYjI=-01043977573-record-10.10.62.138-1491782988.1626.mp3</t>
  </si>
  <si>
    <t>20170409/3004063-20170409201832-TNzNmNzI5YzZmZjc3ZDk0YzQyMzQ3NjY2ZDY4ZTcyZDM=-01043977572-record-10.10.62.138-1491740312.161275.mp3</t>
  </si>
  <si>
    <t>20170409/3004063-20170409192727-TMWI5MWYyNjZlZThhZDk3YWI0MDI4OWYyNDBiZTg0ZTk=-01043977572-record-10.10.62.138-1491737247.151223.mp3</t>
  </si>
  <si>
    <t>20170409/3004063-20170409184709-TOTEwZjRmNzhiZmVlNzlhM2Y1MWIzZWQ2NTJhZjg0ZDE=-01043977569-record-10.10.62.138-1491734829.143289.mp3</t>
  </si>
  <si>
    <t>20170409/3004063-20170409184700-TZGI4YTI3YmVhZjQyZWZhZjQ3ZmY1MjFkMWQ2MmQ2NjU=-01043977572-record-10.10.62.138-1491734820.143251.mp3</t>
  </si>
  <si>
    <t>20170409/3004063-20170409172534-TNzFjMzJkZjhhYTg5M2JkODM2NzYxOGMyNTVkMmRjODg=-01043977569-record-10.10.62.138-1491729934.129561.mp3</t>
  </si>
  <si>
    <t>20170409/3004063-20170409171751-TMGY0OGI3MjY2YTZkNWMwZjg3MDVmNGI4MDAxMDVmM2U=-13718091869-record-10.10.62.138-1491729471.127758.mp3</t>
  </si>
  <si>
    <t>20170409/3004063-20170409171541-TMGY0OGI3MjY2YTZkNWMwZjg3MDVmNGI4MDAxMDVmM2U=-13718091869-record-10.10.62.138-1491729341.127241.mp3</t>
  </si>
  <si>
    <t>20170409/3004063-20170409170812-TMGY0OGI3MjY2YTZkNWMwZjg3MDVmNGI4MDAxMDVmM2U=-13718091869-record-10.10.62.138-1491728892.125314.mp3</t>
  </si>
  <si>
    <t>20170409/3004063-20170409170756-TZDkzNDk1MzVmMDE4ZGQ1YzAwMDc0MWU4NDc1NzY1NmM=-01043989717-record-10.10.62.138-1491728876.125252.mp3</t>
  </si>
  <si>
    <t>20170409/3004063-20170409160958-TYjMzMjQ4ZDRkNmU4YTljNzg5MzA3ZmU2YzFiZmU4MzU=-01043977569-record-10.10.62.138-1491725398.107242.mp3</t>
  </si>
  <si>
    <t>20170409/3004063-20170409155439-TMmU5YmI1NDBlZDcyNzcxYTEyYWY2NGU2ODQwNjI4NmE=-01043977571-record-10.10.62.138-1491724479.102159.mp3</t>
  </si>
  <si>
    <t>20170409/3004063-20170409153752-TMWI4YTgyNzE3ZDhjNjFiNzMxODg1YzY1Y2ZiYjlhYWY=-01043977566-record-10.10.62.138-1491723472.96548.mp3</t>
  </si>
  <si>
    <t>20170409/3004063-20170409153625-TN2E3MWQxNWQ1ZDdkYjU1NGY3ODM3MTY5OTRlNmUyMDQ=-01043989717-record-10.10.62.138-1491723385.96059.mp3</t>
  </si>
  <si>
    <t>20170409/3004063-20170409152253-TZjRjMjgzYmRhMGY4NmM4MTM4NWFkZDU0MDEwMmI3MzE=-01043977569-record-10.10.62.138-1491722573.92081.mp3</t>
  </si>
  <si>
    <t>20170409/3004063-20170409151228-TNzZjZGFmZDEzYjYyNjk5N2QwZTYwOTdlODExYzg3MWY=-13699138136-record-10.10.62.138-1491721948.88992.mp3</t>
  </si>
  <si>
    <t>20170409/3004063-20170409150416-TNThmMWY4NmEwNTdlYWI3Mzk3YzczMWZjNTI2NjZjNjg=-01043977571-record-10.10.62.138-1491721456.86591.mp3</t>
  </si>
  <si>
    <t>20170409/3004063-20170409150149-TYTM2ZDk2MjYyNmU3MTBhYTU2ZjIwNTM5ZmEzYTdmNWM=-01043977566-record-10.10.62.138-1491721309.85790.mp3</t>
  </si>
  <si>
    <t>20170409/3004063-20170409145755-TZDJkOWVhZmI1NmY1NGJiYzJmNDQwYTEyMWFhNGI2ZTM=-01043989717-record-10.10.62.138-1491721075.84498.mp3</t>
  </si>
  <si>
    <t>20170409/3004063-20170409144740-TZTJhYmMzNzNkNDZhOWMwOTgyZTAzODE3YTY1NDI2ZDg=-01043977571-record-10.10.62.138-1491720460.81224.mp3</t>
  </si>
  <si>
    <t>20170409/3004063-20170409144427-TYmRhNWM4ZWY1OTFiMzk1NzU4M2M3ZTU3YWEyYTc0NDI=-01043977566-record-10.10.62.138-1491720267.80225.mp3</t>
  </si>
  <si>
    <t>20170409/3004063-20170409144205-TMzE1NDE2NjEwMjRhYTMwNzIzNzJmZjE2ZGUwNWMwZjA=-01043977569-record-10.10.62.138-1491720125.79470.mp3</t>
  </si>
  <si>
    <t>20170409/3004063-20170409143737-TNWQyMTAzMmQwMGY4OWUwMTVmZmY0MjQ3MGU4ODY2ZDA=-01043989717-record-10.10.62.138-1491719857.78100.mp3</t>
  </si>
  <si>
    <t>广西/桂林</t>
  </si>
  <si>
    <t>20170409/3004063-20170409141820-TZjA4YzI4MjA5Mzk2YTUzOTUxNTAzOTAwZjY0ODVmNTc=-01043977569-record-10.10.62.138-1491718700.72044.mp3</t>
  </si>
  <si>
    <t>20170409/3004063-20170409141010-TNTFkNjQzNWEyNThkYzZkZDI5ZmZkNWE4OWRhZjY2MGM=-01043977569-record-10.10.62.138-1491718210.69571.mp3</t>
  </si>
  <si>
    <t>福建/福州</t>
  </si>
  <si>
    <t>20170409/3004063-20170409135939-TNjZkY2JjYzJiZjE2ZGI4OTBjZGU0NGMyNTI2NTFiMmQ=-01043977569-record-10.10.62.138-1491717579.66652.mp3</t>
  </si>
  <si>
    <t>20170409/3004063-20170409134911-TNDNlNjRkNWRmODA4ZmQ5ZTliOGU3MjBjM2VkY2M2OWY=-01043989717-record-10.10.62.138-1491716951.64457.mp3</t>
  </si>
  <si>
    <t>江西/南昌</t>
  </si>
  <si>
    <t>20170409/3004063-20170409132209-TNzMzYjUzOGZjOGY0ODU0NmM5YzQ4ZDBjNDE5NTQ5ODA=-01043977569-record-10.10.62.138-1491715329.59377.mp3</t>
  </si>
  <si>
    <t>20170409/3004063-20170409132032-TYTk3MTE1MjFkNzY4ZmYxMmEyYmFiMjEyYzRlNDY0OTM=-01043977571-record-10.10.62.138-1491715232.59110.mp3</t>
  </si>
  <si>
    <t>20170409/3004063-20170409131735-TNGViMjUxZDMxZWRhNmQ1M2MxNzBlOGIxN2U1Y2UzZDc=-01043989717-record-10.10.62.138-1491715055.58649.mp3</t>
  </si>
  <si>
    <t>20170409/3004063-20170409131226-TZjU3YWEwNTgzNTVjN2QzYmMyMmU5ZmRiODk0NTZkYTc=-01043989717-record-10.10.62.138-1491714746.57777.mp3</t>
  </si>
  <si>
    <t>20170409/3004063-20170409125009-TNTFiNjhhZDI0Y2VhMWNjNjUwNmI0NmUyMGJjYzUwY2Q=-01043977569-record-10.10.62.138-1491713409.54987.mp3</t>
  </si>
  <si>
    <t>20170409/3004063-20170409125009-TMmZiMGE0YjRlMGYyMGFlNjg3NjE5YjMyMjUxNGVhM2Y=-01043977571-record-10.10.62.138-1491713409.54986.mp3</t>
  </si>
  <si>
    <t>河南/南阳</t>
  </si>
  <si>
    <t>20170409/3004063-20170409123111-TMGRhNTgwY2Y2OTkyNTBhMjBmNWQ3YjBkMDhlMTM1ZDY=-01043977569-record-10.10.62.138-1491712271.53183.mp3</t>
  </si>
  <si>
    <t>20170409/3004063-20170409122448-TMjM1NWZlYmRjN2U3MTYyYWZjODUwYTFlMDk3YmJjOTU=-01043989717-record-10.10.62.138-1491711888.52425.mp3</t>
  </si>
  <si>
    <t>内蒙/巴彦淖尔</t>
  </si>
  <si>
    <t>20170409/3004063-20170409120412-TOThlZTQ2YjVjYzFjZjRhZTczMmRhMmQ2OTI1ZTc1NmY=-01043989717-record-10.10.62.138-1491710652.50138.mp3</t>
  </si>
  <si>
    <t>20170409/3004063-20170409114238-TNjAwZjZhZjM1ZjMwZDY4ZjdjODFkMGUyOTI0MDU4Yzk=-01043977571-record-10.10.62.138-1491709358.45095.mp3</t>
  </si>
  <si>
    <t>20170409/3004063-20170409114004-TYTNjNzA3M2Q1YmE4M2U2MTMwNjY2NDAxMWVjOTFmZDM=-01043977569-record-10.10.62.138-1491709204.44349.mp3</t>
  </si>
  <si>
    <t>吉林/延边</t>
  </si>
  <si>
    <t>20170409/3004063-20170409113925-TMWIxNzU4NThkNTU2NWY5NDg2NjIwODczMmYxMzdlNmM=-01043989717-record-10.10.62.138-1491709165.44132.mp3</t>
  </si>
  <si>
    <t>20170409/3004063-20170409113203-TYTg4YTM5MTkxZTUyNjNlMWQ0MDQ5ZmFhYjA5MDNhNWY=-01043989717-record-10.10.62.138-1491708723.41683.mp3</t>
  </si>
  <si>
    <t>江苏/苏州</t>
  </si>
  <si>
    <t>20170409/3004063-20170409111423-TZWUzNTQyNzFiNzk4OGRhNzQxOGMxN2IxNTU0YzVlMzg=-01043977569-record-10.10.62.138-1491707663.36238.mp3</t>
  </si>
  <si>
    <t>20170409/3004063-20170409110418-TMmJjNmY1ZDdhMWIxYzhlOWZiZGQzMjZiMTE3MTdhMzg=-01043977569-record-10.10.62.138-1491707058.33186.mp3</t>
  </si>
  <si>
    <t>20170409/3004063-20170409110045-TZTQ3ZmFmZDdhYzExNDM3MWExZGRiYzYzYjdkYWY3MTA=-01043989717-record-10.10.62.138-1491706845.32201.mp3</t>
  </si>
  <si>
    <t>20170409/3004063-20170409105800-TMTAxNTk4NjUzOTBlMDUxZDY4ODYwMDFiMDU0NWUwOTk=-01043977572-record-10.10.62.138-1491706680.31417.mp3</t>
  </si>
  <si>
    <t>20170409/3004063-20170409103539-TMThiZjc4NDBhOTI5MGUxNTc1NGM0NTVjNTlmYTNjY2E=-01043977569-record-10.10.62.138-1491705339.24931.mp3</t>
  </si>
  <si>
    <t>20170409/3004063-20170409102745-TOTBmMTFhNTIwOWY1NTZmZTAyN2UyYzA4YzA0NGJkNjU=-01043989717-record-10.10.62.138-1491704865.22766.mp3</t>
  </si>
  <si>
    <t>20170409/3004063-20170409101409-TOTBmMTFhNTIwOWY1NTZmZTAyN2UyYzA4YzA0NGJkNjU=-01043977571-record-10.10.62.138-1491704049.19360.mp3</t>
  </si>
  <si>
    <t>20170409/3004063-20170409095720-TNzlkNjIyOGM3MjhiOWJiOWM4YTU5ZWE4NWJjNmZlN2Y=-01043989717-record-10.10.62.138-1491703040.15741.mp3</t>
  </si>
  <si>
    <t>20170409/3004063-20170409095443-TMzYxNGJmNjVlNTJlNjBhOGIzN2FhMTRmMzg2ZTg2Mjg=-01043977572-record-10.10.62.138-1491702883.15172.mp3</t>
  </si>
  <si>
    <t>20170409/3004063-20170409093232-TZjA3MzAxM2Y4YzcyNjNhNGRmZjJmY2FiOGZmYjc2NTc=-01043989717-record-10.10.62.138-1491701552.10324.mp3</t>
  </si>
  <si>
    <t>20170409/3004063-20170409093041-TNmM4M2E1ZjZhMGU4OTNjMzRlM2E3MzZkYzMzNzk1NmU=-01043977569-record-10.10.62.138-1491701441.9935.mp3</t>
  </si>
  <si>
    <t>20170409/3004063-20170409091532-TNDYxNWYxOGZhOWNhNjFiN2E2YmQ3NDA0NTQwYzgxZjY=-01043977569-record-10.10.62.138-1491700532.6980.mp3</t>
  </si>
  <si>
    <t>20170409/3004063-20170409091407-TY2UxMTk2MWRlN2RmNDFjZWI1NmU0YTYyMGY1MDhlNTE=-01043977571-record-10.10.62.138-1491700447.6718.mp3</t>
  </si>
  <si>
    <t>辽宁/锦州</t>
  </si>
  <si>
    <t>20170409/3004063-20170409091005-TOWE3OGVlNTcxOGMxZDEwM2I4Zjg4YmE3YmNkNjcxMzY=-01043989717-record-10.10.62.138-1491700205.6062.mp3</t>
  </si>
  <si>
    <t>山西/临汾</t>
  </si>
  <si>
    <t>20170409/3004063-20170409091002-TYTMxNzI2YjVhMjU3M2VkMTEwZTg5ZTE0N2RiYzk4ZTk=-01043977569-record-10.10.62.138-1491700202.6056.mp3</t>
  </si>
  <si>
    <t>20170409/3004063-20170409090214-TZTNjOTBiMjJjM2U0OTAzYjk3YjEzMTAwZTMzNjU5YzY=-01043977569-record-10.10.62.138-1491699734.4891.mp3</t>
  </si>
  <si>
    <t>20170409/3004063-20170409090007-TYjU3NGJmM2ZhOWExYWI4OTE4ZjU5YjIyNmIxNzZmZTE=-01043989717-record-10.10.62.138-1491699607.4584.mp3</t>
  </si>
  <si>
    <t>20170409/3004063-20170409085647-TYmExOGIxYzY2NTc3OTUwNWFmMjQ0ZTkyZTYyZDJiZTE=-01043977572-record-10.10.62.138-1491699407.4273.mp3</t>
  </si>
  <si>
    <t>20170409/3004063-20170409084356-TZTNjOTBiMjJjM2U0OTAzYjk3YjEzMTAwZTMzNjU5YzY=-01043977572-record-10.10.62.138-1491698636.3324.mp3</t>
  </si>
  <si>
    <t>20170408/3004063-20170408203310-TNjY0ZDEwMjFhNjI3N2U4MTNmNWYwYjI4NDBkNTgzYTA=-01043977566-record-10.10.62.138-1491654790.185532.mp3</t>
  </si>
  <si>
    <t>20170408/3004063-20170408194415-TYzIwODFiN2Q3ZTM1ZmYzZGJiMmFlNDI5ZmEyMzM2ZjU=-01043977566-record-10.10.62.138-1491651855.175010.mp3</t>
  </si>
  <si>
    <t>20170408/3004063-20170408193212-TYzIwODFiN2Q3ZTM1ZmYzZGJiMmFlNDI5ZmEyMzM2ZjU=-01043977573-record-10.10.62.138-1491651132.172182.mp3</t>
  </si>
  <si>
    <t>20170408/3004063-20170408185334-TZTU4MjAzNDM4OTdkZmRmMjMwNDY3MjIyYWNhMGJhZjc=-01043977565-record-10.10.62.138-1491648814.162526.mp3</t>
  </si>
  <si>
    <t>20170408/3004063-20170408184237-TYmE4YmRiNGM5ODNjYjNkZDQwYjAwOTlhNzUwMDAzNGI=-01043977565-record-10.10.62.138-1491648157.159832.mp3</t>
  </si>
  <si>
    <t>20170408/3004063-20170408182705-TYzhhMTg0NDA1NTFlNTFiZTU4Mzg2OTc1OGRiYTk3MDg=-13699138136-record-10.10.62.138-1491647225.156594.mp3</t>
  </si>
  <si>
    <t>20170408/3004063-20170408182333-TYTAxZTE0YjcxMWJlMGE1NDYzZjdmYTJjZDJiYjgwYzQ=-01043977566-record-10.10.62.138-1491647013.155910.mp3</t>
  </si>
  <si>
    <t>20170408/3004063-20170408174756-TOGE3YjY0OWI2MTAzZDExYzYxMjJjYzVhNzI2Y2IwN2I=-01043977573-record-10.10.62.138-1491644876.150515.mp3</t>
  </si>
  <si>
    <t>20170408/3004063-20170408174116-TOTYyNjZjN2Y2ODZlZDU3MTg4ZmEyNDdhOWNjMTNiNzA=-01043977565-record-10.10.62.138-1491644476.149756.mp3</t>
  </si>
  <si>
    <t>20170408/3004063-20170408170810-TZWQwMTYzZGU1ZDI1YWM3ZWY4Njc4ZWUwOTYyMDYxY2Y=-01043977568-record-10.10.62.138-1491642490.142895.mp3</t>
  </si>
  <si>
    <t>20170408/3004063-20170408165855-TMDgxMWQ2NjRlOWUwZjZkNTM0YmYzMjZjOTlkZmFiOGU=-01043977573-record-10.10.62.138-1491641935.139885.mp3</t>
  </si>
  <si>
    <t>20170408/3004063-20170408164338-TZmZhMzI2NjM4YjhkOWFlYmQ4NmYyZTEzMjVjMmUwZjU=-01043977573-record-10.10.62.138-1491641018.134499.mp3</t>
  </si>
  <si>
    <t>广东/广州</t>
  </si>
  <si>
    <t>20170408/3004063-20170408162153-TYTVjOWJmNjk5MzA4MzZkZDYxMWEzMTM2NjJiZWIzMmU=-01043977568-record-10.10.62.138-1491639713.127168.mp3</t>
  </si>
  <si>
    <t>20170408/3004063-20170408161239-TNjJhMGNmNGVmYzVlMmM3ZDQwNTVmMDE5ZWUxZDM3ODA=-01043977573-record-10.10.62.138-1491639159.124061.mp3</t>
  </si>
  <si>
    <t>20170408/3004063-20170408152554-TMGMzYTUwZmY0OTg0OGFmMWQxMzhmMzY2MmE4OGQwNjA=-01043977568-record-10.10.62.138-1491636354.107360.mp3</t>
  </si>
  <si>
    <t>20170408/3004063-20170408145244-TZDQ4OGJlMWM4YzZjNzk4MzEwMjcxNmViYTI3MTQwOWM=-01043977568-record-10.10.62.138-1491634364.95174.mp3</t>
  </si>
  <si>
    <t>20170408/3004063-20170408142915-TYTU2YWNhOTBhZjJhNDFkZDU3ZGI0MjdhOTNjMDc3M2Y=-01043977566-record-10.10.62.138-1491632955.86601.mp3</t>
  </si>
  <si>
    <t>20170408/3004063-20170408140539-TYzIwODFiN2Q3ZTM1ZmYzZGJiMmFlNDI5ZmEyMzM2ZjU=-01043977566-record-10.10.62.138-1491631539.78703.mp3</t>
  </si>
  <si>
    <t>转移:电话-01043977565</t>
  </si>
  <si>
    <t>20170408/3004063-20170408140011-TMjdkYjMzMGU2OTg1NzZkMzg1MzNhMDRlOWUzMWJhZGE=-01043977573-record-10.10.62.138-1491631211.77243.mp3</t>
  </si>
  <si>
    <t>20170408/3004063-20170408135835-TYzIwODFiN2Q3ZTM1ZmYzZGJiMmFlNDI5ZmEyMzM2ZjU=-01043977573-record-10.10.62.138-1491631115.76825.mp3</t>
  </si>
  <si>
    <t>20170408/3004063-20170408131823-TNGZmNWMzNjg0ZmYxZTU5YTQ1YWI0NTgyYTQ2ZjUzNjE=-01043977566-record-10.10.62.138-1491628703.66967.mp3</t>
  </si>
  <si>
    <t>20170408/3004063-20170408131457-TMGFiMDljMjBiM2RlZDkwOTIwOWI0MDRjZDNkNzAwMDc=-01043977568-record-10.10.62.138-1491628497.66218.mp3</t>
  </si>
  <si>
    <t>20170408/3004063-20170408131207-TZjI1ZGIxMTVkYjk2YmU0YTUzZGE5ZmQzNTc1ODE4MDA=-01043977565-record-10.10.62.138-1491628327.65606.mp3</t>
  </si>
  <si>
    <t>20170408/3004063-20170408130522-TZDkwOGJkOGM5ZWI5ZTIyZjRkNDA0YTJkMzdhMDU5MDE=-01043977573-record-10.10.62.138-1491627922.64216.mp3</t>
  </si>
  <si>
    <t>20170408/3004063-20170408130240-TYzIwODFiN2Q3ZTM1ZmYzZGJiMmFlNDI5ZmEyMzM2ZjU=-01043977568-record-10.10.62.138-1491627760.63643.mp3</t>
  </si>
  <si>
    <t>20170408/3004063-20170408125243-TYzIwODFiN2Q3ZTM1ZmYzZGJiMmFlNDI5ZmEyMzM2ZjU=-01043977568-record-10.10.62.138-1491627163.61980.mp3</t>
  </si>
  <si>
    <t>20170408/3004063-20170408122634-TNWY4NTViNDAzODI0YzIwMzU0YjM4NDk3NmI1Y2ZiNTU=-01043977568-record-10.10.62.138-1491625594.58938.mp3</t>
  </si>
  <si>
    <t>20170408/3004063-20170408120450-TOWQ3YmY3ODQxODNlMDhkNDYyOGMyNTcyMDgyNjk5NDU=-01043977573-record-10.10.62.138-1491624290.56436.mp3</t>
  </si>
  <si>
    <t>20170408/3004063-20170408114212-TMzc3YjA1YzkyMTE2MGNmMjczMjAxOWJmZTFlMGY5OWE=-01043977565-record-10.10.62.138-1491622932.50684.mp3</t>
  </si>
  <si>
    <t>20170408/3004063-20170408114124-TMzBmNzczODczYjRhZWY4MDdhNGJiODgxNDI3MjM5NzE=-01043977565-record-10.10.62.138-1491622884.50429.mp3</t>
  </si>
  <si>
    <t>20170408/3004063-20170408113923-TNmJmYzIwNjM3YWUzNDU3ZGVjY2E2N2UxMWNjNDk5NDc=-01043977565-record-10.10.62.138-1491622763.49760.mp3</t>
  </si>
  <si>
    <t>20170408/3004063-20170408113632-TZjQxNTY0M2VhOWE3OTYxN2U2MDYyZWM0NDBmOGM5Mjg=-01043977568-record-10.10.62.138-1491622592.48919.mp3</t>
  </si>
  <si>
    <t>20170408/3004063-20170408113457-TZTBjMWYxMzUyYTJmMzQzOGNiODc5M2IwZThlNWNhY2Q=-01043977565-record-10.10.62.138-1491622497.48475.mp3</t>
  </si>
  <si>
    <t>20170408/3004063-20170408113017-TNzVmYjgxMGEzMTY2M2EyZjM3MTA4NGE5NzdjOGZiYmI=-01043977573-record-10.10.62.138-1491622217.46820.mp3</t>
  </si>
  <si>
    <t>浙江/温州</t>
  </si>
  <si>
    <t>20170408/3004063-20170408105153-TMzllZTg3ZDE1ODhlNDE0MmU3ZTAyZTM3NjFlNzRiMmI=-01043977568-record-10.10.62.138-1491619913.33582.mp3</t>
  </si>
  <si>
    <t>黑龙江/鸡西</t>
  </si>
  <si>
    <t>20170408/3004063-20170408105140-TOGM0ZTQ4M2Y2YTA1YWQyNzU2MDAzZGM4Y2Q1M2ZkNTI=-13718091869-record-10.10.62.138-1491619900.33503.mp3</t>
  </si>
  <si>
    <t>20170408/3004063-20170408104240-TYWY5MGI1ZWZkYjhhNzgzODBhZDg2ODAyNzY3NDEzNjk=-01043977565-record-10.10.62.138-1491619360.30901.mp3</t>
  </si>
  <si>
    <t>20170408/3004063-20170408103649-TM2VkMmZjNjcwY2U2MDY5YTZkM2Y4YzBiNjFlYmE5OTU=-01043977573-record-10.10.62.138-1491619009.29074.mp3</t>
  </si>
  <si>
    <t>20170408/3004063-20170408102335-TZDdiNGJiYzY0NzE4YWJjZjZmZjdhZjRiZjA1MjEwOGM=-01043977573-record-10.10.62.138-1491618215.25014.mp3</t>
  </si>
  <si>
    <t>20170408/3004063-20170408100856-TNmNhZTM0NDY3Y2IyNGExM2Y1MGQ0NGIzODUxMDI0MjQ=-01043977568-record-10.10.62.138-1491617336.20743.mp3</t>
  </si>
  <si>
    <t>20170408/3004063-20170408095059-TMThjMWIyMjAxZGYyYTI0NWExMTVmNTI4ODI4ZThjNGI=-01043977573-record-10.10.62.138-1491616259.16434.mp3</t>
  </si>
  <si>
    <t>20170408/3004063-20170408094629-TNTRlNDU4YzljYzY1NDY3ODhhNDc4MTQ0MjUxZGJmYWI=-01043977565-record-10.10.62.138-1491615989.15401.mp3</t>
  </si>
  <si>
    <t>20170408/3004063-20170408093255-TM2I5YzcwOTQwYzA4MTA0MzNmNWE1ZWFjMzQzMGNhM2M=-01043977565-record-10.10.62.138-1491615175.12158.mp3</t>
  </si>
  <si>
    <t>20170408/3004063-20170408092725-TMTQzMTVmNTVmOGFkYzIyNWI1ZjBiMmU0MDQ0NTIwMzU=-01043977568-record-10.10.62.138-1491614845.10901.mp3</t>
  </si>
  <si>
    <t>20170408/3004063-20170408092426-TN2Y5ZGRlMjE0NDkxNWQ0MjY1YTFmY2I3MWExNWIwN2Q=-01043977573-record-10.10.62.138-1491614666.10208.mp3</t>
  </si>
  <si>
    <t>20170408/3004063-20170408085327-TMzc3YjA1YzkyMTE2MGNmMjczMjAxOWJmZTFlMGY5OWE=-01043977568-record-10.10.62.138-1491612807.4905.mp3</t>
  </si>
  <si>
    <t>20170408/3004063-20170408084841-TNzJjZDk0NDFmODQxZWZhMzZlNGYxYjMxY2ZmZmUxMGU=-01043977573-record-10.10.62.138-1491612521.4488.mp3</t>
  </si>
  <si>
    <t>20170408/3004063-20170408082926-TNWYxNjljZDRhZGViZmVlMTAyMmRmNDM2Y2ViZTYzNzM=-01043977567-record-10.10.62.138-1491611366.3157.mp3</t>
  </si>
  <si>
    <t>20170408/3004063-20170408081418-TMDZhZWI3MmQ5ZGM0ZWJkY2VhNTA2MjAyOThkNDA2NTk=-01043977573-record-10.10.62.138-1491610458.2329.mp3</t>
  </si>
  <si>
    <t>黑龙江/佳木斯</t>
  </si>
  <si>
    <t>20170407/3004063-20170407195907-TNDEwMjA1MTFjMjgxZmEzYWM0NzdhOTM2MzU2Yzc5NmE=-01043977571-record-10.10.62.138-1491566347.217861.mp3</t>
  </si>
  <si>
    <t>20170407/3004063-20170407194253-TMmYyMTBjNmNlNGNlMzJmYzBlNDJlNmZhNDU5NDg2YTY=-01043977572-record-10.10.62.138-1491565373.213955.mp3</t>
  </si>
  <si>
    <t>李燕龙</t>
  </si>
  <si>
    <t>20170407/3004063-20170407193902-TMjlkNzQ1MTAzZjY5MGE5YzliMmRmNjdiZmVmM2VlOWU=-01043989720-record-10.10.62.138-1491565142.213069.mp3</t>
  </si>
  <si>
    <t>20170407/3004063-20170407191122-TZmFkNGM4ZTlkNDgwMTcyMTE4NjU3ODZiZWE2NTNlNzk=-01043989720-record-10.10.62.138-1491563482.206176.mp3</t>
  </si>
  <si>
    <t>20170407/3004063-20170407184905-TNWQwMWVmYzIyMTUwM2I4YTMwN2Q4MGE0NDE4YjU5Y2M=-01043977573-record-10.10.62.138-1491562145.200517.mp3</t>
  </si>
  <si>
    <t>20170407/3004063-20170407183718-TMDRkMTgyMzk3ZTQxNzdiNjdmYzRiY2UyMzY4NWU1MmI=-01043977572-record-10.10.62.138-1491561438.197081.mp3</t>
  </si>
  <si>
    <t>20170407/3004063-20170407182816-TNjBlZDdiMjAxODk1NGQ1OTJiN2E0YmYyNGE5YzZkNDI=-13699138136-record-10.10.62.138-1491560896.194388.mp3</t>
  </si>
  <si>
    <t>20170407/3004063-20170407182737-TNTk3ZTUxZWMwZDg5YzY5YjQ4ZGJhYjEyMTkwNzIxZTA=-01043989720-record-10.10.62.138-1491560857.194217.mp3</t>
  </si>
  <si>
    <t>20170407/3004063-20170407182603-TMmE0Yzk0MTY2YjBiMmQ4MmUxZmVjYjFmOWYwMzgzYTI=-01043977572-record-10.10.62.138-1491560763.193654.mp3</t>
  </si>
  <si>
    <t>河南/商丘</t>
  </si>
  <si>
    <t>20170407/3004063-20170407174125-TNDFkMzBkNzE4NGMxMTk4YWI1MzdkNGE5MTY4NTAyNDE=-01043977572-record-10.10.62.138-1491558085.182278.mp3</t>
  </si>
  <si>
    <t>20170407/3004063-20170407173858-TYTA2OTY5ZjI3MzA2Yzc2NDg0ZDY2ODg4NjAxMDE3MGE=-01043989720-record-10.10.62.138-1491557938.181699.mp3</t>
  </si>
  <si>
    <t>20170407/3004063-20170407170439-TNjU0MWZhOTAyOTRlNTZlNjlhNzAzNjM0OGI1MjkyYzg=-01043977569-record-10.10.62.138-1491555879.169993.mp3</t>
  </si>
  <si>
    <t>浙江/杭州</t>
  </si>
  <si>
    <t>20170407/3004063-20170407164251-TMDNhYmUwNjY0NWIyZGZhZmIyMTk0OWVjZjY5MWNiMGY=-01043977568-record-10.10.62.138-1491554571.159517.mp3</t>
  </si>
  <si>
    <t>20170407/3004063-20170407163935-TMWE2ZWE3NmY4NzhiZjk5MTUyMmE1ZGNiM2I5MTAzMzM=-01043977568-record-10.10.62.138-1491554375.157775.mp3</t>
  </si>
  <si>
    <t>20170407/3004063-20170407163225-TNzBmY2IwNDA5MmI0ZmY4YTU1MDk0ZGJiYjRkYWQ5NzM=-01043977565-record-10.10.62.138-1491553945.154028.mp3</t>
  </si>
  <si>
    <t>20170407/3004063-20170407163013-TNDc0MmI4ODhiYWU3ZDA5NDgxMzE3MGYyZGZhYzliODk=-01043977566-record-10.10.62.138-1491553813.152916.mp3</t>
  </si>
  <si>
    <t>20170407/3004063-20170407162713-TNjVhOTUwMzU0NGI3NjZlMzdmZThjMDI3YjNiOTMyYzI=-01043989717-record-10.10.62.138-1491553633.151385.mp3</t>
  </si>
  <si>
    <t>20170407/3004063-20170407162705-TNjY0YjdiOTBkOTlhNjczZTZmMTdkYjQ2YjI4Nzg4NDI=-01043977569-record-10.10.62.138-1491553625.151314.mp3</t>
  </si>
  <si>
    <t>20170407/3004063-20170407162442-TYTM2M2IxMmYwMGRmZWE5ZDJiYmVhMWU0Y2VlMDU5NTk=-01043977572-record-10.10.62.138-1491553482.150078.mp3</t>
  </si>
  <si>
    <t>20170407/3004063-20170407161425-TYjg5YjFmMzJlZTcwZGZlODRkMWZmMzY1NDllYTQxMzA=-01043977566-record-10.10.62.138-1491552865.144629.mp3</t>
  </si>
  <si>
    <t>20170407/3004063-20170407160543-TYzc3YzQ2YTlmMzI5MWY2ZTA3NWIzNjM2NjcwNzAwZjY=-13718091869-record-10.10.62.138-1491552343.140301.mp3</t>
  </si>
  <si>
    <t>20170407/3004063-20170407160449-TNTZlNzUwYzI4NTljOGYxZDlmZDIzNDBjNmI2ODI1YWE=-01043989717-record-10.10.62.138-1491552289.139778.mp3</t>
  </si>
  <si>
    <t>国际/国际</t>
  </si>
  <si>
    <t>20170407/3004063-20170407160323-TOTU1NjRkNmZhOTVlNGFmMmU4NWI2ZGYzZGI3MzViYjU=-01043977566-record-10.10.62.138-1491552203.139046.mp3</t>
  </si>
  <si>
    <t>20170407/3004063-20170407160224-TNTA5YTE0YmQ2YzYwNjQwYTdkMmNjZjUxMTBhY2E1ZTU=-01043977565-record-10.10.62.138-1491552144.138544.mp3</t>
  </si>
  <si>
    <t>20170407/3004063-20170407155908-TNzc0YWUwMmZlYzM0NGNjMTQ2MTJjMGI1NjFmODA5YWQ=-01043977568-record-10.10.62.138-1491551948.136936.mp3</t>
  </si>
  <si>
    <t>20170407/3004063-20170407155031-TZmY5YmNkYmJiMmI5MDg0N2NlNTBlNTkwZDE0ZGFiM2Y=-01043989717-record-10.10.62.138-1491551431.132524.mp3</t>
  </si>
  <si>
    <t>20170407/3004063-20170407154828-TMTNhZjExMmY1M2UxNzhjNTdlOWFlM2M4ZGY1NDJlNTE=-01043977566-record-10.10.62.138-1491551308.131495.mp3</t>
  </si>
  <si>
    <t>20170407/3004063-20170407154623-TOWZlY2I4ZTMwNTA0ODAyMTEyMjg0N2YxZWIxZGUxZWY=-01043977569-record-10.10.62.138-1491551183.130480.mp3</t>
  </si>
  <si>
    <t>20170407/3004063-20170407154047-TODk0NTJmNTFlYmQyNDRmZGFmMjRkNzM4Zjg3MDBjN2I=-01043977565-record-10.10.62.138-1491550847.127572.mp3</t>
  </si>
  <si>
    <t>20170407/3004063-20170407153435-TZjMwZTZlZmI0MzllMzFhOTQ1MzRjN2Y4NDNhYWU4OGU=-01043977572-record-10.10.62.138-1491550475.124403.mp3</t>
  </si>
  <si>
    <t>20170407/3004063-20170407152354-TYTI2MDU4Yzc5MTcwNzEzOTQyMGQzYjQ2NGZjMTFjZGM=-01043977566-record-10.10.62.138-1491549834.118754.mp3</t>
  </si>
  <si>
    <t>山东/济南</t>
  </si>
  <si>
    <t>20170407/3004063-20170407151259-TOWFhMTliMmZmMTk4YTkwNmI5ZDI1Zjg4ZGUzYmQ1OTQ=-01043977573-record-10.10.62.138-1491549179.113331.mp3</t>
  </si>
  <si>
    <t>20170407/3004063-20170407151133-TYTk2MjI4NzhkOTExNTQ3ZWVjZDFmMGJhZDdmMzkxMDE=-01043989717-record-10.10.62.138-1491549093.112601.mp3</t>
  </si>
  <si>
    <t>20170407/3004063-20170407150345-TYjViYjNlZDU4MzAxODg5MWYxOGNkOTgwMzVjNzg4MWI=-01043977572-record-10.10.62.138-1491548625.108987.mp3</t>
  </si>
  <si>
    <t>20170407/3004063-20170407150218-TNzZjZGFmZDEzYjYyNjk5N2QwZTYwOTdlODExYzg3MWY=-01043977566-record-10.10.62.138-1491548538.108304.mp3</t>
  </si>
  <si>
    <t>20170407/3004063-20170407145647-TZTg2NjU4MWJlZjhlNmQxMWNiNDQzZDU1MDEwYzRhMGQ=-01043989717-record-10.10.62.138-1491548207.105731.mp3</t>
  </si>
  <si>
    <t>20170407/3004063-20170407145318-TNmE1MmJmNjYxY2Y2NTAzYzEzNzdmZGJjZTUzN2FiMDQ=-01043977573-record-10.10.62.138-1491547998.104163.mp3</t>
  </si>
  <si>
    <t>20170407/3004063-20170407143756-TY2ZmZDJmNzZkMTE1NzU3Yjg1MGM3OWQ0OTY4MTM0NjE=-01043977572-record-10.10.62.138-1491547076.97300.mp3</t>
  </si>
  <si>
    <t>20170407/3004063-20170407143440-TMjVmOGQ0OTFhMWU4MzEyNWIwOTBmZmNkM2FmODQzYmI=-13699138136-record-10.10.62.138-1491546880.95805.mp3</t>
  </si>
  <si>
    <t>20170407/3004063-20170407143030-TNjJjZWEzNjQwMmIwMzM4NGJiOTU3YWEwMDVhZjUxZDM=-18600169000-record-10.10.62.138-1491546630.93870.mp3</t>
  </si>
  <si>
    <t>20170407/3004063-20170407141525-TNjM5M2M1OGQzNzdjMGUzZGU3OTRjMGNkN2FlYTRmODU=-01043989717-record-10.10.62.138-1491545725.86922.mp3</t>
  </si>
  <si>
    <t>20170407/3004063-20170407141437-TNjJjZWEzNjQwMmIwMzM4NGJiOTU3YWEwMDVhZjUxZDM=-13718091869-record-10.10.62.138-1491545677.86590.mp3</t>
  </si>
  <si>
    <t>20170407/3004063-20170407141002-TZWRkNzY0ODYwMWQ5ODhjZDNjMTBmZjMwOTEyODg5Y2Y=-01043977568-record-10.10.62.138-1491545402.84720.mp3</t>
  </si>
  <si>
    <t>20170407/3004063-20170407140932-TMTJkNDQ5ZDU4MmNlMDNmZmVjNDdhOTgxOGFjYjM3ZDk=-01043977569-record-10.10.62.138-1491545372.84521.mp3</t>
  </si>
  <si>
    <t>20170407/3004063-20170407134114-TZWNkZjZjYzYxZjgzMDdlNGJmMjMzNjQ4ZDEzNjZjYjE=-01043977568-record-10.10.62.138-1491543674.75208.mp3</t>
  </si>
  <si>
    <t>20170407/3004063-20170407134006-TNDNlYWU3MWY0NTJjZDQ4ZjhhMjM3OTYzZjMyZmQ2OGQ=-01043977569-record-10.10.62.138-1491543606.74848.mp3</t>
  </si>
  <si>
    <t>20170407/3004063-20170407133723-TODRlMDJjOGQ1YmE3NjBhNjI5ZGY4MmM1ODM3MDMzMWM=-01043977568-record-10.10.62.138-1491543443.74068.mp3</t>
  </si>
  <si>
    <t>20170407/3004063-20170407132258-TMTkyNGYyMzJjNjJmZWYwZTdkNzNiY2EzNzE3YTU5NDc=-01043977568-record-10.10.62.138-1491542578.70835.mp3</t>
  </si>
  <si>
    <t>20170407/3004063-20170407131619-TNjJjZWEzNjQwMmIwMzM4NGJiOTU3YWEwMDVhZjUxZDM=-01043977568-record-10.10.62.138-1491542179.69783.mp3</t>
  </si>
  <si>
    <t>20170407/3004063-20170407124119-TMmJlYTE4Y2I1OTA3MjY5NTExMDE0ZmI0ZmE5MjIwZjQ=-01043977569-record-10.10.62.138-1491540079.65721.mp3</t>
  </si>
  <si>
    <t>20170407/3004063-20170407123116-TNjJjZWEzNjQwMmIwMzM4NGJiOTU3YWEwMDVhZjUxZDM=-01043977565-record-10.10.62.138-1491539476.64722.mp3</t>
  </si>
  <si>
    <t>20170407/3004063-20170407122612-TODA0NGUxM2U3MTM3NDEzYWFlODY3YzZiNTZhOTEwYjk=-01043977568-record-10.10.62.138-1491539172.64120.mp3</t>
  </si>
  <si>
    <t>20170407/3004063-20170407122121-TOWRkNTA2NjI0N2IzMGQxYmU2NDBmYzA1Mzg5MmVhNDY=-01043977573-record-10.10.62.138-1491538881.63432.mp3</t>
  </si>
  <si>
    <t>甘肃/兰州</t>
  </si>
  <si>
    <t>20170407/3004063-20170407120412-TNDQ4N2VhNWE5ZDFjNzk0OTMxY2NmNGU1NWNjMjVkODY=-01043977568-record-10.10.62.138-1491537852.60510.mp3</t>
  </si>
  <si>
    <t>20170407/3004063-20170407112935-TYjAyMjgxZGVmMDBiMDhlNDRmODM5ZmVjMGE3OWM0YWM=-01043977569-record-10.10.62.138-1491535775.50653.mp3</t>
  </si>
  <si>
    <t>20170407/3004063-20170407111137-TN2U3MjY2MTQxOWY3ZTc5MzNjMDYwMjk0M2JmZGVhYzI=-01043977565-record-10.10.62.138-1491534697.44124.mp3</t>
  </si>
  <si>
    <t>20170407/3004063-20170407110823-TODUzNTFkNjZhMmM2MjcwMGNhYTQzZTk3MmMxZjg1YjQ=-01043989720-record-10.10.62.138-1491534503.42992.mp3</t>
  </si>
  <si>
    <t>20170407/3004063-20170407105900-TNzQxZDVhOGQzZDA3YTJjNjYyYWI3NGM2YjI2MzE2NmM=-01043977566-record-10.10.62.138-1491533940.39748.mp3</t>
  </si>
  <si>
    <t>20170407/3004063-20170407105705-TNDViODhlYTRmNzIwYmExNjI1Yzc0NzE5MDZiZDYwYmI=-01043977565-record-10.10.62.138-1491533825.39118.mp3</t>
  </si>
  <si>
    <t>20170407/3004063-20170407105307-TM2EyYzMyMDBiMWFhMWQxNzM4ZmZmZDdhOTEwMGI5YjE=-01043989717-record-10.10.62.138-1491533587.37782.mp3</t>
  </si>
  <si>
    <t>20170407/3004063-20170407105227-TN2ZkY2U4ZmQ4YzUwMGRmZDc5YmY0NTExZWM1ZmYzMGE=-01043977571-record-10.10.62.138-1491533547.37542.mp3</t>
  </si>
  <si>
    <t>20170407/3004063-20170407104334-TZjkzOGUxNjgxZjU0ZDRhNDlmMDUyZGU3ZTZiZWZlMDg=-01043989717-record-10.10.62.138-1491533014.34573.mp3</t>
  </si>
  <si>
    <t>20170407/3004063-20170407104220-TNTJiMmJlZDcxMTEyMjg2MjhmMTkyZGI5NGFjYTU5N2E=-01043977566-record-10.10.62.138-1491532940.34195.mp3</t>
  </si>
  <si>
    <t>陕西/宝鸡</t>
  </si>
  <si>
    <t>20170407/3004063-20170407103909-TN2IxYTAxODJhODNhMTEzYzI3MTExZmE0MzI4MWM4YmM=-01043977568-record-10.10.62.138-1491532749.33066.mp3</t>
  </si>
  <si>
    <t>20170407/3004063-20170407103359-TN2IxYTAxODJhODNhMTEzYzI3MTExZmE0MzI4MWM4YmM=-01043977568-record-10.10.62.138-1491532439.31184.mp3</t>
  </si>
  <si>
    <t>20170407/3004063-20170407102850-TYWJkNmU5ZTkyNTA1ZGRjYzFmNjNmYWYzNTcyYzhmMDM=-01043977573-record-10.10.62.138-1491532130.29376.mp3</t>
  </si>
  <si>
    <t>20170407/3004063-20170407102326-TMWM4YzA0YWUwOTRjNWVlZTZkZWZjYmU4MmQ5MDMzN2I=-01043989720-record-10.10.62.138-1491531806.27552.mp3</t>
  </si>
  <si>
    <t>20170407/3004063-20170407101927-TZjcyNmM4NzdhODhlYzM3N2JhYjk5NTgyNWVkODcxMjI=-01043989717-record-10.10.62.138-1491531567.25963.mp3</t>
  </si>
  <si>
    <t>20170407/3004063-20170407101850-TMDUwNjQyZTQyY2ZiYjA2NmEwM2FiZWMzZjgwOGRjNzE=-01043977566-record-10.10.62.138-1491531530.25698.mp3</t>
  </si>
  <si>
    <t>20170407/3004063-20170407101652-TMDMyN2M5MDliNzViODIyNGI4NGIzZDA3Nzk1YjNiZDU=-01043989720-record-10.10.62.138-1491531412.25004.mp3</t>
  </si>
  <si>
    <t>山东/聊城</t>
  </si>
  <si>
    <t>20170407/3004063-20170407100426-TZGI1YjY5NGE4MGM1MDhjODI5ZTEwMWE3YTRkNWIxNTY=-01043989717-record-10.10.62.138-1491530666.20751.mp3</t>
  </si>
  <si>
    <t>20170407/3004063-20170407100302-TMDk1MWM4Yzc1ZjZiZmQ3YzY4YWMyNzg0MmJmMDU1NzY=-01043977565-record-10.10.62.138-1491530582.20328.mp3</t>
  </si>
  <si>
    <t>20170407/3004063-20170407095905-TZWVlNWNiZjMwM2ZiNzI5NWM3MmY1YTllNWM3ODUwY2Y=-01043977573-record-10.10.62.138-1491530345.18985.mp3</t>
  </si>
  <si>
    <t>20170407/3004063-20170407094216-TMjk5NTY2MWVhODY4NGQ2Yzg0YmZlZjA4NDNiNTBkZDg=-01043977573-record-10.10.62.138-1491529336.13491.mp3</t>
  </si>
  <si>
    <t>20170407/3004063-20170407093918-TZDk3NzViZDM4ZDZjZDhkNjdmNzA0MGRkZGZlOWMzYjQ=-01043977568-record-10.10.62.138-1491529158.12643.mp3</t>
  </si>
  <si>
    <t>吉林/辽源</t>
  </si>
  <si>
    <t>20170407/3004063-20170407092628-TZDczMzBiM2E5YTNjYmNiOTIxZGU5ZmY2ZjJhZTU3ZDU=-01043977568-record-10.10.62.138-1491528388.9178.mp3</t>
  </si>
  <si>
    <t>20170407/3004063-20170407091121-TYjk2ZTkwNzAwMGM5MjE5ODQxYTk1ZTI1MzRkMTM1YmI=-01043977573-record-10.10.62.138-1491527481.5750.mp3</t>
  </si>
  <si>
    <t>20170407/3004063-20170407091002-TZjhlMjU0MDhhNWM1NWNjMGQzNGQ5NzFiZTRlODZjODg=-01043977569-record-10.10.62.138-1491527402.5499.mp3</t>
  </si>
  <si>
    <t>20170407/3004063-20170407090628-TMWY1MTBmNzJlMzAyMDJmZjI4ZjhiNDNhOTEzZDY2Y2U=-01043977568-record-10.10.62.138-1491527188.4896.mp3</t>
  </si>
  <si>
    <t>20170407/3004063-20170407090535-TNjYyOTE1MTM2YWMxMDcwYzBkNjNkMjQwY2IxNWMyMTA=-01043989717-record-10.10.62.138-1491527135.4736.mp3</t>
  </si>
  <si>
    <t>20170407/3004063-20170407090500-TMGE4OWU1M2E5NmZjY2ZjYTM4NjQ0MTMwZTEzMWVhMDQ=-01043989720-record-10.10.62.138-1491527100.4629.mp3</t>
  </si>
  <si>
    <t>20170407/3004063-20170407090313-TYmNmMTU5ODc3YTgxODUyMWNlMzBlN2QyODFlZWU3M2M=-01043989720-record-10.10.62.138-1491526993.4367.mp3</t>
  </si>
  <si>
    <t>20170407/3004063-20170407090121-TZjUwNWNhMDM5YjdiYzliM2JiZDRlZjEyNDQ2NTQyNjE=-01043989720-record-10.10.62.138-1491526881.4116.mp3</t>
  </si>
  <si>
    <t>20170407/3004063-20170407085655-TNzA3ZjQzM2Y5ZDc3YzM1Mjk5YTgxMTNiODA0OWM1OGE=-01043977573-record-10.10.62.138-1491526615.3744.mp3</t>
  </si>
  <si>
    <t>河南/许昌</t>
  </si>
  <si>
    <t>20170407/3004063-20170407084255-TOTFhYzk2YWYzOWI2MjhmNjllNDk2MWIxYjE5NmE0MWQ=-01043977571-record-10.10.62.138-1491525775.2930.mp3</t>
  </si>
  <si>
    <t>20170407/3004063-20170407082526-TMTM4ZDc5NGFiMTMxOGYyNzcyMzFmN2VhMzA4MDA5MzI=-01043989717-record-10.10.62.138-1491524726.2133.mp3</t>
  </si>
  <si>
    <t>20170407/3004063-20170407081253-TN2FkNWEzNmZlNmMzNWFkZmRkNzA4NzcwZmQzZGE1OTI=-01043977571-record-10.10.62.138-1491523973.1668.mp3</t>
  </si>
  <si>
    <t>20170406/3004063-20170406202419-TMTMxZDU4NGE2MWQ1NzdjNWJhZTQ3NzUwMjI2OTFiZWM=-01043977568-record-10.10.62.138-1491481459.219614.mp3</t>
  </si>
  <si>
    <t>20170406/3004063-20170406200632-TYWEyMGYxMWU2NDhmMWM4Y2M5ZTVkZTZmZGUyNzVlZDg=-01043977568-record-10.10.62.138-1491480392.216015.mp3</t>
  </si>
  <si>
    <t>20170406/3004063-20170406194836-TOGU3ODIxMTIyMWUxMDM1Y2VhZTVhZDdjYWE0YjI4MzQ=-01043989720-record-10.10.62.138-1491479316.212684.mp3</t>
  </si>
  <si>
    <t>20170406/3004063-20170406191823-TMTU2MTkyYmJiNGZhMGMzMjA0ZTZhOWQ1ZTI1YzViNDM=-01043989720-record-10.10.62.138-1491477503.207580.mp3</t>
  </si>
  <si>
    <t>20170406/3004063-20170406190234-TZWU2ZGUyODEzOTEwMWViYjQ5MTZiZWIzM2RkNzA5MTU=-01043989719-record-10.10.62.138-1491476554.203905.mp3</t>
  </si>
  <si>
    <t>20170406/3004063-20170406190051-TNzNhYzVhZjE4NDQ1NWZiZDU1Y2VhM2I4ZDVjZDA5ZGU=-01043989720-record-10.10.62.138-1491476451.203517.mp3</t>
  </si>
  <si>
    <t>20170406/3004063-20170406185543-TYWExNTUyNWU1YThmMDUxMjliODQ3YTA1YzVmMjg1NTc=-01043977566-record-10.10.62.138-1491476143.202389.mp3</t>
  </si>
  <si>
    <t>20170406/3004063-20170406185022-TMWVkZjBiYWQ4M2M1NTUxN2Q5YTZkNDk2YjM2N2I2YjI=-01043989719-record-10.10.62.138-1491475822.201180.mp3</t>
  </si>
  <si>
    <t>河南/鹤壁</t>
  </si>
  <si>
    <t>20170406/3004063-20170406185013-TMjE3MTc2NGRlZjM4NmZlZDJhNzNkY2MwYzE0NzQ5NjE=-01043989720-record-10.10.62.138-1491475813.201139.mp3</t>
  </si>
  <si>
    <t>20170406/3004063-20170406184638-TNDhkODAyY2EyN2RkYzllZDU0NTk4YThlZGI5NTVkYjM=-01043977568-record-10.10.62.138-1491475598.200393.mp3</t>
  </si>
  <si>
    <t>20170406/3004063-20170406182845-TOTU5ZjJkNTU5NmYwZTlkOWE0MzYwOTI5NGE3NmE2YjA=-01043989720-record-10.10.62.138-1491474525.196476.mp3</t>
  </si>
  <si>
    <t>江西/新余</t>
  </si>
  <si>
    <t>20170406/3004063-20170406181339-TODEyMzgzMTY0ZWM0ODkzZjEyZmMwYzg3Yjg2OGEwM2I=-01043977568-record-10.10.62.138-1491473619.193043.mp3</t>
  </si>
  <si>
    <t>20170406/3004063-20170406175522-TOGNmMzk4NzYxMTg5ZDU0NmY4MWNkN2YyYmM4OTE4OTk=-13718091869-record-10.10.62.138-1491472522.189343.mp3</t>
  </si>
  <si>
    <t>20170406/3004063-20170406175350-TMjllZmFiMzhjMjNhYTQ5MDVjMzI2YTMzYWRlNzE0ZGQ=-01043989720-record-10.10.62.138-1491472430.188984.mp3</t>
  </si>
  <si>
    <t>20170406/3004063-20170406175311-TN2VhM2I5ZmVjODg5Y2EyODY5ZGUyZDI0NzRkYzljYmM=-01043977565-record-10.10.62.138-1491472391.188821.mp3</t>
  </si>
  <si>
    <t>20170406/3004063-20170406165456-TMDgwYzljYTIwYTk1MmNkYjA3MTg3ZjJkNzVlMjMwNjc=-01043989719-record-10.10.62.138-1491468896.170642.mp3</t>
  </si>
  <si>
    <t>20170406/3004063-20170406165115-TZmEzZGZhODdmN2IyYWU3MzFlMWQ2ZWVjYTVmZWI0MWY=-01043989717-record-10.10.62.138-1491468675.169237.mp3</t>
  </si>
  <si>
    <t>20170406/3004063-20170406164844-TOTQ3MGFlNzkyZjhmYzNjN2RkZDAyOWI3ZGUwNmU1NjM=-01043977569-record-10.10.62.138-1491468524.168148.mp3</t>
  </si>
  <si>
    <t>20170406/3004063-20170406164807-TZDhkN2YwNGFmNjBmNWUyNTM1MTI2ZjIwNzMzNzExNTU=-01043989720-record-10.10.62.138-1491468487.167894.mp3</t>
  </si>
  <si>
    <t>20170406/3004063-20170406164259-TNTJiMmJlZDcxMTEyMjg2MjhmMTkyZGI5NGFjYTU5N2E=-01043977569-record-10.10.62.138-1491468179.165588.mp3</t>
  </si>
  <si>
    <t>20170406/3004063-20170406164252-TNzBiMDc3MDYwZjNmM2JmNTI0NjY4MGY0OTcyZjlhZGQ=-01043977565-record-10.10.62.138-1491468172.165545.mp3</t>
  </si>
  <si>
    <t>湖北/黄冈</t>
  </si>
  <si>
    <t>20170406/3004063-20170406164036-TMTViZWJkM2ZiMDUxNTMzMjY5MDhiMzY5YTFmZWFkM2I=-01043989720-record-10.10.62.138-1491468036.164516.mp3</t>
  </si>
  <si>
    <t>20170406/3004063-20170406163958-TYjg4OWU4NjY4ZmNhYzEyZDc4ZGQ4MzZkYTNmYTcyNWM=-01043977568-record-10.10.62.138-1491467998.164241.mp3</t>
  </si>
  <si>
    <t>20170406/3004063-20170406163528-TMDk0Nzk2NTFmYTE0NjM3MzFkZDM1OTg0NzIzMzFmMTY=-01043989717-record-10.10.62.138-1491467728.162260.mp3</t>
  </si>
  <si>
    <t>20170406/3004063-20170406162508-TMjg0YjRmMzAyMGI4YWRjNTkyM2M1YmIwYmY1NDVhNTg=-01043977565-record-10.10.62.138-1491467108.157645.mp3</t>
  </si>
  <si>
    <t>20170406/3004063-20170406162029-TOWJjZTI0MDIzMGI1OTI4YjUzZTdkOTM2MmQyYzQ4ZGY=-01043977568-record-10.10.62.138-1491466829.155626.mp3</t>
  </si>
  <si>
    <t>20170406/3004063-20170406160945-TOGEwOGNkNjk5NWNhODQ0MTFkZjNiNTcyOWNhZjI1YmY=-01043977568-record-10.10.62.138-1491466185.150992.mp3</t>
  </si>
  <si>
    <t>20170406/3004063-20170406153536-TNmMyYzUxOTk1Y2UyZWYxZmM5MzVlNjJiMmVmOTIwMTM=-01043989717-record-10.10.62.138-1491464136.135486.mp3</t>
  </si>
  <si>
    <t>20170406/3004063-20170406151639-TNmYzNGQ4NDZkZTU0MzI5NTU2MWE1NWZkMzNjM2IwYzA=-01043977566-record-10.10.62.138-1491462999.126945.mp3</t>
  </si>
  <si>
    <t>20170406/3004063-20170406150125-TMTFmMjdiMmRjOWI3NmFjODY3MDgzZDJmZDNjYzFmOWE=-01043977568-record-10.10.62.138-1491462085.119839.mp3</t>
  </si>
  <si>
    <t>江苏/常州</t>
  </si>
  <si>
    <t>20170406/3004063-20170406145817-TYjcwNGY5MGE0Y2FhNGI4NGY2MTI4MWQwMTYzNGYzOTc=-01043989717-record-10.10.62.138-1491461897.118394.mp3</t>
  </si>
  <si>
    <t>20170406/3004063-20170406145027-TYmMzN2Y3ODliMGE1OTk3NGNkNTQwMTNiOTU3MGI4Mjg=-01043977569-record-10.10.62.138-1491461427.114835.mp3</t>
  </si>
  <si>
    <t>20170406/3004063-20170406144903-TNTJhNDdkNjVmZDAzZjkzMjk0MjE3NzYwNjJjYzdhNWY=-01043989717-record-10.10.62.138-1491461343.114245.mp3</t>
  </si>
  <si>
    <t>20170406/3004063-20170406143622-TNmYzNGQ4NDZkZTU0MzI5NTU2MWE1NWZkMzNjM2IwYzA=-01043977566-record-10.10.62.138-1491460582.109390.mp3</t>
  </si>
  <si>
    <t>20170406/3004063-20170406143339-TYWZhMzgyMWEzMzc5ZGM5YTA1MjBiYTM3NjA5YjRhZTM=-01043977567-record-10.10.62.138-1491460419.108229.mp3</t>
  </si>
  <si>
    <t>20170406/3004063-20170406143315-TODM2OWU1M2U2MTdjMDQ4MDhjNmE1N2QxZGU1NmVjYWI=-01043977565-record-10.10.62.138-1491460395.108054.mp3</t>
  </si>
  <si>
    <t>20170406/3004063-20170406143219-TYTljYjEyY2JmYTFhZjYyNjU4NzRiZGMyMmI1YmU3NjU=-13718091869-record-10.10.62.138-1491460339.107671.mp3</t>
  </si>
  <si>
    <t>20170406/3004063-20170406143205-TZGE3ZjJhNWY4ZTMxNzllY2VmYTIzNWE1NDhhMzllNjE=-01043977567-record-10.10.62.138-1491460325.107568.mp3</t>
  </si>
  <si>
    <t>20170406/3004063-20170406142703-TYWNjMjE5ZDFmMWY0NmZjM2NjYThmZjU5NDM2M2ZkYzg=-01043977565-record-10.10.62.138-1491460023.105442.mp3</t>
  </si>
  <si>
    <t>20170406/3004063-20170406141953-TZjhkMTc4MDBhY2U4OGY5ZGJmZTlhMTEzYjk4YTE3MDE=-01043977567-record-10.10.62.138-1491459593.102347.mp3</t>
  </si>
  <si>
    <t>20170406/3004063-20170406141803-TYTUxN2I4ZTFjZWQ3YTMzNzVkZDhkODMwYTU3OGEwMzk=-01043989719-record-10.10.62.138-1491459483.101569.mp3</t>
  </si>
  <si>
    <t>20170406/3004063-20170406135230-TMjU4M2M0ZDVkM2IxNzlmZGYzZDYzNzNiZWQ5MjdhYmI=-01043977567-record-10.10.62.138-1491457950.92259.mp3</t>
  </si>
  <si>
    <t>20170406/3004063-20170406133657-TZmQzYzFlZWU4ODQ1ZjE0OWRmZmE2ZWIwYmRiOGM2OGE=-01043977565-record-10.10.62.138-1491457017.87274.mp3</t>
  </si>
  <si>
    <t>20170406/3004063-20170406133227-TY2VmZjg1MDIwYjk5MGU3OGMyZDY3YTZmNGY3MjIyZTI=-01043989719-record-10.10.62.138-1491456747.86023.mp3</t>
  </si>
  <si>
    <t>20170406/3004063-20170406132244-TNzk4OWIwM2YwNTlkMTgxOWE1MmFiODk5ZTY3NzkzYzY=-01043977565-record-10.10.62.138-1491456164.83918.mp3</t>
  </si>
  <si>
    <t>20170406/3004063-20170406130912-TYjYzMjkyN2UyODdkODk2NTI2ZDk4NWQ5YWNjYzViNDA=-01043989719-record-10.10.62.138-1491455352.81662.mp3</t>
  </si>
  <si>
    <t>20170406/3004063-20170406125848-TYzM3OTE5YWU4MDE0ZTAyMjI1OGRhNjQ3MWY3NWNkYTA=-01043977567-record-10.10.62.138-1491454728.80413.mp3</t>
  </si>
  <si>
    <t>20170406/3004063-20170406124900-TNmM2NDRlZjhlNWZlMTVhYzk1MDI3YjYwYWZmYmYwMGQ=-01043977569-record-10.10.62.138-1491454140.79546.mp3</t>
  </si>
  <si>
    <t>20170406/3004063-20170406124601-TMDk4MDRkYzM2MWJiZGM2MGI3ZDVmOTBjMjA1MmRhMWY=-01043977565-record-10.10.62.138-1491453961.79279.mp3</t>
  </si>
  <si>
    <t>20170406/3004063-20170406124433-TMzA0OGRhZDY5M2Q5ZDkyOTY4ZGZlYWZhMDI4ZDBmYWU=-01043989720-record-10.10.62.138-1491453873.79138.mp3</t>
  </si>
  <si>
    <t>20170406/3004063-20170406123459-TZDFkYjcxNTI5OWJiMTQ1NGNlMTEyYmFjOGEzMmRhZjI=-01043977573-record-10.10.62.138-1491453299.78213.mp3</t>
  </si>
  <si>
    <t>20170406/3004063-20170406123223-TNTg2MWQyYzU4MDFkZjIyMGYzYmJiYzMzMjMxMzUwNGE=-01043977568-record-10.10.62.138-1491453143.77981.mp3</t>
  </si>
  <si>
    <t>20170406/3004063-20170406122938-TY2JmMTRkNmE4NDlmMjhjNzAyMTA2Y2RhMzM0NWRkYjE=-13718091869-record-10.10.62.138-1491452978.77689.mp3</t>
  </si>
  <si>
    <t>20170406/3004063-20170406120131-TM2UyNTk4MTgwZjY3ZDk1NTM1MWU5Yzg0YzQ1NDg0ZmI=-01043977565-record-10.10.62.138-1491451291.73059.mp3</t>
  </si>
  <si>
    <t>20170406/3004063-20170406115815-TMzc4ZTM5ODRkNTNhN2IwMGRlODkwNjI3N2MzOTI2ZjU=-01043977567-record-10.10.62.138-1491451095.72224.mp3</t>
  </si>
  <si>
    <t>20170406/3004063-20170406113627-TM2ExODAwYzIyMzk3MGNlNzM2MjI0ODUwMjhlNmIxZjM=-01043977569-record-10.10.62.138-1491449787.64785.mp3</t>
  </si>
  <si>
    <t>20170406/3004063-20170406113411-TZDA0ZjBlMTc3ZjU2ZTljNmE4NTg0NGZlMTZkMjA3N2I=-01043989717-record-10.10.62.138-1491449651.63887.mp3</t>
  </si>
  <si>
    <t>20170406/3004063-20170406113403-TYzgwN2NlZWVjNjBjMzg2MDE0OTJmNGI3YzAwZTVmYzU=-01043977573-record-10.10.62.138-1491449643.63852.mp3</t>
  </si>
  <si>
    <t>20170406/3004063-20170406112614-TYzg4NjY3ZDZiOGI3MGZkMDUzMWZiMDEzNDI4NWIwMTA=-01043977565-record-10.10.62.138-1491449174.61144.mp3</t>
  </si>
  <si>
    <t>20170406/3004063-20170406111448-TOWI4NmRmMTQ0OGFhZjg1YzdkNmVlMTZmZWI3ZGQ2NWY=-01043977566-record-10.10.62.138-1491448488.57108.mp3</t>
  </si>
  <si>
    <t>湖南/衡阳</t>
  </si>
  <si>
    <t>20170406/3004063-20170406111039-TZTJhNjcyYTdhY2UxZTVkZTVlYTAwYmFhYTFlNzZjMzk=-01043977568-record-10.10.62.138-1491448239.55518.mp3</t>
  </si>
  <si>
    <t>20170406/3004063-20170406111011-TYzQ3NzA0ZDAwNDNmMDZiNzY1MTRhYmRlOGFjMTBmN2U=-01043977567-record-10.10.62.138-1491448211.55346.mp3</t>
  </si>
  <si>
    <t>20170406/3004063-20170406110428-TYjczZjIyOGViODk4MDVhMmM5NTRhMmQ5ZmRiMzM1NjA=-01043977568-record-10.10.62.138-1491447868.53191.mp3</t>
  </si>
  <si>
    <t>甘肃/陇南</t>
  </si>
  <si>
    <t>20170406/3004063-20170406105014-TMDhmN2Q5NGJkNjNhZDY2MGI0ZTVjMWRiYmNhNTkzY2Y=-01043989717-record-10.10.62.138-1491447014.47811.mp3</t>
  </si>
  <si>
    <t>20170406/3004063-20170406104847-TOTAyOGM1YzVjZmM4MGZlYzBkOTFkOTY4NWFmNTJiYmU=-01043989719-record-10.10.62.138-1491446927.47233.mp3</t>
  </si>
  <si>
    <t>20170406/3004063-20170406104540-TMjQ4Mjk4OGJiN2VhNmQyZDU4ZGYyYWEyMGU5OWRkYmE=-01043977568-record-10.10.62.138-1491446740.46015.mp3</t>
  </si>
  <si>
    <t>20170406/3004063-20170406104232-TNzU3MjUyZmMyYWVlNDYxMzdhYWM5NzJiNDNhYmI5YzU=-01043977567-record-10.10.62.138-1491446552.44859.mp3</t>
  </si>
  <si>
    <t>20170406/3004063-20170406103644-TY2E0MzI5MGY4ZjIyMWUzNTZjZDk4YWExNzQzODVmYWE=-01043977573-record-10.10.62.138-1491446204.42408.mp3</t>
  </si>
  <si>
    <t>20170406/3004063-20170406102914-TYjEzN2Q5YmU4YzY1MmZkODI3ODlhNTk5MGIxY2RmMDU=-01043989719-record-10.10.62.138-1491445754.39129.mp3</t>
  </si>
  <si>
    <t>吉林/白城</t>
  </si>
  <si>
    <t>20170406/3004063-20170406101343-TNDhlMTIyNjVmNjI2NDUxYzZkMjExNmE1ZmQ5ODhmMmY=-01043977573-record-10.10.62.138-1491444823.31976.mp3</t>
  </si>
  <si>
    <t>20170406/3004063-20170406101316-TYmE2ZTY2OWUxZDYzNzA4ZTI2Yzc3M2E5NGRjMThjMWM=-01043977568-record-10.10.62.138-1491444796.31733.mp3</t>
  </si>
  <si>
    <t>新疆/乌鲁木齐</t>
  </si>
  <si>
    <t>20170406/3004063-20170406100716-TYzhiNjYwNjc3OGU3ZDdjYTNmY2YyMTQ4NjFjOTQ3ZmE=-01043977565-record-10.10.62.138-1491444436.29036.mp3</t>
  </si>
  <si>
    <t>20170406/3004063-20170406100240-TNTA1MmYwNjNkZWNlY2E1OTFlNTc5MGQzMjdmOGE5OTc=-01043977566-record-10.10.62.138-1491444160.27091.mp3</t>
  </si>
  <si>
    <t>20170406/3004063-20170406095759-TMWU4MzA2ZDZkMDUxZmNlOTBiNTFlYWNjMGVkZGMxYTE=-01043977569-record-10.10.62.138-1491443879.25038.mp3</t>
  </si>
  <si>
    <t>20170406/3004063-20170406095459-TZTk1NWY1NjM1M2Q3YjdhZDhhMDEwYWQ1Zjg5MmQwZmU=-01043989717-record-10.10.62.138-1491443699.23758.mp3</t>
  </si>
  <si>
    <t>20170406/3004063-20170406094158-TZGE1NjkzYzk1OTlmNWI3M2IyZTE0NWI5YzA4Y2ViY2E=-01043977565-record-10.10.62.138-1491442918.18502.mp3</t>
  </si>
  <si>
    <t>20170406/3004063-20170406093943-TZGU2NTVkZmU3ZGU1MmRiM2JiOGNjODEyYzgwNGIzM2I=-01043977573-record-10.10.62.138-1491442783.17579.mp3</t>
  </si>
  <si>
    <t>20170406/3004063-20170406093554-TYzRmZmU5OGIxZDEyY2U0YjRlNTFiYmQyNmIzYzk0MmE=-01043977573-record-10.10.62.138-1491442554.16201.mp3</t>
  </si>
  <si>
    <t>20170406/3004063-20170406093535-TNjcxYTY0OTU2YTQ0YTE2NmU5ZTNhMTI0OTFlZTQyNTQ=-01043977567-record-10.10.62.138-1491442535.16093.mp3</t>
  </si>
  <si>
    <t>20170406/3004063-20170406092828-TY2Y2ZWU3YjE3M2M5MjMxNjA2NmIzMDQ0ZGUzNGI2ZGU=-01043977565-record-10.10.62.138-1491442108.13665.mp3</t>
  </si>
  <si>
    <t>河南/焦作</t>
  </si>
  <si>
    <t>20170406/3004063-20170406091226-TYTQ5ODgwMjc3ZTFiZDlmNjkyOWY4YTk5ZTc0ZmE0OGQ=-13611040764-record-10.10.62.138-1491441146.8948.mp3</t>
  </si>
  <si>
    <t>20170406/3004063-20170406090807-TZWJjZTQ1YzQyNzdlMWU4OTI2MGI5YWNlMDg4YTA2NTM=-01043977568-record-10.10.62.138-1491440887.7735.mp3</t>
  </si>
  <si>
    <t>20170406/3004063-20170406090250-TNjkwYmU1MGYyMDFhMGFkNWZkZjRlMGY4YjM4MTk3NTA=-01043989719-record-10.10.62.138-1491440570.6566.mp3</t>
  </si>
  <si>
    <t>20170406/3004063-20170406085436-TMTQxMzRiNzRiMmNkYmM1YjJlZTk1YWVlYTE3MGZmNjI=-01043977569-record-10.10.62.138-1491440076.5266.mp3</t>
  </si>
  <si>
    <t>20170406/3004063-20170406085217-TMDViZGVmNTA0ZGE5MjQ4OTExYWQ4YTM0MWQ3NmFiMDE=-01043989717-record-10.10.62.138-1491439937.5000.mp3</t>
  </si>
  <si>
    <t>山东/滨州</t>
  </si>
  <si>
    <t>20170406/3004063-20170406084403-TYmRmYzY2YTZhOTJiNjYxYmY4NTBlNzU4NjlkYTgxNDc=-01043989717-record-10.10.62.138-1491439443.4125.mp3</t>
  </si>
  <si>
    <t>20170406/3004063-20170406084348-TNGQxZWEwMTMxYThiMWY3NzE2NmE2MTQxOTg1ZjQ0NWU=-01043989719-record-10.10.62.138-1491439428.4103.mp3</t>
  </si>
  <si>
    <t>20170406/3004063-20170406082759-TZjBkNjIzY2Q5ZDljYWM3NmJmMGQ2YmZkNWJjZDVjNjY=-01043989719-record-10.10.62.138-1491438479.2786.mp3</t>
  </si>
  <si>
    <t>20170406/3004063-20170406081333-TYmFjM2U2NzIxNjdjM2M4NGM0MjdkMjRhYjU0ZTM0ZGY=-01043989717-record-10.10.62.138-1491437613.1950.mp3</t>
  </si>
  <si>
    <t>20170406/3004063-20170406080623-TMWE4ZmVlMWVjZDk2ODQ2MGNlYzhlNDg4ZDM3OTBkY2Q=-01043977569-record-10.10.62.138-1491437183.1618.mp3</t>
  </si>
  <si>
    <t>20170406/3004063-20170406080145-TYmMxZWVmZmU0MmE0NmM2NTZiOWMyNWVhZTU2MzZkZmQ=-01043989719-record-10.10.62.138-1491436905.1427.mp3</t>
  </si>
  <si>
    <t>20170405/3004063-20170405202748-TMGI2YjNmZWVmYjU3NzEzN2FjOTMzNjVhMDY0ZmIyZGI=-01043989719-record-10.10.62.138-1491395268.271982.mp3</t>
  </si>
  <si>
    <t>河南/洛阳</t>
  </si>
  <si>
    <t>20170405/3004063-20170405200657-TOTRkMDMzNTVjM2M1MmJkMDA0NjQxYmU0OGQ3ZWU3NmQ=-01043989720-record-10.10.62.138-1491394017.268634.mp3</t>
  </si>
  <si>
    <t>20170405/3004063-20170405200243-TMTAxZWI2OGQ5YzRmODlmOTg5NjFiYTRhOGY1ZGFlMTQ=-01043989717-record-10.10.62.138-1491393763.267849.mp3</t>
  </si>
  <si>
    <t>20170405/3004063-20170405195311-TM2M0YTNkNDFlZjdmYzVmY2EwZmI5NGQyZGI5ZTY0Yjg=-01043977573-record-10.10.62.138-1491393191.266011.mp3</t>
  </si>
  <si>
    <t>20170405/3004063-20170405194931-TMWIyNjc5ZTdjN2I3MjEyN2IxNjNhZWIwNWUwYmYyNGU=-01043989717-record-10.10.62.138-1491392971.265299.mp3</t>
  </si>
  <si>
    <t>20170405/3004063-20170405194255-TN2E0YTRkNDEzNDcxZjU2NTViM2IyOTFjZjdmZWY1ZDA=-01043977573-record-10.10.62.138-1491392575.264005.mp3</t>
  </si>
  <si>
    <t>20170405/3004063-20170405191542-TMGQ5ZWY5MWQ4ZjE0MTVmNTBjZjdjYTJhNGI5ZWQ2Yjg=-01043977573-record-10.10.62.138-1491390942.258340.mp3</t>
  </si>
  <si>
    <t>20170405/3004063-20170405185735-TMmU5ZjZkMjM4NjRkMWZhNjdiOTNjZWNiOGVlMTE3NDI=-13611040764-record-10.10.62.138-1491389855.254733.mp3</t>
  </si>
  <si>
    <t>20170405/3004063-20170405184721-TNjE5NzRjZWEwMzI1OWQ3OWQ3MDViZmFlMDJkNjk2ZTA=-01043989719-record-10.10.62.138-1491389241.252551.mp3</t>
  </si>
  <si>
    <t>20170405/3004063-20170405184613-TYzMwYjU5OWU5MDM1NzQzNmVkMjdmZGZkYzIxZjFkODM=-01043989717-record-10.10.62.138-1491389173.252320.mp3</t>
  </si>
  <si>
    <t>20170405/3004063-20170405183317-TNDQ2NmY4NDZiNzNhMDU1YTk1N2E3ZGI4NzYyOTVkYTg=-01043977573-record-10.10.62.138-1491388397.249299.mp3</t>
  </si>
  <si>
    <t>20170405/3004063-20170405183010-TOTU1YTkwZmU1Y2QzODU2YmE5MzE0NzE5YWU2ODQ0YzY=-01043989720-record-10.10.62.138-1491388210.248614.mp3</t>
  </si>
  <si>
    <t>20170405/3004063-20170405181810-TNjFkMjg5OGVlMGZhN2M5ZTI1NjQyZTFjZjA0NTU0YTQ=-01043989717-record-10.10.62.138-1491387490.245696.mp3</t>
  </si>
  <si>
    <t>20170405/3004063-20170405181128-TODBiOGZjMjc0MzlhZjgxZWUwNWYwMmJkMzFlNTYxNzE=-01043977573-record-10.10.62.138-1491387088.243977.mp3</t>
  </si>
  <si>
    <t>20170405/3004063-20170405175529-TZTQ1OGZmZWY4YzdjZDk4MTExNGFhNzc1M2RiMjhlY2Y=-01043977565-record-10.10.62.138-1491386129.239783.mp3</t>
  </si>
  <si>
    <t>20170405/3004063-20170405173733-TZjA5Y2VkMzU5MTVjZTc2MmIyNGExMDkxYzAyMTRhMmY=-01043989717-record-10.10.62.138-1491385053.235170.mp3</t>
  </si>
  <si>
    <t>20170405/3004063-20170405171821-TZmU2NDNlNzVlNmQ1NzU2OGY4OWQ2M2I3ZTQ0YjJkYzU=-01043977565-record-10.10.62.138-1491383901.228944.mp3</t>
  </si>
  <si>
    <t>20170405/3004063-20170405170646-TMWFkZjJmNDFkYTgwMzJhZDhkMGYyZjZmYmQ2MzVhN2Q=-01043989720-record-10.10.62.138-1491383206.223729.mp3</t>
  </si>
  <si>
    <t>20170405/3004063-20170405165445-TMjRmM2Y3MDMyMmY2Mjg2M2YxZGIxNzFkZWM0MWRiNTA=-01043977568-record-10.10.62.138-1491382485.217938.mp3</t>
  </si>
  <si>
    <t>20170405/3004063-20170405165238-TNDRmNjVkNmEzNmY2NmEwZjk1MjczY2M1YWZjMzg5ZGE=-01043977566-record-10.10.62.138-1491382358.216804.mp3</t>
  </si>
  <si>
    <t>河南/安阳</t>
  </si>
  <si>
    <t>20170405/3004063-20170405164810-TNjcwNDU1MjA3NzdhOGMyMzFiNTM1OGMzMTVlZmJmYWE=-01043977566-record-10.10.62.138-1491382090.214615.mp3</t>
  </si>
  <si>
    <t>山西/太原</t>
  </si>
  <si>
    <t>20170405/3004063-20170405164749-TYjMyNTU2MmVhZmQ1ZjZkNTJhM2VmY2Y5NGUxNDBiZmE=-01043977573-record-10.10.62.138-1491382069.214421.mp3</t>
  </si>
  <si>
    <t>20170405/3004063-20170405163731-TYjRiYzNkZWMxZGMzMjhkMzMyN2Y0M2MzMzYyNTNlN2U=-01043977573-record-10.10.62.138-1491381451.209055.mp3</t>
  </si>
  <si>
    <t>20170405/3004063-20170405163452-TNmI1NzVjYTlhYTA1ZGUyN2RlNWQ3MjNmM2I2MDk5MTQ=-01043977568-record-10.10.62.138-1491381292.207656.mp3</t>
  </si>
  <si>
    <t>20170405/3004063-20170405160712-TOWIzM2YwNjk3OTBmNTIwYWExMTIxZGM1NTNiODc1YzU=-01043977573-record-10.10.62.138-1491379632.193534.mp3</t>
  </si>
  <si>
    <t>20170405/3004063-20170405155857-TMzY1YjgwYzY2ZDY1NWNiNWMyZGQ4ZWYwNzQxMzRhYTM=-01043989717-record-10.10.62.138-1491379137.189319.mp3</t>
  </si>
  <si>
    <t>20170405/3004063-20170405155057-TYmZlNjcxYWNiZDJiNzMwZjllM2MyZGQxMjZhZmE0ZGM=-01043977573-record-10.10.62.138-1491378657.185189.mp3</t>
  </si>
  <si>
    <t>20170405/3004063-20170405155030-TNWMzZDBhNTkxM2VhYjU3ODRlOTJjM2M2YjM2MGY0Yzc=-01043977565-record-10.10.62.138-1491378630.184975.mp3</t>
  </si>
  <si>
    <t>20170405/3004063-20170405154426-TZGQ3ODI3ZGJhZjNhMDUzY2Y2ZGY1ZTk0YmJiZjhjZGY=-01043977573-record-10.10.62.138-1491378266.182008.mp3</t>
  </si>
  <si>
    <t>20170405/3004063-20170405153724-TNzVmYjFkYWM0YTY5MDU5YTc5YjBmYTk4OWM3OTUzNWY=-01043977566-record-10.10.62.138-1491377844.178087.mp3</t>
  </si>
  <si>
    <t>20170405/3004063-20170405153334-TZjU4NGI1OWJmMzgzNzBlYWJjYzMyYzEzYzI2MDNmZDE=-01043989717-record-10.10.62.138-1491377614.175888.mp3</t>
  </si>
  <si>
    <t>20170405/3004063-20170405151812-TNDU5YzYzNTdkZDk1ZTdhN2I5Mjk0MDY5NzRmYTcxNTM=-01043977573-record-10.10.62.138-1491376692.167022.mp3</t>
  </si>
  <si>
    <t>20170405/3004063-20170405150806-TZDJhZDY0YmM3NTg2MDFjMWFkZGVjNGMxYmQwNmQ2M2E=-01043977566-record-10.10.62.138-1491376086.161537.mp3</t>
  </si>
  <si>
    <t>20170405/3004063-20170405150258-TZWJhNWEwYjkyNzk2ZDIzZDMxZWMwOTU2ZmQwMzgzOWM=-01043977573-record-10.10.62.138-1491375778.158656.mp3</t>
  </si>
  <si>
    <t>20170405/3004063-20170405150114-TYmY3YjViNzYzM2ZhOTAxMDQyY2EyMTExYTc3ZWY3YzM=-01043977567-record-10.10.62.138-1491375674.157702.mp3</t>
  </si>
  <si>
    <t>20170405/3004063-20170405145303-TZDJhZDY0YmM3NTg2MDFjMWFkZGVjNGMxYmQwNmQ2M2E=-01043977567-record-10.10.62.138-1491375183.153248.mp3</t>
  </si>
  <si>
    <t>20170405/3004063-20170405143119-TNjEyOGQzNzk3ZmU4YjRhYzMxZDcxMTJjMThjYjdhZWQ=-01043977573-record-10.10.62.138-1491373879.142522.mp3</t>
  </si>
  <si>
    <t>20170405/3004063-20170405142345-TZDFiOWY4ODc0YTUxNGFiNGE3N2I3Njk1ZDcyNzhiY2E=-01043977567-record-10.10.62.138-1491373425.138912.mp3</t>
  </si>
  <si>
    <t>20170405/3004063-20170405140951-TMDgwNzY1Mzk3YTlmOTIyNGJhN2YzODlhOTg3OTJhNGU=-01043989717-record-10.10.62.138-1491372591.131757.mp3</t>
  </si>
  <si>
    <t>20170405/3004063-20170405140729-TY2Q4ZDA0ZTJhYzhjNTkzOTY4ZmUyNDE0NTdkYjkxZjY=-01043977568-record-10.10.62.138-1491372449.130631.mp3</t>
  </si>
  <si>
    <t>20170405/3004063-20170405135443-TZDc5ZGE0NTU5ZjMzYzgwMjMyZDYxMTYyNmQzY2NkMjY=-01043977568-record-10.10.62.138-1491371683.125287.mp3</t>
  </si>
  <si>
    <t>20170405/3004063-20170405125606-TMzAyM2U5NzAwODhjNTJhYjhjMDlmM2VmNTVjNjczMWQ=-01043977568-record-10.10.62.138-1491368166.107364.mp3</t>
  </si>
  <si>
    <t>20170405/3004063-20170405120753-TMWMxODNiZmQ5YzZjZjI0MzViNDU3NmMwYTc0YmNkMzc=-01043977567-record-10.10.62.138-1491365273.96045.mp3</t>
  </si>
  <si>
    <t>20170405/3004063-20170405115209-TMjRiODdhODEwMWM3Y2NiYTBjYjkwZWQxZmM5NTJiOTM=-01043977567-record-10.10.62.138-1491364329.90355.mp3</t>
  </si>
  <si>
    <t>20170405/3004063-20170405114746-TZjFjZmQ4NDA1NTUxYWU2MTRkN2YyNWQ0MWYzMTA3N2E=-01043977568-record-10.10.62.138-1491364066.88215.mp3</t>
  </si>
  <si>
    <t>20170405/3004063-20170405114100-TZTg4NTAwMGRhZTViNDk4Nzk0ZTFkYTgyYTdmYjc2OWI=-01043977569-record-10.10.62.138-1491363660.84946.mp3</t>
  </si>
  <si>
    <t>20170405/3004063-20170405114045-TYWNkYWFlMDgyODc2ZDAyODIzNjY4ZWIzMDI3Yjg5N2M=-01043989717-record-10.10.62.138-1491363645.84807.mp3</t>
  </si>
  <si>
    <t>20170405/3004063-20170405110812-TYTQ5MDQ3NzM3ZDQ0MmFjNjdkOTBhODljODhiMGYwMGQ=-01043977573-record-10.10.62.138-1491361692.68942.mp3</t>
  </si>
  <si>
    <t>20170405/3004063-20170405110317-TODFlNjM4MmUyZWI2MjFlNjc0YTBhNmJlMTAwYTJjYTA=-01043977565-record-10.10.62.138-1491361397.66319.mp3</t>
  </si>
  <si>
    <t>20170405/3004063-20170405110229-TM2Q4YTNlYWJiM2Q2YjY1Njc3OGViNWJlZmY5YjBkZDE=-01043977566-record-10.10.62.138-1491361349.65855.mp3</t>
  </si>
  <si>
    <t>20170405/3004063-20170405110224-TNDcwNzk0NDllNDVlOWI4OWQ3NDEzNzBkNzU3YWE3MTE=-01043977573-record-10.10.62.138-1491361344.65803.mp3</t>
  </si>
  <si>
    <t>20170405/3004063-20170405110216-TNTkyY2ViZWQxYjhlYTYzYzFkYWIzMjUzOTFmODVkMzA=-01043977568-record-10.10.62.138-1491361336.65720.mp3</t>
  </si>
  <si>
    <t>20170405/3004063-20170405105816-TOWU1OTFkYWVmNTdkMmE5NDA4NmNjN2MwMzZhNTUzZDQ=-13718091869-record-10.10.62.138-1491361096.63499.mp3</t>
  </si>
  <si>
    <t>20170405/3004063-20170405104353-TOGI5Y2M1MDI4OThiYTFmNWMxYjYxYTZiMWQ3ODMzODg=-01043977569-record-10.10.62.138-1491360233.55784.mp3</t>
  </si>
  <si>
    <t>20170405/3004063-20170405103408-TODJhZDk5MDlkZWEzNmE4ZTQyODcyMzNjNmU0NDM4Nzg=-01043977566-record-10.10.62.138-1491359648.50409.mp3</t>
  </si>
  <si>
    <t>20170405/3004063-20170405102909-TNDEwNjgyZmIxZWFhMjRkMzU2NzY2NmZhZDk1ODU1YTU=-01043977565-record-10.10.62.138-1491359349.47658.mp3</t>
  </si>
  <si>
    <t>20170405/3004063-20170405102853-TZjNlOWM5ZTFhYzQ0OWFiOGM3NDVlNTBiYWUxNGY2MjE=-01043977568-record-10.10.62.138-1491359333.47512.mp3</t>
  </si>
  <si>
    <t>20170405/3004063-20170405101807-TNjg3YjQ1YzdlOWRhOTliYjQxYTc4Mjg2YzBlOTI3MWE=-01043977573-record-10.10.62.138-1491358687.41409.mp3</t>
  </si>
  <si>
    <t>20170405/3004063-20170405101004-TZTdlMzE2N2ZjMDliYjQxMDBiYTMwMDE5ZjllYTg5MWM=-01043977568-record-10.10.62.138-1491358204.37056.mp3</t>
  </si>
  <si>
    <t>20170405/3004063-20170405095838-TNzIyZTQ4MzIwZDc3MTI5ZTUzMzcyZTM0NjYzY2IyNjk=-01043977565-record-10.10.62.138-1491357518.30488.mp3</t>
  </si>
  <si>
    <t>20170405/3004063-20170405095134-TODIwYzMwOTIwZDk3YWI2YjJiY2JkZjkwMDZkZGZkMGE=-01043977567-record-10.10.62.138-1491357094.26819.mp3</t>
  </si>
  <si>
    <t>山东/青岛</t>
  </si>
  <si>
    <t>20170405/3004063-20170405094808-TY2UxMWVkNTA4YzlkZTE3MWMxN2U1ZmYxYzIyYTE4MjI=-01043977573-record-10.10.62.138-1491356888.25102.mp3</t>
  </si>
  <si>
    <t>20170405/3004063-20170405094236-TZGQ3YzNiNjdlNzFmYWQxNjZkM2M0NWZlMWZjYjQ1NWI=-01043977567-record-10.10.62.138-1491356556.22645.mp3</t>
  </si>
  <si>
    <t>20170405/3004063-20170405093239-TMTUzZGNhYmRjNTNlMjZjZWU4NmNjMThjNjM0Yjc5M2M=-01043977573-record-10.10.62.138-1491355959.18508.mp3</t>
  </si>
  <si>
    <t>20170405/3004063-20170405093238-TZjc4OGRjMDQyZGYxNTc1OThmY2UwZDE4MTY4YzExMWE=-01043977568-record-10.10.62.138-1491355958.18499.mp3</t>
  </si>
  <si>
    <t>20170405/3004063-20170405093136-TNTlkNTVhZTMzNTEwMjM4ZjUwOTkxNjY1Nzc3OWY5NTc=-01043989719-record-10.10.62.138-1491355896.18068.mp3</t>
  </si>
  <si>
    <t>20170405/3004063-20170405093133-TMTUzZGNhYmRjNTNlMjZjZWU4NmNjMThjNjM0Yjc5M2M=-01043977573-record-10.10.62.138-1491355893.18045.mp3</t>
  </si>
  <si>
    <t>20170405/3004063-20170405091718-TZTQzMWRjY2E0MDQzNDEyMmNjZWQ5ZGMzMmY1NzkzZDI=-01043977567-record-10.10.62.138-1491355038.12290.mp3</t>
  </si>
  <si>
    <t>20170405/3004063-20170405091703-TNGM2Y2MwMDUxN2FmNTgzZWEwMGU1MzBhNmQyMmYwZjU=-01043977568-record-10.10.62.138-1491355023.12196.mp3</t>
  </si>
  <si>
    <t>20170405/3004063-20170405091240-TNDk4NTdkZWMzNzRkYWNkMDllYmZkM2YzMDU3NTU3NmY=-01043977568-record-10.10.62.138-1491354760.10607.mp3</t>
  </si>
  <si>
    <t>20170405/3004063-20170405091206-TYjhjOTQ3ZDhiMjIwOWMzMjJlNTAxNWJlNjk2MDk5OTY=-01043989717-record-10.10.62.138-1491354726.10384.mp3</t>
  </si>
  <si>
    <t>青海/玉树</t>
  </si>
  <si>
    <t>20170405/3004063-20170405091124-TZDFhMTAzODY5ZTE1MGIzZTQ4YWE4ODdjMGQ2MDcxNjU=-01043977565-record-10.10.62.138-1491354684.10132.mp3</t>
  </si>
  <si>
    <t>20170405/3004063-20170405090813-TN2Y1YzEzOWM2ZWUwNTJlMGZiNmFkM2IzMjQ1MmU4YjU=-01043977569-record-10.10.62.138-1491354493.9013.mp3</t>
  </si>
  <si>
    <t>20170405/3004063-20170405090812-TNzI1OGIxMmQzMTU3ZTc2MTY3ZDQ4NjBlNmVmMTYwNjM=-01043989717-record-10.10.62.138-1491354492.9004.mp3</t>
  </si>
  <si>
    <t>20170405/3004063-20170405090255-TYjk0MTUzMjI1YjYyNzRhYTYwZjlmNWQxNWM1ZjAyYTg=-01043977573-record-10.10.62.138-1491354175.7272.mp3</t>
  </si>
  <si>
    <t>20170405/3004063-20170405085602-TMTdhYzI4M2FkZDBlNmUzZDNjODkxMzA3MmE5ODJlOTY=-01043989719-record-10.10.62.138-1491353762.5837.mp3</t>
  </si>
  <si>
    <t>20170405/3004063-20170405084933-TOWFmYjdkNjNmM2I5OWRjMDJmNzQ0YjU2ZDRmODZjNWU=-01043989719-record-10.10.62.138-1491353373.5019.mp3</t>
  </si>
  <si>
    <t>20170405/3004063-20170405081832-TMWVkNmFmNmYzODU2YzExODQ4Nzk0ZjA1ODQzYzhlMGE=-01043977569-record-10.10.62.138-1491351512.2337.mp3</t>
  </si>
  <si>
    <t>20170405/3004063-20170405080817-TYjMxZjk0MDc4ODQ5NzczZWU3Y2NjZDA1ZTc5YjUxNGI=-01043989719-record-10.10.62.138-1491350897.1865.mp3</t>
  </si>
  <si>
    <t>20170405/3004063-20170405075014-TYjc1MTRkMzVmNjk3MzQzZGQzN2Y1NTJkNzdjMDk5ODc=-10.10.62.138-1491349814.1262.mp3</t>
  </si>
  <si>
    <t>20170404/3004063-20170404203219-TYjNmYTY1ZDg0MzZjOGNjMWU3MjEzZTZmZTEyZTRkODE=-01043977568-record-10.10.62.138-1491309139.131364.mp3</t>
  </si>
  <si>
    <t>20170404/3004063-20170404200434-TMWJkMDVhZWFhMzE5MzM3ZmMxMDg0YjU3MzJhYzI3NzQ=-01043977568-record-10.10.62.138-1491307474.127220.mp3</t>
  </si>
  <si>
    <t>20170404/3004063-20170404200122-TMTNhZWY1OTA0MGYxODc2YjFkMGE0NWVlNDU0MTdhMDE=-01043977573-record-10.10.62.138-1491307282.126705.mp3</t>
  </si>
  <si>
    <t>20170404/3004063-20170404194731-TMzk0YWIzOWIwOGVmOGY2YjlhNmIwZmYxNTlkZjI4MzY=-01043977568-record-10.10.62.138-1491306451.124642.mp3</t>
  </si>
  <si>
    <t>20170404/3004063-20170404192236-TZjE5YmJiYTNjNWNkMzkwZTMyNjQ3MDUwMGZmMjkwMWQ=-01043989720-record-10.10.62.138-1491304956.120609.mp3</t>
  </si>
  <si>
    <t>20170404/3004063-20170404191252-TMzc3YjA1YzkyMTE2MGNmMjczMjAxOWJmZTFlMGY5OWE=-01043989720-record-10.10.62.138-1491304372.118962.mp3</t>
  </si>
  <si>
    <t>20170404/3004063-20170404185905-TZTUyYTI0YzIzMjM1MTEyNjlmOTBjYTY1YTJiYjhkNWI=-01043977568-record-10.10.62.138-1491303545.116642.mp3</t>
  </si>
  <si>
    <t>20170404/3004063-20170404185400-TZWM3ZTRiMzdkNWE2ZjUzZDBkZTE2OTM0MjFjN2RjZjQ=-01043989720-record-10.10.62.138-1491303240.115727.mp3</t>
  </si>
  <si>
    <t>20170404/3004063-20170404183809-TZTUyYTI0YzIzMjM1MTEyNjlmOTBjYTY1YTJiYjhkNWI=-01043989720-record-10.10.62.138-1491302289.112891.mp3</t>
  </si>
  <si>
    <t>内蒙/兴安盟</t>
  </si>
  <si>
    <t>20170404/3004063-20170404183324-TZTIxODcyMjQ3NzE5ZWM4ZmFiYTNiYjNiNDA4MTAwMTk=-01043977568-record-10.10.62.138-1491302004.112065.mp3</t>
  </si>
  <si>
    <t>山西/运城</t>
  </si>
  <si>
    <t>20170404/3004063-20170404180757-TYjg2ODQ3MmMxYmNjZDMzZGQ5YThmNzEzNWJiYjNjZmM=-01043977568-record-10.10.62.138-1491300477.107628.mp3</t>
  </si>
  <si>
    <t>20170404/3004063-20170404175127-TYWM4NmQ5ZDU4YTk3ODkxODY5MGRkNDk0MTg1MDk0ZTE=-01043989720-record-10.10.62.138-1491299487.105212.mp3</t>
  </si>
  <si>
    <t>20170404/3004063-20170404163747-TNmJiMjkxODIxZWZlODZiMDkyNmJmYjZiOWM0YmNhM2I=-13611040764-record-10.10.62.138-1491295067.90808.mp3</t>
  </si>
  <si>
    <t>辽宁/葫芦岛</t>
  </si>
  <si>
    <t>广东/湛江</t>
  </si>
  <si>
    <t>20170404/3004063-20170404134422-TYjg2MzA5ZTk4ZWFiNjY5NzNmOGVlYmQzYmMzZDMxZWM=-13220184082-record-10.10.62.138-1491284662.46975.mp3</t>
  </si>
  <si>
    <t>辽宁/盘锦</t>
  </si>
  <si>
    <t>20170404/3004063-20170404134132-TNTBhNTQzMTEyNGY1NzM4OTE1OGNhNGQ0OTY2ZmI5MDc=-13220184082-record-10.10.62.138-1491284492.46533.mp3</t>
  </si>
  <si>
    <t>安徽/池州</t>
  </si>
  <si>
    <t>20170404/3004063-20170404130859-TMWVkNmFmNmYzODU2YzExODQ4Nzk0ZjA1ODQzYzhlMGE=-13220184082-record-10.10.62.138-1491282539.42040.mp3</t>
  </si>
  <si>
    <t>20170404/3004063-20170404125436-TMmRhZDE2NWI0ZWNiY2NkNzBkZGQzMmY1MGFhNGIxYjM=-13220184082-record-10.10.62.138-1491281676.40645.mp3</t>
  </si>
  <si>
    <t>20170404/3004063-20170404121022-TMGI1YjhlNzUxNDg3YTE4MTgzODQ1NGQwNTlkYTNkM2Q=-13220184082-record-10.10.62.138-1491279022.36736.mp3</t>
  </si>
  <si>
    <t>浙江/湖州</t>
  </si>
  <si>
    <t>20170404/3004063-20170404111647-TZjQ5MWFhNTdhMGRkYmFkOTM3NDNkZGE0NzFhMjU0YzM=-01043977568-record-10.10.62.138-1491275807.27687.mp3</t>
  </si>
  <si>
    <t>20170404/3004063-20170404110344-TY2JmMTRkNmE4NDlmMjhjNzAyMTA2Y2RhMzM0NWRkYjE=-01043977573-record-10.10.62.138-1491275024.25125.mp3</t>
  </si>
  <si>
    <t>20170404/3004063-20170404105613-TNjdhMGM4OWRjZmE2MzY0ODVmNDI2YWY3MGJlMWRiMDI=-01043977568-record-10.10.62.138-1491274573.23676.mp3</t>
  </si>
  <si>
    <t>20170404/3004063-20170404104600-TNzZiMWJlZDUwNzNjYjM1ZmIxNjI1YTcyY2UwMWIzY2M=-01043989720-record-10.10.62.138-1491273960.21668.mp3</t>
  </si>
  <si>
    <t>20170404/3004063-20170404103538-TZmY0NTM2MzJjNWQ1MWI4OGI2MDQzMmI4NzFjMWE0ODk=-01043977573-record-10.10.62.138-1491273338.19440.mp3</t>
  </si>
  <si>
    <t>山东/淄博</t>
  </si>
  <si>
    <t>20170404/3004063-20170404103334-TOGM0OTNlYjE2ZDQ2ZDk4Y2IxMDExMjRmY2M3M2NlYjc=-01043977568-record-10.10.62.138-1491273214.19041.mp3</t>
  </si>
  <si>
    <t>20170404/3004063-20170404102448-TZjE0ZmE1YjU3NTVlNjBmOWFiMjQ0NDU5YWZjOTAzYjM=-01043989720-record-10.10.62.138-1491272688.17539.mp3</t>
  </si>
  <si>
    <t>20170404/3004063-20170404100450-TMjY3YjAyOTcyMGRhNjNiZWYyYmU3ZDVlNmIwMjlmYTA=-01043977573-record-10.10.62.138-1491271490.13958.mp3</t>
  </si>
  <si>
    <t>20170404/3004063-20170404100426-TZmI3Y2M4ZjRlZTYyY2Y1ODg0NThiYzhiNzAyZjI1Yjc=-01043977568-record-10.10.62.138-1491271466.13890.mp3</t>
  </si>
  <si>
    <t>20170404/3004063-20170404095116-TYTNjYWVhOWI2OGYxNjY4MzdhNjllODFhM2FiNGNmNDU=-01043989720-record-10.10.62.138-1491270676.11489.mp3</t>
  </si>
  <si>
    <t>20170404/3004063-20170404094212-TYTE3MGQ2NjY1ZDhjMTdjMWRjMTYyMTkwZGYxOTc0N2U=-01043977568-record-10.10.62.138-1491270132.9877.mp3</t>
  </si>
  <si>
    <t>20170404/3004063-20170404093539-TM2JjN2I3NGU3OGU5MzMwYzBhZjIxZmU2OTg1NmI5ZGI=-01043989720-record-10.10.62.138-1491269739.8824.mp3</t>
  </si>
  <si>
    <t>20170404/3004063-20170404092951-TNjZmYjQ4MWM0NDEwZmIzZjM5YjljODM5NWU1NjU4MGQ=-01043977573-record-10.10.62.138-1491269391.7901.mp3</t>
  </si>
  <si>
    <t>20170404/3004063-20170404085304-TMjNmMTZjODdlNjYxMmY5OTBmNDVjY2Y5ZjFmNWVkY2U=-01043989720-record-10.10.62.138-1491267184.2968.mp3</t>
  </si>
  <si>
    <t>20170404/3004063-20170404085149-TMTIyNjY1NzczMjQwMGQyMzIyY2ZkZGFiNDRlMzc5NWY=-01043977568-record-10.10.62.138-1491267109.2930.mp3</t>
  </si>
  <si>
    <t>20170404/3004063-20170404084440-TZDM1YmU4MWViMzE2NDZhNjg4ZDhiNTUxODZlNTg3ZjA=-01043989720-record-10.10.62.138-1491266680.2597.mp3</t>
  </si>
  <si>
    <t>山西/晋中</t>
  </si>
  <si>
    <t>20170403/3004063-20170403195755-TMGIxYjM0Mjg2MjUxNzk0MTNjZWEzMDQ1ZWU0MWEyOTQ=-01043989718-record-10.10.62.138-1491220675.127075.mp3</t>
  </si>
  <si>
    <t>20170403/3004063-20170403194829-TY2FmYWFmMTY1NTdiZjJkZGI0OWViYzAzMWQ3YzFlYTE=-01043989720-record-10.10.62.138-1491220109.125211.mp3</t>
  </si>
  <si>
    <t>20170403/3004063-20170403194306-TOTYxMDIzNzQyMTZmNGEwNWY4NDI1MzU0YTViODk4OGI=-01043977569-record-10.10.62.138-1491219786.124281.mp3</t>
  </si>
  <si>
    <t>20170403/3004063-20170403192621-TYTFkZmY5ZjI2MmIzZTlhZWU4Yzc1NmUyMTIxNzkwMGM=-01043989718-record-10.10.62.138-1491218781.121221.mp3</t>
  </si>
  <si>
    <t>20170403/3004063-20170403192425-TYWM4NmQ5ZDU4YTk3ODkxODY5MGRkNDk0MTg1MDk0ZTE=-01043989720-record-10.10.62.138-1491218665.120866.mp3</t>
  </si>
  <si>
    <t>20170403/3004063-20170403190201-TMDg2ZGIzMmZkYzU1MThiNTg5YTczZTc4ZGE0MjIxMDI=-01043989717-record-10.10.62.138-1491217321.116806.mp3</t>
  </si>
  <si>
    <t>20170403/3004063-20170403185025-TZGMyZDYxNjBmNjg1YTBhYmU2M2UwMjcxY2RjMjkwMzQ=-01043977569-record-10.10.62.138-1491216625.114413.mp3</t>
  </si>
  <si>
    <t>20170403/3004063-20170403184127-TYmE3YWIwMmIzYjZhZjFkNmFjMjQ2OTM0MTcxMTg4MmE=-01043989720-record-10.10.62.138-1491216087.112483.mp3</t>
  </si>
  <si>
    <t>20170403/3004063-20170403173905-TNjU4YWRhNjAwN2U0ZmU0NGVhYTQ3OGZjZjE0ZDAwNjI=-01043989718-record-10.10.62.138-1491212345.102929.mp3</t>
  </si>
  <si>
    <t>20170403/3004063-20170403173221-TYmRhMGE4MTJmZjI0OGE3YzQyOWRiMzBjYzA2NTI2ZGI=-01043989717-record-10.10.62.138-1491211941.102130.mp3</t>
  </si>
  <si>
    <t>20170403/3004063-20170403172237-TZjVhMWVmNjk5NjRiMzU2YWQ5ODE4ODFhMDllNmM1NTM=-01043989718-record-10.10.62.138-1491211357.100637.mp3</t>
  </si>
  <si>
    <t>浙江/台州</t>
  </si>
  <si>
    <t>20170403/3004063-20170403172042-TYmMwMzNjNmNmZTliYTk2MDE0Y2U4NzJlNjQxYjYwY2E=-01043977569-record-10.10.62.138-1491211242.100254.mp3</t>
  </si>
  <si>
    <t>20170403/3004063-20170403171506-TOTM1MTk5Njk5NTRkOWUzYzExZDEzMDAxN2I3YzJkZjM=-01043989717-record-10.10.62.138-1491210906.99066.mp3</t>
  </si>
  <si>
    <t>20170403/3004063-20170403170107-TYWFhNWIxNjJhYWU5NDFjMmU1Mzc0Yjk2N2Q0OGNkNWM=-01043989718-record-10.10.62.138-1491210067.95976.mp3</t>
  </si>
  <si>
    <t>广东/江门</t>
  </si>
  <si>
    <t>互联网</t>
  </si>
  <si>
    <t>20170403/3004063-20170403164405-TZjYzZDc1ZWE5MWI3NjZjMjNhNzViZTc2ZTBiNTk1NGU=-01000000000-record-10.10.62.138-1491209045.91314.mp3</t>
  </si>
  <si>
    <t>20170403/3004063-20170403162938-TYjQ1NmQ2MTI1MTc4ZmEwMWUwZWU3NGQ5NTBiNzNmYjA=-01043989717-record-10.10.62.138-1491208178.87466.mp3</t>
  </si>
  <si>
    <t>20170403/3004063-20170403155932-TYmMzZDQ5ZjYzOGMyZjk1ZDk1NTAwNzQ2MWM1NTM2MmM=-01043989719-record-10.10.62.138-1491206372.80773.mp3</t>
  </si>
  <si>
    <t>20170403/3004063-20170403155247-TYTEwZTMzMmE5MjA1ZTVjNGQyMjRjNzA4OGRlZjEyM2M=-01043989720-record-10.10.62.138-1491205967.78996.mp3</t>
  </si>
  <si>
    <t>20170403/3004063-20170403150339-TM2IzZjdlZDdmYzRhNWYzNmY5NmY3M2U4MDhkYTc1M2M=-01043989718-record-10.10.62.138-1491203019.66022.mp3</t>
  </si>
  <si>
    <t>20170403/3004063-20170403145524-TMjM0NWIzNDlhODViZDdkNTFiOGU1ODRkMzAyOWUwYzk=-01043989719-record-10.10.62.138-1491202524.63842.mp3</t>
  </si>
  <si>
    <t>贵州/贵阳</t>
  </si>
  <si>
    <t>20170403/3004063-20170403132537-TZmEwYmM2MjNiNjIzNDE3NGZmNzhmMWNkZTYxNWNkNTU=-01043989720-record-10.10.62.138-1491197137.44555.mp3</t>
  </si>
  <si>
    <t>20170403/3004063-20170403115749-TYWUyMzc1NGQ1MGUxNzY4NDA5MmNmNDQ2Y2Y1NWI3OTE=-01043989717-record-10.10.62.138-1491191869.35271.mp3</t>
  </si>
  <si>
    <t>20170403/3004063-20170403105544-TNTFiNjhhZDI0Y2VhMWNjNjUwNmI0NmUyMGJjYzUwY2Q=-01043989718-record-10.10.62.138-1491188144.23246.mp3</t>
  </si>
  <si>
    <t>20170403/3004063-20170403103942-TYzc5ZDU0YmMwOWRiYTRlNDcwN2JmZmUyNTQxNTc2MzY=-01043989717-record-10.10.62.138-1491187182.20085.mp3</t>
  </si>
  <si>
    <t>20170403/3004063-20170403103401-TZmI5M2I5ZjBlZTAwODM1ZTBhNTQ4YmE1MWM4MzRjNTU=-01043989717-record-10.10.62.138-1491186841.18826.mp3</t>
  </si>
  <si>
    <t>20170403/3004063-20170403102849-TOTJjZTUwMGM0OTZiOWU0NDk5NzJhNWFkMGZiZDdmOTE=-01043989720-record-10.10.62.138-1491186529.17793.mp3</t>
  </si>
  <si>
    <t>20170403/3004063-20170403101320-TNjliZWE3MzY0ODA3YjJiZjFhM2E2NmMzMWQzOTIzNzI=-01043989718-record-10.10.62.138-1491185600.14956.mp3</t>
  </si>
  <si>
    <t>20170403/3004063-20170403100636-TZGUzYWZkZDU1NzZiMDk1NGUwNmYzYmIxNDIzMDM5Nzc=-01043989717-record-10.10.62.138-1491185196.13609.mp3</t>
  </si>
  <si>
    <t>20170403/3004063-20170403095948-TZDhiNTdkMGYxZDJkNTNmYjllNGE4MTQ2YWJhMTMyYTk=-01043977569-record-10.10.62.138-1491184788.12400.mp3</t>
  </si>
  <si>
    <t>20170403/3004063-20170403095730-TMDc0MTQ3ZDNmZWM2MzhkMjQ0MjdjNDkxYzI4YWJkNzI=-13718091869-record-10.10.62.138-1491184650.11997.mp3</t>
  </si>
  <si>
    <t>20170403/3004063-20170403095056-TODI5NzgyZWE4NDYxODBiNWM3NWJlYmI2ZmY0MGRhNzk=-01043989718-record-10.10.62.138-1491184256.10907.mp3</t>
  </si>
  <si>
    <t>20170403/3004063-20170403094326-TN2M3OWQxMDkwNjdhOTZjMjQwYWViYmY3NjIyZGM1MTFiMmQ4MGM0NDhhMjIyODA4NjZkMzhkNzc5MzU5N2M1Mg==-01043989717-record-10.10.62.138-1491183806.9835.mp3</t>
  </si>
  <si>
    <t>20170403/3004063-20170403093322-TNDQwYTFiZTQ2MzgxMWY1OTRiN2Q5MGIxYzllMzMxNGM=-01043989717-record-10.10.62.138-1491183202.8857.mp3</t>
  </si>
  <si>
    <t>20170403/3004063-20170403093039-TMTg0MjE3YjEwNzEyYmIyYzFiZmFjZGQ2ZTBkOTVmZjA=-01043989718-record-10.10.62.138-1491183039.8451.mp3</t>
  </si>
  <si>
    <t>20170403/3004063-20170403091613-TNDVhMTg1ZWFkZTg1ZWJlYTVmMTA2ZmVmMzc3Y2UwNGM=-01043989717-record-10.10.62.138-1491182173.6369.mp3</t>
  </si>
  <si>
    <t>20170403/3004063-20170403090953-TNDUxZDM3YmIzNjZkYTQzZDM2OTNiZmUyY2MyYzBkZGU=-01043977569-record-10.10.62.138-1491181793.5422.mp3</t>
  </si>
  <si>
    <t>20170403/3004063-20170403090048-TNTY1NzhhYjFiYWVjNTdmYmE1NDgwYmU2NzU3OWE2MTQ=-01043977569-record-10.10.62.138-1491181248.4324.mp3</t>
  </si>
  <si>
    <t>20170403/3004063-20170403084927-TYjhmNzBmODFmMzA3Y2JhY2I4MjkzZWFhOTBkZWM0ZDU=-01043989719-record-10.10.62.138-1491180567.3573.mp3</t>
  </si>
  <si>
    <t>20170403/3004063-20170403084811-TZGU2M2RiOTkwMTFmYjgzZmE3YTc5YjlmOTdiYzA3NzQ=-01043977569-record-10.10.62.138-1491180491.3514.mp3</t>
  </si>
  <si>
    <t>20170403/3004063-20170403084742-TYWIzNTM1OTQxNTFiMGYyYjM5MDNmZDJlYmUyYTNhZDg=-01043989717-record-10.10.62.138-1491180462.3492.mp3</t>
  </si>
  <si>
    <t>20170403/3004063-20170403084416-TZGJmMDdkZmExOGQ2MGE1YmY4ZTU2N2ZiODQ2MTkxZDQ=-01043989718-record-10.10.62.138-1491180256.3329.mp3</t>
  </si>
  <si>
    <t>20170403/3004063-20170403084213-TZTBmY2IzYzMzOGVkNDU0ODA3MTE2YmE4YmFhZDdkOWY=-01043989719-record-10.10.62.138-1491180133.3217.mp3</t>
  </si>
  <si>
    <t>20170403/3004063-20170403083630-TMmQ0ZDFiZjNiMGI0NThlZWE1OTRjYTI5M2IwMmZlYWU=-01043989720-record-10.10.62.138-1491179790.2934.mp3</t>
  </si>
  <si>
    <t>20170403/3004063-20170403080832-TMWY4OTI5MzljNmE5ZGY1NjE1NTA2MDJhOGNjZDU1Mzk=-01043989719-record-10.10.62.138-1491178112.1885.mp3</t>
  </si>
  <si>
    <t>20170402/3004063-20170402203133-TY2QzYjFkYmM3YTgxZWZiNDMyODc0NmYyODNhNWY4MmM=-01043977565-record-10.10.62.138-1491136293.140031.mp3</t>
  </si>
  <si>
    <t>20170402/3004063-20170402201616-TYTdjYjljMjc2MzllZDdhN2QxNGYxMDJkYzJjNWQzMzM=-01043989720-record-10.10.62.138-1491135376.137724.mp3</t>
  </si>
  <si>
    <t>20170402/3004063-20170402201536-TNjY5ZWI5ZjcyNThiY2U4NzRhZTZlYzgzMzcyYWMzNGQ=-01043977568-record-10.10.62.138-1491135336.137639.mp3</t>
  </si>
  <si>
    <t>20170402/3004063-20170402194633-TNTE5NmIzMDMxZTE0YmI3NDQ4Mzg0M2Q4MWQ3ODEwMWU=-01043989720-record-10.10.62.138-1491133593.132675.mp3</t>
  </si>
  <si>
    <t>20170402/3004063-20170402191601-TNjgzYTNlZjliN2Y2NGYwMGFhNDhmNGYzOGM3ZmU1ZjA=-01043977565-record-10.10.62.138-1491131761.127140.mp3</t>
  </si>
  <si>
    <t>20170402/3004063-20170402183445-TOGE3YjY0OWI2MTAzZDExYzYxMjJjYzVhNzI2Y2IwN2I=-01043977565-record-10.10.62.138-1491129285.119285.mp3</t>
  </si>
  <si>
    <t>20170402/3004063-20170402183234-TMzc3YjA1YzkyMTE2MGNmMjczMjAxOWJmZTFlMGY5OWE=-01043989720-record-10.10.62.138-1491129154.118825.mp3</t>
  </si>
  <si>
    <t>20170402/3004063-20170402174237-TYTY3ZTZhMzkyOTQwOThkMDlhMDlkZDI5MDFmZTcyN2Q=-01043977568-record-10.10.62.138-1491126157.111853.mp3</t>
  </si>
  <si>
    <t>20170402/3004063-20170402155624-TNGExNGY1NzliZGNkYmY0NWNjZDYyM2JjZGViYzZjOTU=-01043977568-record-10.10.62.138-1491119784.87589.mp3</t>
  </si>
  <si>
    <t>20170402/3004063-20170402155535-TNjhkZDRiZTQzMGYzY2RlMmQ2OGIwNGUwNjdhZDE3ZjM=-01043989720-record-10.10.62.138-1491119735.87354.mp3</t>
  </si>
  <si>
    <t>20170402/3004063-20170402145121-TY2IzMjkxOWFlNjUyZGQ2NDQ4ODA5YmI2MjJhM2I5ODA=-01043977568-record-10.10.62.138-1491115881.70194.mp3</t>
  </si>
  <si>
    <t>20170402/3004063-20170402142004-TNWZkODFmOGJlNjE4MWVjMjdhM2E4ZjhhODlhNDliYTI=-01043977568-record-10.10.62.138-1491114004.61604.mp3</t>
  </si>
  <si>
    <t>20170402/3004063-20170402140431-TODc2YTE2OWM5OTI0NGNmMTY5M2E0M2JlNWFmZjQyZDc=-01043977568-record-10.10.62.138-1491113071.57509.mp3</t>
  </si>
  <si>
    <t>20170402/3004063-20170402134915-TOWE4NGY3OTRmZTYwM2Y4ZTExOTk4YjU4MWVkMDhmZDg=-01043977565-record-10.10.62.138-1491112155.54801.mp3</t>
  </si>
  <si>
    <t>20170402/3004063-20170402132432-TOTQ2YWRmZDliNTQxY2MyZjJkMzBkOGU0MWJiNzQ3ZTI=-01043977565-record-10.10.62.138-1491110672.51090.mp3</t>
  </si>
  <si>
    <t>20170402/3004063-20170402130458-TMTZjNmEwZmQ4MDgyNzRiYjNkZmRjMGJlMzQwZmUwNjM=-01043989720-record-10.10.62.138-1491109498.48282.mp3</t>
  </si>
  <si>
    <t>20170402/3004063-20170402123036-TZmE4ODFiY2Q5YmZlODg3M2I3OTIzYTUyZDFiNWM1YWQ=-01043977565-record-10.10.62.138-1491107436.45044.mp3</t>
  </si>
  <si>
    <t>20170402/3004063-20170402122630-TNWI1MGIzZDI1YjAwMTZjZTY0MDQ1NzA0ZDMyZDM4MTg=-01043977568-record-10.10.62.138-1491107190.44708.mp3</t>
  </si>
  <si>
    <t>20170402/3004063-20170402120510-TYmJiMzZkZjg0Yjg1NTQ0OGE3NmU5ZDQ4MzY5ZjMyOWU=-01043977566-record-10.10.62.138-1491105910.43040.mp3</t>
  </si>
  <si>
    <t>20170402/3004063-20170402120336-TYzg4M2QyMDdmMGY2YjNmYjJkNTIxNjBkNTM2YTZmMmY=-01043977565-record-10.10.62.138-1491105816.42901.mp3</t>
  </si>
  <si>
    <t>20170402/3004063-20170402115346-TODVkYzQwZmNlYTExNjBjOGE2MDc0MDRjMzVkZDYzZjk=-01043989720-record-10.10.62.138-1491105226.41647.mp3</t>
  </si>
  <si>
    <t>20170402/3004063-20170402111819-TNDY1ZmM3NjE0NzQ1NzU0Y2QxMTM4YmViMzY1YmY0NDE=-01043989720-record-10.10.62.138-1491103099.33797.mp3</t>
  </si>
  <si>
    <t>20170402/3004063-20170402111339-TYjYzNWQ0Nzg4YzZlNTdjOWZmYTk4MzA0NGQ3OWRjOTk=-01043989720-record-10.10.62.138-1491102819.32745.mp3</t>
  </si>
  <si>
    <t>20170402/3004063-20170402110440-TOWIyOTU4MDQxZTA0ZjE4NGRlOTNlNzkzODJmMDYxYjY=-01043977568-record-10.10.62.138-1491102280.30571.mp3</t>
  </si>
  <si>
    <t>20170402/3004063-20170402105342-TYjFmZjYxMzdkODJhYTVjNWE1MzAyM2U4OGIwMzc3MTQ=-01043977566-record-10.10.62.138-1491101622.27980.mp3</t>
  </si>
  <si>
    <t>20170402/3004063-20170402104535-TZDFhMWJkMDNhMzk5NGQ5NWUwNGU0NzZhM2Q3MmQ0MDE=-01043977565-record-10.10.62.138-1491101135.26066.mp3</t>
  </si>
  <si>
    <t>20170402/3004063-20170402103902-TOTljMjVkODRlNWFkN2I3YzFlYzdiNmZhMTA2MzRiNTE=-01043989720-record-10.10.62.138-1491100742.24637.mp3</t>
  </si>
  <si>
    <t>20170402/3004063-20170402102700-TODk4ZTU0MDc5MmNhZjllMjAyOGM3ZDk2ZmQ1MGIzYTM=-01043989720-record-10.10.62.138-1491100020.22124.mp3</t>
  </si>
  <si>
    <t>20170402/3004063-20170402101226-TYzg1NTA0ZmZhMTQzZmZhM2Q4NzdkMzRlNTAzZWRhMDA=-01043977568-record-10.10.62.138-1491099146.19126.mp3</t>
  </si>
  <si>
    <t>20170402/3004063-20170402095741-TOGEwZTc1NzZjNDA3YTI2ZmEyYWRiNTUwYzRiNjdjYjk=-01043977565-record-10.10.62.138-1491098261.16110.mp3</t>
  </si>
  <si>
    <t>20170402/3004063-20170402093034-TZDQzNDdlM2VmYWFiOWViNTY3N2NhY2IwNTc3OGEwMzg=-01043977568-record-10.10.62.138-1491096634.10778.mp3</t>
  </si>
  <si>
    <t>20170402/3004063-20170402091237-TMTZjNmEwZmQ4MDgyNzRiYjNkZmRjMGJlMzQwZmUwNjM=-01043977566-record-10.10.62.138-1491095557.7368.mp3</t>
  </si>
  <si>
    <t>20170402/3004063-20170402091019-TNjFiNWY3NjdkMzVhZGQ2MTVlZDljYzM3MzcwNGFhNzA=-01043989720-record-10.10.62.138-1491095419.6983.mp3</t>
  </si>
  <si>
    <t>20170402/3004063-20170402090539-TOTFkOTY3ODExYWFjMjlkNTI1ZDM0NjJmODJjNzk5YzU=-01043977565-record-10.10.62.138-1491095139.6256.mp3</t>
  </si>
  <si>
    <t>20170402/3004063-20170402084600-TOWRhMjBhNmZlOWQwZmIzNDQ4M2JhNmMyYTVhYzI1ODY=-01043989720-record-10.10.62.138-1491093960.4462.mp3</t>
  </si>
  <si>
    <t>20170402/3004063-20170402084035-TNThiZmQzYzNjZThjMTRjOGYyMTIwMjJjNTUzNGZlNTE=-01043977568-record-10.10.62.138-1491093635.4077.mp3</t>
  </si>
  <si>
    <t>20170402/3004063-20170402083110-TMWU2YTliMjk5Y2U1MWY5ZWIzZWY3MTlmMzViNzZhYzY=-01043977566-record-10.10.62.138-1491093070.3489.mp3</t>
  </si>
  <si>
    <t>山西/吕梁</t>
  </si>
  <si>
    <t>20170402/3004063-20170402082705-TZmExZGNhMzJkZWJmYTI5YzdjMTRhMTJkMDljYzc2NWM=-01043977565-record-10.10.62.138-1491092825.3246.mp3</t>
  </si>
  <si>
    <t>20170402/3004063-20170402082323-TYWM1N2NjMjhiMTg3ZmIxMjU2ZGE4NzVmNTc0YjA1ZGY=-01043989720-record-10.10.62.138-1491092603.3041.mp3</t>
  </si>
  <si>
    <t>20170402/3004063-20170402081144-TOWRhMjBhNmZlOWQwZmIzNDQ4M2JhNmMyYTVhYzI1ODY=-01043977568-record-10.10.62.138-1491091904.2519.mp3</t>
  </si>
  <si>
    <t>20170402/3004063-20170402074825-TYjc1MTRkMzVmNjk3MzQzZGQzN2Y1NTJkNzdjMDk5ODc=-10.10.62.138-1491090505.1841.mp3</t>
  </si>
  <si>
    <t>20170401/3004063-20170401212440-TYjc1MTRkMzVmNjk3MzQzZGQzN2Y1NTJkNzdjMDk5ODc=-10.10.62.138-1491053080.183000.mp3</t>
  </si>
  <si>
    <t>20170401/3004063-20170401204804-TMzc3YjA1YzkyMTE2MGNmMjczMjAxOWJmZTFlMGY5OWE=-01043977569-record-10.10.62.138-1491050884.179927.mp3</t>
  </si>
  <si>
    <t>20170401/3004063-20170401203437-TOWM5NzExM2FlNDc0YzRiODRiNGQ5YjI1ZWM4OWFiZmI=-01043977569-record-10.10.62.138-1491050077.178419.mp3</t>
  </si>
  <si>
    <t>20170401/3004063-20170401194446-TYTcyMmUxNTliNmJhMTVkZTJjYTAwMzQ0MzA3NmFkYjQ=-01043989719-record-10.10.62.138-1491047086.172065.mp3</t>
  </si>
  <si>
    <t>20170401/3004063-20170401193132-TMWVmMDZjMjdkNDUzMTJlNmEyMGIwOWRlMTZjMGExZmE=-01043989718-record-10.10.62.138-1491046292.170066.mp3</t>
  </si>
  <si>
    <t>20170401/3004063-20170401192829-TYTMzODQ5ZmI2MzA5ZTBmZjQ3ZWQ1ODUyZWZiZWZiM2U=-01043989718-record-10.10.62.138-1491046109.169538.mp3</t>
  </si>
  <si>
    <t>20170401/3004063-20170401191031-TZjg1NDIwMGMwYTgyYzJjZjYzY2I5MjcyZTJlMDIwMDI=-01043989717-record-10.10.62.138-1491045031.166957.mp3</t>
  </si>
  <si>
    <t>20170401/3004063-20170401190319-TMjcwZjMzYzdiMDI4MDhhYjE2M2I5NzQ0ZWVjZGVkNjg=-01043977569-record-10.10.62.138-1491044599.165871.mp3</t>
  </si>
  <si>
    <t>20170401/3004063-20170401190254-TODMyNDE0NGEwYjRjMDdjMGIzNWI3NzdhOTE5OTNhZmI=-01043989718-record-10.10.62.138-1491044574.165784.mp3</t>
  </si>
  <si>
    <t>20170401/3004063-20170401185135-TYzcxZGZlNzJjZjQ0MTc2MTFjNjJmN2IyODVjNTZkY2Q=-01043989717-record-10.10.62.138-1491043895.163916.mp3</t>
  </si>
  <si>
    <t>20170401/3004063-20170401182943-TMGU2YTU5ZWJkMWM2OTg0MjViODJjZGNmYTU0YmE2MTE=-01043989717-record-10.10.62.138-1491042583.160263.mp3</t>
  </si>
  <si>
    <t>20170401/3004063-20170401181228-TMzUwMDE4MDYyNjI0MmMyM2UzYjI3MWUxMWIyNWI3OGY=-01043989717-record-10.10.62.138-1491041548.157439.mp3</t>
  </si>
  <si>
    <t>20170401/3004063-20170401175747-TM2RhZDljODcyMjc4ZjdlYzlhNjE4NDYwNzY4NDM4ZDI=-01043977573-record-10.10.62.138-1491040667.155150.mp3</t>
  </si>
  <si>
    <t>20170401/3004063-20170401174136-TZWM4NmFiNjk5YzNiZTg2Y2E2NDg2NDQ4MGM0OWE3YTI=-01043989718-record-10.10.62.138-1491039696.152448.mp3</t>
  </si>
  <si>
    <t>20170401/3004063-20170401173913-TOTNiYjY3N2FhZDQzZmQxOGM0OGU1N2E2NWM0ZTUwNDE=-01043977573-record-10.10.62.138-1491039553.152048.mp3</t>
  </si>
  <si>
    <t>20170401/3004063-20170401171626-TYjc1YzBkYzBmYTAzOTUwMjA0YjE0ZTI1ODJjNjc3Y2Y=-01043977573-record-10.10.62.138-1491038186.146954.mp3</t>
  </si>
  <si>
    <t>20170401/3004063-20170401165908-TZmViMmNkNTI1Njc5MWVhZTc5MzliZTY0ODc0ZmJkYjM=-01043977573-record-10.10.62.138-1491037147.141412.mp3</t>
  </si>
  <si>
    <t>20170401/3004063-20170401164948-TMDdiYjgwYmNiM2UxNmMyOTJiMWQwYzM3MDk1YzM1YzM=-01043977569-record-10.10.62.138-1491036588.137798.mp3</t>
  </si>
  <si>
    <t>20170401/3004063-20170401164712-TODI5ZTc3NzFmMmQ3YmZiOGU1ZTlhYjhhMGUyM2E3Nzg=-01043977567-record-10.10.62.138-1491036432.136776.mp3</t>
  </si>
  <si>
    <t>20170401/3004063-20170401163342-TYzkyMDFkMGViZDFmODhkMGNkOTg1ZjFlOTE1NWJjNjk=-01043989717-record-10.10.62.138-1491035622.131763.mp3</t>
  </si>
  <si>
    <t>20170401/3004063-20170401163039-TOTI3OTAzZmVhOTQxZGUzNzg4NzNkZjdhZjNlM2MyODg=-01043989720-record-10.10.62.138-1491035439.130580.mp3</t>
  </si>
  <si>
    <t>20170401/3004063-20170401162848-TYTA3MDczYTk5NzNlMmM3MWU4Nzk5ZDc1YmJjN2JhMTY=-01043977573-record-10.10.62.138-1491035328.129881.mp3</t>
  </si>
  <si>
    <t>20170401/3004063-20170401161704-TY2YwYzIzNDc3ODZlM2M2NWJlNjQwNmRiZTk4YjAzYzQ=-01043977568-record-10.10.62.138-1491034624.125717.mp3</t>
  </si>
  <si>
    <t>20170401/3004063-20170401155827-TODAxNDYxYThmMGRmOTVmY2UzNmUxYzg0ODUxMGMzYTE=-01043989718-record-10.10.62.138-1491033507.118438.mp3</t>
  </si>
  <si>
    <t>20170401/3004063-20170401154314-TNzJmYTIzOTIxN2M5M2VhNjYxMjQ5NjBlNzhkZjU2NmM=-01043977565-record-10.10.62.138-1491032594.112302.mp3</t>
  </si>
  <si>
    <t>20170401/3004063-20170401154313-TN2NiOGZiNzRlMjZhOGViYTA3N2RmYmVmYTM2MTM2ZmNiMmQ4MGM0NDhhMjIyODA4NjZkMzhkNzc5MzU5N2M1Mg==-01043977573-record-10.10.62.138-1491032593.112299.mp3</t>
  </si>
  <si>
    <t>20170401/3004063-20170401154105-TNzJmYTIzOTIxN2M5M2VhNjYxMjQ5NjBlNzhkZjU2NmM=-01043977565-record-10.10.62.138-1491032465.111474.mp3</t>
  </si>
  <si>
    <t>山东/潍坊</t>
  </si>
  <si>
    <t>20170401/3004063-20170401153227-TMmYzM2QxYWJjMmMzNGYzMjc5NzliZTU0ZjhlOTZjMjE=-01043989720-record-10.10.62.138-1491031947.108263.mp3</t>
  </si>
  <si>
    <t>20170401/3004063-20170401152949-TY2ZhNzg1MjQwZDA1YTU2MmI3Yzk2YzBjMWI4NGMxMGI=-13611040764-record-10.10.62.138-1491031789.107292.mp3</t>
  </si>
  <si>
    <t>20170401/3004063-20170401151502-TYTRkZmE0NGUzMDBjNTA5ODFkYTk0YTJiOWQ0MzE2ZGM=-01043989718-record-10.10.62.138-1491030902.101723.mp3</t>
  </si>
  <si>
    <t>20170401/3004063-20170401151109-TNWNmYjBmMzE3ODdjMWJkY2Q0OTNhN2YyOWFkZmM4N2Y=-01043977567-record-10.10.62.138-1491030669.100262.mp3</t>
  </si>
  <si>
    <t>20170401/3004063-20170401150927-TN2Q5OTQ0ZTcyM2Q0NDM2YWUyOTNiYWU0OWM1NWU0NjQ=-01043989720-record-10.10.62.138-1491030567.99568.mp3</t>
  </si>
  <si>
    <t>20170401/3004063-20170401145117-TZWRkMWJhN2M2YzZjMGU5Y2U3ZjAwODg5NmM1M2UyZjA=-01043977569-record-10.10.62.138-1491029477.92724.mp3</t>
  </si>
  <si>
    <t>20170401/3004063-20170401145010-TY2ZhNzg1MjQwZDA1YTU2MmI3Yzk2YzBjMWI4NGMxMGI=-13718091869-record-10.10.62.138-1491029410.92297.mp3</t>
  </si>
  <si>
    <t>20170401/3004063-20170401144111-TYjQ2M2M0MmQxZjlmMDBkZDYzNmM4MjNhNmI4MTFkYmE=-01043977568-record-10.10.62.138-1491028871.88891.mp3</t>
  </si>
  <si>
    <t>20170401/3004063-20170401142152-TNzNmZTgxNzVhZDYxOTc3ZjBiOGI3ZDExZWFhYTRlZWQ=-01043977568-record-10.10.62.138-1491027712.81356.mp3</t>
  </si>
  <si>
    <t>20170401/3004063-20170401141743-TMjMyYmY0ZGFiZDc0ZmE2NGFjNjljNWZiY2Y5NTIzZDM=-01043977568-record-10.10.62.138-1491027463.79759.mp3</t>
  </si>
  <si>
    <t>20170401/3004063-20170401141225-TZWRkMWJhN2M2YzZjMGU5Y2U3ZjAwODg5NmM1M2UyZjA=-01043977569-record-10.10.62.138-1491027145.77718.mp3</t>
  </si>
  <si>
    <t>20170401/3004063-20170401130944-TODMxMzU5YmM1Mjg4NzQxYzU2MTJiY2MxYTg2OWI0YWY=-01043977573-record-10.10.62.138-1491023384.62482.mp3</t>
  </si>
  <si>
    <t>20170401/3004063-20170401124431-TYjQyMWU1ODlkZTRmNzZkMmQ1MmQ4YWRjOTA2YjhkYWU=-01043989719-record-10.10.62.138-1491021871.59906.mp3</t>
  </si>
  <si>
    <t>20170401/3004063-20170401123446-TYjdiYTcwM2RmODEwMzc1YWUzYTE3YjdlMzIxZGI4MDk=-01043977568-record-10.10.62.138-1491021286.59114.mp3</t>
  </si>
  <si>
    <t>20170401/3004063-20170401122630-TNzFhNWZkYWFhYjQxMmE1Y2YyMzRkNWFlNDkxN2ZjZDk=-01043989720-record-10.10.62.138-1491020790.58317.mp3</t>
  </si>
  <si>
    <t>20170401/3004063-20170401120856-TMmM1NmViZGZlOWJmYmU5ZTJhZjc3MmZjMDBlYWNiYjc=-01043977573-record-10.10.62.138-1491019736.56039.mp3</t>
  </si>
  <si>
    <t>20170401/3004063-20170401120054-TOWFiNzAxNjE4YWQ3ZjM5NmRlMmUwZGU2MGMyZTkyMmY=-01043989719-record-10.10.62.138-1491019254.54867.mp3</t>
  </si>
  <si>
    <t>20170401/3004063-20170401114145-TODcwMTZhN2FmNGE3MmViYzIyM2RjMDJlYzkxYjE5ODc=-01043989720-record-10.10.62.138-1491018105.49943.mp3</t>
  </si>
  <si>
    <t>20170401/3004063-20170401112045-TY2Y2OGE3ZTRlYTgwMmM1NTA5NjQ5OWMzMzIxOTk4YTM=-01043977573-record-10.10.62.138-1491016845.42746.mp3</t>
  </si>
  <si>
    <t>20170401/3004063-20170401105939-TMDAwYzM1NGE0YjMxNDEzNzZkZDM4NWM4ZTY3ZTNhY2E=-01043989720-record-10.10.62.138-1491015579.35659.mp3</t>
  </si>
  <si>
    <t>20170401/3004063-20170401103810-TNjM5ZTBhNTU4YzQ4NTYzOGVmZjlkMGUxMzhiYzk4NmU=-01043989720-record-10.10.62.138-1491014290.29011.mp3</t>
  </si>
  <si>
    <t>20170401/3004063-20170401103253-TZjBiZGY3NzZlZjQ4ZWQ1MzliNWQ0NDUxN2NmZWRjZGY=-01043989719-record-10.10.62.138-1491013973.27455.mp3</t>
  </si>
  <si>
    <t>20170401/3004063-20170401103200-TMWNiODcxZDA1MzdkODk0YTI1Y2MzMmNhNDlmNzQ1Y2U=-01043977567-record-10.10.62.138-1491013920.27268.mp3</t>
  </si>
  <si>
    <t>20170401/3004063-20170401102756-TNDcxNzEyZWMwMmQwMGE2NTM3YjhlMzUzODRjN2E4ZTU=-01043989720-record-10.10.62.138-1491013676.26143.mp3</t>
  </si>
  <si>
    <t>20170401/3004063-20170401102451-TZmJiNGRlNTYyYTRmMTljYzYwMWVhNDY0Y2U5NWY0N2Q=-01043977567-record-10.10.62.138-1491013491.25278.mp3</t>
  </si>
  <si>
    <t>20170401/3004063-20170401102049-TNDcxNzEyZWMwMmQwMGE2NTM3YjhlMzUzODRjN2E4ZTU=-01043989720-record-10.10.62.138-1491013249.24107.mp3</t>
  </si>
  <si>
    <t>20170401/3004063-20170401102043-TOTYzMDFkODY3ZGNiMjBlZjRmMmExNGI4NmU0ZmQwNTc=-13718091869-record-10.10.62.138-1491013243.24073.mp3</t>
  </si>
  <si>
    <t>20170401/3004063-20170401095732-TMTk1ZTU5ZjQ4YmRlN2E0YmQyZTVlZjdlMGZiODQ2NmY=-01043977567-record-10.10.62.138-1491011852.17673.mp3</t>
  </si>
  <si>
    <t>20170401/3004063-20170401093536-TYjQyMWU1ODlkZTRmNzZkMmQ1MmQ4YWRjOTA2YjhkYWU=-01043977568-record-10.10.62.138-1491010536.12190.mp3</t>
  </si>
  <si>
    <t>20170401/3004063-20170401092751-TMmJlNGFjN2JhOGRiOWFiZjAyNjIwMjI1ZGE1NzAyMWE=-01043977568-record-10.10.62.138-1491010071.10266.mp3</t>
  </si>
  <si>
    <t>云南/昆明</t>
  </si>
  <si>
    <t>20170401/3004063-20170401092450-TZjk4YzQ4YWI3MmIzZWI2ZWQ3NDU0MmMyYjM2YzFmOGI=-01043977566-record-10.10.62.138-1491009890.9514.mp3</t>
  </si>
  <si>
    <t>20170401/3004063-20170401092440-TYjI1MjY0MmYyNDgzMGVjY2UwMDg2N2Q0ZWU4NjJmYjA=-01043977565-record-10.10.62.138-1491009880.9470.mp3</t>
  </si>
  <si>
    <t>山西/阳泉</t>
  </si>
  <si>
    <t>20170401/3004063-20170401091149-TODVkN2E4MjA3ZDgwYTc0MDJjYmNhMDk0MjI4M2JhM2U=-01043989719-record-10.10.62.138-1491009109.7036.mp3</t>
  </si>
  <si>
    <t>20170401/3004063-20170401083802-TMWEzYjM1OTA1ZjE5OGRkZWE4YzVmNDE0ZmQ5YzBkY2Q=-01043977568-record-10.10.62.138-1491007082.3603.mp3</t>
  </si>
  <si>
    <t>内蒙/鄂尔多斯</t>
  </si>
  <si>
    <t>20170401/3004063-20170401083013-TMDlhZWM5MDk2YWUwMmM5OTkxNzgwZGIxODE5MzBmMjY=-01043977568-record-10.10.62.138-1491006613.3171.mp3</t>
  </si>
  <si>
    <t>20170401/3004063-20170401082503-TOWIyOTA2OGE1NDVjOTRiMTdiNTNhODUwYWI0ZjJlNTA=-01043989719-record-10.10.62.138-1491006303.2886.mp3</t>
  </si>
  <si>
    <t>20170401/3004063-20170401080346-TNWFhMjI3Y2E0ZWVhM2YxOTJmOGVmOTNjMzE1ZjZkMDU=-01043977565-record-10.10.62.138-1491005026.1954.mp3</t>
  </si>
  <si>
    <t>20170331/3004063-20170331200033-TNTk3NGNiZDJiNWNkNjhkZmY5NjMwY2IxMjkyZDg0ZGQ=-01043989718-record-10.10.62.138-1490961633.204158.mp3</t>
  </si>
  <si>
    <t>20170331/3004063-20170331192441-TMDkwY2JiNDVhM2U2ZDE5M2JmYTYyMTYwYTYxOWMxNzg=-01043989717-record-10.10.62.138-1490959481.197582.mp3</t>
  </si>
  <si>
    <t>20170331/3004063-20170331185234-TNDZjNmY5NzEzMDRlMThiNzZjNzAxZTYxMmU3NzU2ZTI=-01043989718-record-10.10.62.138-1490957554.190243.mp3</t>
  </si>
  <si>
    <t>20170331/3004063-20170331184515-TMmM1NmViZGZlOWJmYmU5ZTJhZjc3MmZjMDBlYWNiYjc=-01043989720-record-10.10.62.138-1490957115.188681.mp3</t>
  </si>
  <si>
    <t>20170331/3004063-20170331183430-TYWRkN2VmZTBkMTMyZDg5OTM1Zjg3ZjQ3MzdmODdiMDg=-01043977568-record-10.10.62.138-1490956470.186241.mp3</t>
  </si>
  <si>
    <t>20170331/3004063-20170331182227-TMzk0Yzc4OTFmMTBhZDM4NTUxY2NhNDUzNjdiYTBkMTU=-01043977567-record-10.10.62.138-1490955747.183469.mp3</t>
  </si>
  <si>
    <t>20170331/3004063-20170331174539-TMWFiZGVjOGY2Mjg4ZjZkNWExNmI2NmJkYjlkYTQzYjE=-13718091869-record-10.10.62.138-1490953539.175285.mp3</t>
  </si>
  <si>
    <t>20170331/3004063-20170331174256-TZGZkMjE0Y2QwM2VhNDJkMTQ2MTI5NzM3MzY0NDA1ZGY=-01043977568-record-10.10.62.138-1490953376.174539.mp3</t>
  </si>
  <si>
    <t>20170331/3004063-20170331174111-TZWVjY2RhMDRkZTJhOGVjNmIzZTljNmQwZmUwNWZhNjE=-01043977569-record-10.10.62.138-1490953271.174006.mp3</t>
  </si>
  <si>
    <t>20170331/3004063-20170331174106-TZWNmZTk2YTk1ZTlkYTE4NmVjNDI0ZjI1ZTVmZjljMTU=-01043977567-record-10.10.62.138-1490953266.173968.mp3</t>
  </si>
  <si>
    <t>甘肃/天水</t>
  </si>
  <si>
    <t>20170331/3004063-20170331173612-TM2M3ZTdlYmRmOGNiOWUzYWNmYTA5MmEzM2UyZmMxZDk=-01043977567-record-10.10.62.138-1490952972.172626.mp3</t>
  </si>
  <si>
    <t>20170331/3004063-20170331173150-TZWY1NmY0OTU2NGJlNTJhZjY2NjRjNjNiNTg4N2ZiNzk=-01043977566-record-10.10.62.138-1490952710.171518.mp3</t>
  </si>
  <si>
    <t>20170331/3004063-20170331171608-TYjQyMWU1ODlkZTRmNzZkMmQ1MmQ4YWRjOTA2YjhkYWU=-01043989718-record-10.10.62.138-1490951768.166553.mp3</t>
  </si>
  <si>
    <t>20170331/3004063-20170331163412-TMWQ1NmM0NTg2ZmI4NmM0Y2M1YmQyM2Y5YWYwMTMyMGU=-01043977565-record-10.10.62.138-1490949252.150187.mp3</t>
  </si>
  <si>
    <t>20170331/3004063-20170331162722-TY2ZhNzg1MjQwZDA1YTU2MmI3Yzk2YzBjMWI4NGMxMGI=-13718091869-record-10.10.62.138-1490948842.147207.mp3</t>
  </si>
  <si>
    <t>20170331/3004063-20170331162604-TNmRjZmI4ODY1Njc3YmNmZDExMDFlNDBjYTNiZDVmYjk=-01043989720-record-10.10.62.138-1490948764.146646.mp3</t>
  </si>
  <si>
    <t>20170331/3004063-20170331161343-TODc2MTNhOWVkZTMzYzYwMWMzNzc1NDk3NTBjYmI0N2U=-01043989720-record-10.10.62.138-1490948023.141465.mp3</t>
  </si>
  <si>
    <t>20170331/3004063-20170331155327-TNjM2ZTM2NWQwNzZmMTA4ZGY5N2E1YzRiNWZmNDcwOWU=-01043989718-record-10.10.62.138-1490946807.132381.mp3</t>
  </si>
  <si>
    <t>20170331/3004063-20170331154935-TMDM2YjAxODZjMmVkNTdkZjgxMGM5Zjk3MDEyZmQ0ZjA=-01043989719-record-10.10.62.138-1490946575.130584.mp3</t>
  </si>
  <si>
    <t>20170331/3004063-20170331154751-TNmNiNDY1ZmI2MjdiMjczYTA3YWQ5YzY2ZWI0MGMyMGY=-01043977565-record-10.10.62.138-1490946471.129820.mp3</t>
  </si>
  <si>
    <t>20170331/3004063-20170331153539-TYzJmYTRlMzA3YjNlOWM2NDUzNjhjNmVmZWEzZGQwMjA=-01043989717-record-10.10.62.138-1490945739.124386.mp3</t>
  </si>
  <si>
    <t>20170331/3004063-20170331152949-TZDBhNTJmOTY1ZTMzOTM5NmE2MTUwYWY0MzdlNzlkNjU=-01043977567-record-10.10.62.138-1490945389.121740.mp3</t>
  </si>
  <si>
    <t>20170331/3004063-20170331152040-TOWE1ZTJlZDRjMzNiYTAwNTY3NDUwNmEzYjdjY2FlOTc=-01043977567-record-10.10.62.138-1490944840.117735.mp3</t>
  </si>
  <si>
    <t>20170331/3004063-20170331151922-TMzRkNGE5NzM5YmE2NGE0ODBhMGU3MGJkYTliNzFhZjE=-01043977568-record-10.10.62.138-1490944762.117149.mp3</t>
  </si>
  <si>
    <t>20170331/3004063-20170331151739-TNzVmY2Q0YWY0NDQzY2EzZTFiNmMwMWI3YjY2NTQyMmI=-01043989719-record-10.10.62.138-1490944659.116338.mp3</t>
  </si>
  <si>
    <t>20170331/3004063-20170331151453-TY2M5YzQxZjIzZTVlMTIyODNiMWI5YmJmMTI1ZWY3OTU=-01043989718-record-10.10.62.138-1490944493.115132.mp3</t>
  </si>
  <si>
    <t>20170331/3004063-20170331142443-TNTA2OGQxM2FkMDVjY2MwZWNlOWMxZTA0OGFmNzk0ZjM=-01043977569-record-10.10.62.138-1490941483.93366.mp3</t>
  </si>
  <si>
    <t>20170331/3004063-20170331141729-TMzlhNjdlZGUzMjNiODVkZDdhMTllOWM4OWUxMDhkN2Y=-01043989717-record-10.10.62.138-1490941049.90373.mp3</t>
  </si>
  <si>
    <t>20170331/3004063-20170331141453-TZGYzNmIwYmVmMjA4NjRlNjMwZjdhYWUwNzJlYThiMmU=-13718091869-record-10.10.62.138-1490940893.89297.mp3</t>
  </si>
  <si>
    <t>20170331/3004063-20170331140033-TMDMzOTMxNWU1MWU3ZTVlZjAxYjNmNzBmYmY5NjQ0ZjE=-01043989718-record-10.10.62.138-1490940033.84344.mp3</t>
  </si>
  <si>
    <t>20170331/3004063-20170331133844-TNGJkOGI0Yzg4NTQ5NDUxZjUxZWE0OWY3YWNmZWM0NzQ=-01043977568-record-10.10.62.138-1490938724.78129.mp3</t>
  </si>
  <si>
    <t>20170331/3004063-20170331132623-TYjgyOGYyMDMxOGYyYWQ3NzVmYjlmZDlhNmU0MjZiNTc=-01043977568-record-10.10.62.138-1490937983.74990.mp3</t>
  </si>
  <si>
    <t>甘肃/平凉</t>
  </si>
  <si>
    <t>20170331/3004063-20170331130241-TYmIwNjU5NmQxZTA4NjBlNDAxZmVhNTY2ODJjZWZhYWQ=-01043977568-record-10.10.62.138-1490936561.70539.mp3</t>
  </si>
  <si>
    <t>20170331/3004063-20170331130226-TNTYwOGI0NGI4NWNiNTQ4YTM2M2FjMDZmMzg5YmY2ZjQ=-13718091869-record-10.10.62.138-1490936546.70499.mp3</t>
  </si>
  <si>
    <t>20170331/3004063-20170331125941-TNjQ5ZTA0OTc4NzAwM2E2YjQ4NDdmZWVkMTkxNmI4NmY=-01043989718-record-10.10.62.138-1490936381.70190.mp3</t>
  </si>
  <si>
    <t>20170331/3004063-20170331122816-TNTZkNDhlYmRjYWZiZjliYjc4ZjM0OTFlZDgyMmFkZGU=-01043989718-record-10.10.62.138-1490934496.67195.mp3</t>
  </si>
  <si>
    <t>20170331/3004063-20170331115920-TODI4YjY3MmMxMDlhMWUzYTU5Mzk3NzNmZDM5MDczNzc=-01043977567-record-10.10.62.138-1490932760.63147.mp3</t>
  </si>
  <si>
    <t>20170331/3004063-20170331105211-TMTZjNmEwZmQ4MDgyNzRiYjNkZmRjMGJlMzQwZmUwNjM=-01043989720-record-10.10.62.138-1490928731.38313.mp3</t>
  </si>
  <si>
    <t>20170331/3004063-20170331104108-TNGM0NDMzYzNiYTVhMGMwNThkOGU5NWJlNGEyZDRiNDA=-01043989718-record-10.10.62.138-1490928068.34001.mp3</t>
  </si>
  <si>
    <t>20170331/3004063-20170331103348-TYjU2OTY2YjJmODQwNDYyYmNlNWVmMGIyYTFiMTk3NjM=-01043977568-record-10.10.62.138-1490927628.31096.mp3</t>
  </si>
  <si>
    <t>20170331/3004063-20170331100142-TOWI3MWNkNWRlNDIyNDMyOWM4NGVjMDNjM2U3Y2IxMDU=-01043977565-record-10.10.62.138-1490925702.19745.mp3</t>
  </si>
  <si>
    <t>20170331/3004063-20170331094245-TNzhlNzJjYjZjZTQ0MTBjMWE1NjliMjBlYWM1Zjg2MWE=-01043977568-record-10.10.62.138-1490924565.14172.mp3</t>
  </si>
  <si>
    <t>20170331/3004063-20170331093825-TODgwOWUzYTRhODczZTIzYWVjNGJlZjcxMjdhODY1ZjA=-01043989720-record-10.10.62.138-1490924305.12961.mp3</t>
  </si>
  <si>
    <t>20170331/3004063-20170331093054-TZDNjZWJiZWY1YzRiZWQzN2U3MDY0ZmIwMWEzYzc1Nzk=-01043977567-record-10.10.62.138-1490923854.10912.mp3</t>
  </si>
  <si>
    <t>20170331/3004063-20170331092820-TYjBmNTBhZjMzNWFmMDQxMGExOWEzYTIzNTE5OGE5NTE=-01043989720-record-10.10.62.138-1490923700.10254.mp3</t>
  </si>
  <si>
    <t>20170331/3004063-20170331092550-TYmE3MWVjZDQ2MDllNGVhNmZjZDliNjVmOGM1Y2Q4YzJiMmQ4MGM0NDhhMjIyODA4NjZkMzhkNzc5MzU5N2M1Mg==-01043977567-record-10.10.62.138-1490923550.9637.mp3</t>
  </si>
  <si>
    <t>20170331/3004063-20170331091811-TYjQzYjNiYThlMmY2OGRjNDE5OGM4MjcxMGQyODg5Mzc=-01043977565-record-10.10.62.138-1490923091.7822.mp3</t>
  </si>
  <si>
    <t>20170331/3004063-20170331091635-TODY3MjUzOTRlMTMxY2QyYTE5MWJlMmFmM2M0NjdhZGI=-01043977567-record-10.10.62.138-1490922995.7460.mp3</t>
  </si>
  <si>
    <t>20170331/3004063-20170331091401-TMDBjMDQ2MWQzOGIyYjAzZDkxNTZlM2U3MWIxNGU2MjQ=-01043977568-record-10.10.62.138-1490922841.6936.mp3</t>
  </si>
  <si>
    <t>20170331/3004063-20170331090228-TNzUzMzI0ZmU4ZmNhNmI2NTI0MWRlNGE4Mjg0MDIwMDA=-01043977569-record-10.10.62.138-1490922148.4848.mp3</t>
  </si>
  <si>
    <t>20170331/3004063-20170331090045-TOGM3Zjk3YTVhNTQ5ZTRjNDFmYWZmY2FiMjRhOGViNGU=-01043989720-record-10.10.62.138-1490922045.4627.mp3</t>
  </si>
  <si>
    <t>河南/漯河</t>
  </si>
  <si>
    <t>20170331/3004063-20170331085942-TNTA2Mjk4ZjdjZTExZjZhN2NhZmM3ODcyMzgzODgzZWY=-01043989719-record-10.10.62.138-1490921982.4499.mp3</t>
  </si>
  <si>
    <t>20170331/3004063-20170331084059-TYmM0ZjRhNDA1NDA3OGVlYjNlMGY2MjQyZDllMTkxOWE=-01043977568-record-10.10.62.138-1490920859.3166.mp3</t>
  </si>
  <si>
    <t>20170331/3004063-20170331082029-TZDQzNDdlM2VmYWFiOWViNTY3N2NhY2IwNTc3OGEwMzg=-01043977568-record-10.10.62.138-1490919629.2150.mp3</t>
  </si>
  <si>
    <t>20170331/3004063-20170331080142-TMDRkMTgyMzk3ZTQxNzdiNjdmYzRiY2UyMzY4NWU1MmI=-01043977565-record-10.10.62.138-1490918502.1474.mp3</t>
  </si>
  <si>
    <t>20170330/3004063-20170330203245-TMzY1YjgwYzY2ZDY1NWNiNWMyZGQ4ZWYwNzQxMzRhYTM=-01043989719-record-10.10.62.138-1490877165.202834.mp3</t>
  </si>
  <si>
    <t>转移:电话-13718091869</t>
  </si>
  <si>
    <t>20170330/3004063-20170330201258-TZjQ1MmExYzQ4MDhhNWM5MmZlNDA3YjYzNGFiODgyMDk=-01043977569-record-10.10.62.138-1490875978.198939.mp3</t>
  </si>
  <si>
    <t>新疆/博乐</t>
  </si>
  <si>
    <t>20170330/3004063-20170330194812-TODUyZDE3ZTk3ZDhmZDlkMjQ0YzM0OTE5ZjYxYmFjMTk=-01043977569-record-10.10.62.138-1490874492.194240.mp3</t>
  </si>
  <si>
    <t>20170330/3004063-20170330193338-TZTRhNGI4M2NkNmQwN2U0YjYzNzIwOWQ1Y2I0NzU3ODM=-01043989718-record-10.10.62.138-1490873618.192293.mp3</t>
  </si>
  <si>
    <t>20170330/3004063-20170330191553-TYTA4ZDI3Zjc0ZWViNjM1Yzk2ZGMzNzY4OThjMzMzODI=-01043977569-record-10.10.62.138-1490872553.189937.mp3</t>
  </si>
  <si>
    <t>20170330/3004063-20170330185620-TZmQ0MDVjMGVlODE0ZWE3ZGM0NThiNmU2MjAyZmVhZDk=-01043989717-record-10.10.62.138-1490871380.186327.mp3</t>
  </si>
  <si>
    <t>20170330/3004063-20170330184349-TMzJjZDg2MDEyNjFmZGRiYTBiYjI0ZjA5ZDg0MWNmMmU=-01043977568-record-10.10.62.138-1490870629.183374.mp3</t>
  </si>
  <si>
    <t>20170330/3004063-20170330183330-TOTk0ZTU2MjBlMWExNTZhZDkxOWFlNzkzMmIxODFmYjI=-01043989717-record-10.10.62.138-1490870010.181018.mp3</t>
  </si>
  <si>
    <t>20170330/3004063-20170330182606-TYTA4ZDI3Zjc0ZWViNjM1Yzk2ZGMzNzY4OThjMzMzODI=-01043989717-record-10.10.62.138-1490869566.179239.mp3</t>
  </si>
  <si>
    <t>20170330/3004063-20170330174107-TNzJmYTIzOTIxN2M5M2VhNjYxMjQ5NjBlNzhkZjU2NmM=-01043977569-record-10.10.62.138-1490866867.170608.mp3</t>
  </si>
  <si>
    <t>20170330/3004063-20170330173904-TNzJmYTIzOTIxN2M5M2VhNjYxMjQ5NjBlNzhkZjU2NmM=-01043989719-record-10.10.62.138-1490866744.170140.mp3</t>
  </si>
  <si>
    <t>20170330/3004063-20170330173155-TODVhZGZhZGRkZGE2NDU1ZGVlYzE4MGIxNDUxYjlkYWE=-01043977567-record-10.10.62.138-1490866315.168707.mp3</t>
  </si>
  <si>
    <t>河南/新乡</t>
  </si>
  <si>
    <t>20170330/3004063-20170330171642-TYmQxZTdjYWRhZjcxODI0OGM0OGM4ZWFjZGUwY2VjYTA=-01043977567-record-10.10.62.138-1490865402.164075.mp3</t>
  </si>
  <si>
    <t>20170330/3004063-20170330170735-TOTg2ZjYyNDc2NjEyYWZiNjU2Nzg0OTNjYTVhZTg1NGY=-01043977567-record-10.10.62.138-1490864855.161000.mp3</t>
  </si>
  <si>
    <t>20170330/3004063-20170330170206-TMWEwNWRlMDBiNjRlMzBmMzNlNzI3NDA5NTE4ZDQ4NjA=-01043977567-record-10.10.62.138-1490864526.159033.mp3</t>
  </si>
  <si>
    <t>20170330/3004063-20170330165029-TY2ZiZmViZDMyZWRkNWUxNWI5OTYyMDMxYzcxZjQ1ZTc=-13611040764-record-10.10.62.138-1490863829.154239.mp3</t>
  </si>
  <si>
    <t>20170330/3004063-20170330163852-TNGNmNmZiNmFkYWJmZDdiY2JhZjBhNTYyMWNhZGI3ODc=-01043989717-record-10.10.62.138-1490863132.149302.mp3</t>
  </si>
  <si>
    <t>20170330/3004063-20170330163426-TNjFkN2E5ZjNkNzlhZWU1NGE4NGZkNGM1ZDcxNzgwNzI=-01043977567-record-10.10.62.138-1490862866.147352.mp3</t>
  </si>
  <si>
    <t>广东/中山</t>
  </si>
  <si>
    <t>20170330/3004063-20170330162845-TYTJlMzM5MzdmYTI4YWYxMTdiZjkwODk2MzMxMjc0OTk=-01043977569-record-10.10.62.138-1490862525.145023.mp3</t>
  </si>
  <si>
    <t>20170330/3004063-20170330162817-TMWEwMTAwNjg1MDdiYjYwZTY0YmE0NzU2MjE4MjM5Yjk=-01043977568-record-10.10.62.138-1490862497.144789.mp3</t>
  </si>
  <si>
    <t>20170330/3004063-20170330162530-TN2IwN2U3NTBkYmI2MDhkYzU0ZTVhZDU3Y2E3NmFjN2E=-01043977567-record-10.10.62.138-1490862330.143503.mp3</t>
  </si>
  <si>
    <t>20170330/3004063-20170330161553-TMmZhZGFiZjVmNWY4ODFmYzMyYzA1NDY0ODRmMTcwM2Q=-01043977565-record-10.10.62.138-1490861753.139220.mp3</t>
  </si>
  <si>
    <t>20170330/3004063-20170330161022-TYjc0Y2E1MGEyZjhhMDk1OWFmNjMxOTYxYTViYzU3YTE=-01043977568-record-10.10.62.138-1490861422.136781.mp3</t>
  </si>
  <si>
    <t>20170330/3004063-20170330160506-TOWE5NGZhOTNlOTcxNjM5NjZhOTdlYmIxMDVhMzNiOTM=-01043977565-record-10.10.62.138-1490861106.134428.mp3</t>
  </si>
  <si>
    <t>20170330/3004063-20170330160223-TYzZkYTE5NjMyZDhjNDEzMjJjZWEzOWQ5ZTZkZWUxMTE=-01043989720-record-10.10.62.138-1490860943.133203.mp3</t>
  </si>
  <si>
    <t>20170330/3004063-20170330160010-TMTE2MTk2NDJmMjgyZGIxODQ3Yzc1NDg3MDg3Y2I2MjU=-01043989717-record-10.10.62.138-1490860810.132204.mp3</t>
  </si>
  <si>
    <t>20170330/3004063-20170330155023-TZGYzY2EyMGFhNjE1MzA0YzQ4MTAyNWNhOTI4YjYyMTE=-01043989718-record-10.10.62.138-1490860223.127812.mp3</t>
  </si>
  <si>
    <t>20170330/3004063-20170330154003-TMGNkODdjZjFlYTE5NmM0MjNlODNkZDY4N2QyMDIwZmQ=-01043977569-record-10.10.62.138-1490859603.122933.mp3</t>
  </si>
  <si>
    <t>20170330/3004063-20170330153151-TZWE1NzAwMzhmMDk1Y2Q2OTUzNzYwYmVmMzY4ZmMwMDU=-01043977567-record-10.10.62.138-1490859111.119132.mp3</t>
  </si>
  <si>
    <t>20170330/3004063-20170330152910-TNGE0M2Q1ZjFhMTAwMjQ1NDY2YTcyZjM0YjkyNzQ3YjA=-01043989717-record-10.10.62.138-1490858950.117877.mp3</t>
  </si>
  <si>
    <t>20170330/3004063-20170330152228-TOGY5MmNjMzYwMTliMTU5ZDcyN2NhZWFiOTE1Njg0YmI=-01043989720-record-10.10.62.138-1490858548.114787.mp3</t>
  </si>
  <si>
    <t>20170330/3004063-20170330151501-TMzYwM2QzNzQ4ODI1MmFhOGVmMzMzZDNmYWQzZDhhN2E=-01043989718-record-10.10.62.138-1490858101.111281.mp3</t>
  </si>
  <si>
    <t>20170330/3004063-20170330151149-TYjU0OTdiMDc3MjA2NWViOGM4MThjNTYwZjc4ODkzM2U=-01043977569-record-10.10.62.138-1490857909.109728.mp3</t>
  </si>
  <si>
    <t>20170330/3004063-20170330151123-TMzg5ZTUwYjQzZThjZmY4YmI5OTMwYzdhZDJjZjA4Yzc=-01043989719-record-10.10.62.138-1490857883.109571.mp3</t>
  </si>
  <si>
    <t>20170330/3004063-20170330150332-TZDZjNGVlOWIwNWFjMTkxZTIyYjcxYmZmZTJiZTc1NzE=-01043977569-record-10.10.62.138-1490857412.106029.mp3</t>
  </si>
  <si>
    <t>20170330/3004063-20170330145701-TMGIzMWUwZjYyMDRkOTM2ODI0NzExNDEyZDE5YzRmY2I=-01043989717-record-10.10.62.138-1490857021.102994.mp3</t>
  </si>
  <si>
    <t>20170330/3004063-20170330144716-TMzc3YjA1YzkyMTE2MGNmMjczMjAxOWJmZTFlMGY5OWE=-01043977568-record-10.10.62.138-1490856436.98593.mp3</t>
  </si>
  <si>
    <t>20170330/3004063-20170330143807-TZWQ0ODYwZjRlYWM0MmYxYTM3NmI4M2QyODRkNDRmM2Q=-01043989720-record-10.10.62.138-1490855887.94877.mp3</t>
  </si>
  <si>
    <t>20170330/3004063-20170330142724-TNTZkNDhlYmRjYWZiZjliYjc4ZjM0OTFlZDgyMmFkZGU=-01043977568-record-10.10.62.138-1490855244.91633.mp3</t>
  </si>
  <si>
    <t>20170330/3004063-20170330142617-TZmRkZjgxNTUwNDI4NGY3MWUzNTE0MWVhYWQ0MTI3MWQ=-01043989720-record-10.10.62.138-1490855177.91283.mp3</t>
  </si>
  <si>
    <t>20170330/3004063-20170330142513-TODQwYzY0ZWNlNzU0OTNhMzM1MjBiN2NlMmJiNGZjNTA=-01043977565-record-10.10.62.138-1490855113.90832.mp3</t>
  </si>
  <si>
    <t>20170330/3004063-20170330141911-TNjEyMTc4Y2RiZDRjMjcxOTg3Zjg2NmY5MDEzYzZhNGI=-01043977567-record-10.10.62.138-1490854751.88244.mp3</t>
  </si>
  <si>
    <t>20170330/3004063-20170330141154-TZjVjNWU4ZmZkMWExMTk4ODBiNThiNWY4ZjFkMGVhNmY=-01043977567-record-10.10.62.138-1490854314.85006.mp3</t>
  </si>
  <si>
    <t>20170330/3004063-20170330140310-TMzQ5ZGI5ZGQ5NWY4Y2Y3YjVhYWY2NzVjMGZmZjk0NzU=-01043977567-record-10.10.62.138-1490853790.81279.mp3</t>
  </si>
  <si>
    <t>20170330/3004063-20170330135526-TMGU1Nzk3MDc2NmM2ODA1MGI1N2I0OTMxODFiNDkwZjU=-01043977565-record-10.10.62.138-1490853326.78846.mp3</t>
  </si>
  <si>
    <t>20170330/3004063-20170330132340-TYjc0MjcyYTE2MjkwM2EzYWI5ZmEyNDQ0NTQ2NWY2NTk=-01043977565-record-10.10.62.138-1490851420.69350.mp3</t>
  </si>
  <si>
    <t>20170330/3004063-20170330132329-TMjkzY2RiMWUzYWZkMjY4ZTNlYTM4ZTM0N2NkYzkyOWM=-01043977567-record-10.10.62.138-1490851409.69317.mp3</t>
  </si>
  <si>
    <t>20170330/3004063-20170330132104-TOGIyODNmOWMwNmJmYWVjNWY1NTg0MTM3NWVlZWYzZmM=-01043977567-record-10.10.62.138-1490851264.68793.mp3</t>
  </si>
  <si>
    <t>20170330/3004063-20170330123733-TZWUxOTlmZjkzNTVjMzE4ZmZmMGIxZGM1M2NiMDYwOGI=-01043977569-record-10.10.62.138-1490848653.63358.mp3</t>
  </si>
  <si>
    <t>20170330/3004063-20170330122214-TNjQ4NGNlYTcyMTZhYmJmMGZlYWQ5YWQzZDgyNGM3YTM=-01043977568-record-10.10.62.138-1490847734.61895.mp3</t>
  </si>
  <si>
    <t>20170330/3004063-20170330120115-TMGUzYWVhMDc3YTljZmU5YjU2YWUxZTBkMTAxY2U4ZDU=-01043989717-record-10.10.62.138-1490846475.58940.mp3</t>
  </si>
  <si>
    <t>20170330/3004063-20170330115701-TYWU2ZTEwZjgwM2E1ZDZiZjRlYmVhMmJiNzYwMmY2Yjg=-01043989720-record-10.10.62.138-1490846221.58008.mp3</t>
  </si>
  <si>
    <t>20170330/3004063-20170330115500-TYjVhNTc1NzE4ZjYxMWY4NjU5NDE1ZWEwNDk5NDJkNWY=-01043989720-record-10.10.62.138-1490846100.57519.mp3</t>
  </si>
  <si>
    <t>20170330/3004063-20170330111006-TZWFlMzlmOGQ0NzcxMDVkZGExMTkzNTEzNmY0NjA5M2I=-01043977567-record-10.10.62.138-1490843406.42385.mp3</t>
  </si>
  <si>
    <t>河南/濮阳</t>
  </si>
  <si>
    <t>20170330/3004063-20170330105013-TNTQ2NmE4MTU5MjFhN2U4NzY5ZGIyNzJjMGQxNDBhZTk=-01043989717-record-10.10.62.138-1490842213.35269.mp3</t>
  </si>
  <si>
    <t>20170330/3004063-20170330105003-TMDQxZDNhYjIwNWU4NzFmZTZiOTBhMmJlZDA4ZGYzNDg=-01043989720-record-10.10.62.138-1490842203.35198.mp3</t>
  </si>
  <si>
    <t>20170330/3004063-20170330104228-TZDY2ODhiYjgwMjZlZmQwMjQwNTJkZTYzNTU1YmQ4YTY=-01043977568-record-10.10.62.138-1490841748.32439.mp3</t>
  </si>
  <si>
    <t>20170330/3004063-20170330103027-TYmMyOWQ0YmE2OTJmMmZhYmZmYjQ4MmE1ZmJmMzBmNzI=-01043989719-record-10.10.62.138-1490841027.27941.mp3</t>
  </si>
  <si>
    <t>20170330/3004063-20170330102604-TNjZmNDE4YzYyMGZlZDQwZjY2YTA1NWM4YmY5ODRhZWI=-01043989720-record-10.10.62.138-1490840764.26243.mp3</t>
  </si>
  <si>
    <t>20170330/3004063-20170330100507-TMTRhNjBiY2FiNTc3NDRmMzE3ZjZhMmQ3NzVkYmU0M2E=-01043977569-record-10.10.62.138-1490839507.19208.mp3</t>
  </si>
  <si>
    <t>20170330/3004063-20170330095839-TYjExOGU4ZTIxMDMzNWZjZTM1ZjJkMWU0ZWU0NzIwOGQ=-01043989719-record-10.10.62.138-1490839119.17395.mp3</t>
  </si>
  <si>
    <t>20170330/3004063-20170330095716-TMTMzZDBlOWNiMzk1YzU3ODFmMGRmNjU0NjM3NjNiMWY=-01043977568-record-10.10.62.138-1490839036.17045.mp3</t>
  </si>
  <si>
    <t>20170330/3004063-20170330095456-TZTY4NTEzNmYwNjUwMTg1YzQxN2RiYTkxZDI0ZGYwY2Q=-01043977565-record-10.10.62.138-1490838896.16396.mp3</t>
  </si>
  <si>
    <t>20170330/3004063-20170330095441-TZTVhZDY4Zjk0YjQ1MDM3YjY3OTMzMTNkZWIwZmRjNDM=-01043977567-record-10.10.62.138-1490838881.16316.mp3</t>
  </si>
  <si>
    <t>20170330/3004063-20170330095227-TMTRhNjBiY2FiNTc3NDRmMzE3ZjZhMmQ3NzVkYmU0M2E=-01043977567-record-10.10.62.138-1490838747.15678.mp3</t>
  </si>
  <si>
    <t>20170330/3004063-20170330094753-TYjExOGU4ZTIxMDMzNWZjZTM1ZjJkMWU0ZWU0NzIwOGQ=-01043977568-record-10.10.62.138-1490838473.14360.mp3</t>
  </si>
  <si>
    <t>20170330/3004063-20170330094650-TOWQ5NTI5NDMyM2M5ZWQxNGMzNTg3NzM1NTFjODczMDU=-01043977567-record-10.10.62.138-1490838410.14047.mp3</t>
  </si>
  <si>
    <t>20170330/3004063-20170330093104-TMzc3YjA1YzkyMTE2MGNmMjczMjAxOWJmZTFlMGY5OWE=-01043977569-record-10.10.62.138-1490837464.9869.mp3</t>
  </si>
  <si>
    <t>20170330/3004063-20170330092303-TMGE3M2U3YTY5YzQxNGYyZjE0YzhkOGIzZjg5YjhlODU=-01043977565-record-10.10.62.138-1490836983.8056.mp3</t>
  </si>
  <si>
    <t>20170330/3004063-20170330085411-TNmQxZTNhMGY2YzFjODAzYzYwMzA3YjcyMTdkODVhMjY=-01043989719-record-10.10.62.138-1490835251.3634.mp3</t>
  </si>
  <si>
    <t>20170330/3004063-20170330085044-TZjQ4ZjIxOTQ0ZWNhM2Q2MGFlYzRmZGY2MDk1M2U3YzU=-01043977565-record-10.10.62.138-1490835044.3439.mp3</t>
  </si>
  <si>
    <t>20170330/3004063-20170330084723-TY2NjM2E0MGNhYzE0ZGE0ZjAzYTE5MjQ5NjRhNTJjYzQ=-01043989718-record-10.10.62.138-1490834843.3220.mp3</t>
  </si>
  <si>
    <t>20170330/3004063-20170330084655-TMTNkODI5YjE0ODhkMTJlMmQ5NWEwYzI1M2E5NmRlYzM=-01043989719-record-10.10.62.138-1490834815.3187.mp3</t>
  </si>
  <si>
    <t>20170330/3004063-20170330084101-TZGM3NzIwYzM5N2FkNzY5NDUxYjBkMjcwZWI2ODQyOTQ=-01043989720-record-10.10.62.138-1490834461.2867.mp3</t>
  </si>
  <si>
    <t>20170330/3004063-20170330083320-TOWJkMjA1ODJmY2M2MzY1NjUxYmYwYjQwMjVmOGY3MzE=-01043989718-record-10.10.62.138-1490834000.2451.mp3</t>
  </si>
  <si>
    <t>20170330/3004063-20170330082241-TOWJkMjA1ODJmY2M2MzY1NjUxYmYwYjQwMjVmOGY3MzE=-01043977565-record-10.10.62.138-1490833361.1961.mp3</t>
  </si>
  <si>
    <t>20170330/3004063-20170330080131-TZWExZjg1Mjk0MzU5MWRmYWM1ZTIwYmVhZTczODhjZTY=-01043989717-record-10.10.62.138-1490832091.1256.mp3</t>
  </si>
  <si>
    <t>20170329/3004063-20170329203025-TNjRiYjQ4Y2M0ZDNmMzk5YTc2ZTk2ZjkwOTQ0Zjg0NTQ=-01043977567-record-10.10.62.138-1490790625.213564.mp3</t>
  </si>
  <si>
    <t>20170329/3004063-20170329201801-TMmIxYWUwOWYxMDhiY2FkNTZmOGUyMWZhNWE5OTMxMGI=-01043977568-record-10.10.62.138-1490789881.211365.mp3</t>
  </si>
  <si>
    <t>20170329/3004063-20170329201246-TODgwN2RiZDc1NTU4NDA5NTg3YTU0MWI4M2Y3MWE2ZjY=-01043977567-record-10.10.62.138-1490789566.210434.mp3</t>
  </si>
  <si>
    <t>20170329/3004063-20170329195432-TY2FhZTI4MjQ5MzllMzdkNmYxMTI5ZTJmZGEyOWUyNjc=-01043977567-record-10.10.62.138-1490788472.206898.mp3</t>
  </si>
  <si>
    <t>20170329/3004063-20170329195153-TYzc5OTFiNWIxYmExMThmNzU0ZGNmZWZmNmMxMTNjYjhiMmQ4MGM0NDhhMjIyODA4NjZkMzhkNzc5MzU5N2M1Mg==-01043977568-record-10.10.62.138-1490788313.206365.mp3</t>
  </si>
  <si>
    <t>20170329/3004063-20170329193723-TMjZjZjEzMjZlMzU2ODQ4ZjQ1ZWVjNWQyMTRiNTZlODY=-01043977567-record-10.10.62.138-1490787443.203095.mp3</t>
  </si>
  <si>
    <t>20170329/3004063-20170329191457-TYjI0NWJhZTJkNzRkMTU4OTU1YjVkNWI5ZWU0OTE5YzI=-01043977567-record-10.10.62.138-1490786097.197379.mp3</t>
  </si>
  <si>
    <t>20170329/3004063-20170329191416-TY2NhOGI4MzIzNDc0N2Q2NmZkMGUyNzM2YTE2ZDk3M2Y=-01043989718-record-10.10.62.138-1490786056.197230.mp3</t>
  </si>
  <si>
    <t>20170329/3004063-20170329190811-TMGUzOTRjODZlMTY2MjU2Njk1MjhkM2ExZmVkZGQwMmI=-01043977568-record-10.10.62.138-1490785691.195786.mp3</t>
  </si>
  <si>
    <t>20170329/3004063-20170329185003-TY2NhOGI4MzIzNDc0N2Q2NmZkMGUyNzM2YTE2ZDk3M2Y=-01043989718-record-10.10.62.138-1490784603.191383.mp3</t>
  </si>
  <si>
    <t>20170329/3004063-20170329180033-TYzc3MjRlMzJjMzJjYzdlNTBjMTYzNzk5N2IwNmNlYmY=-01043989718-record-10.10.62.138-1490781633.179791.mp3</t>
  </si>
  <si>
    <t>云南/德宏</t>
  </si>
  <si>
    <t>20170329/3004063-20170329174018-TYTU3YjIxZDc0ZTRlMzdjODc4YWI3YmUxNTZjYjgwZWU=-01043989718-record-10.10.62.138-1490780418.175605.mp3</t>
  </si>
  <si>
    <t>20170329/3004063-20170329173638-TZmE5MTE1NzMyZTUzOWY3NjJlMmZjMDVlMDRmOGJmMWU=-01043989718-record-10.10.62.138-1490780198.174702.mp3</t>
  </si>
  <si>
    <t>20170329/3004063-20170329173612-TYWQ3ZTE4MThiM2IyYzU5ZGUwOGEzOTQ0MmMxZmUzMmU=-01043977568-record-10.10.62.138-1490780172.174603.mp3</t>
  </si>
  <si>
    <t>20170329/3004063-20170329171946-TZjEwYzYzYWI0MTE1MWQ5OGYwN2Y2ODRlNmY4NTViZDY=-01043977567-record-10.10.62.138-1490779186.170089.mp3</t>
  </si>
  <si>
    <t>20170329/3004063-20170329163952-TYjhkN2JlYTBlOWE4Njc3NDVlOTRiOTU1MTUwNzQyMzQ=-01043977567-record-10.10.62.138-1490776792.153547.mp3</t>
  </si>
  <si>
    <t>20170329/3004063-20170329161413-TZDI1NzFlMDg4YTYyZWI4NGIzZmRkNTI0ZTQxMWU4MGI=-01043989717-record-10.10.62.138-1490775253.141479.mp3</t>
  </si>
  <si>
    <t>20170329/3004063-20170329160154-TZWRjOTczNGJkMzkxNzY4YzQyOTI3NjkwZjgxNjE0NTQ=-01043977565-record-10.10.62.138-1490774514.135805.mp3</t>
  </si>
  <si>
    <t>20170329/3004063-20170329155037-TN2YzYjg0MDM2NDU4YjkwNmViZTMyOWJlZWJmZDQ1OTg=-01043989718-record-10.10.62.138-1490773837.130873.mp3</t>
  </si>
  <si>
    <t>20170329/3004063-20170329154820-TYTdiYjg3MmI3Yzk4YWU5MzMwMzZhNDUzOTkxYzgwYTM=-01043989720-record-10.10.62.138-1490773700.129825.mp3</t>
  </si>
  <si>
    <t>20170329/3004063-20170329153246-TYWJiYmU4ZjZkNGQzMWMyMjllMGNhNTA3MjA1ODIzMWM=-01043977568-record-10.10.62.138-1490772766.121848.mp3</t>
  </si>
  <si>
    <t>20170329/3004063-20170329151417-TOGI5NmUyOGE3YWQ0ZDQzNzI0YTY3ZDhmZTQ4NDlhZTI=-01043977568-record-10.10.62.138-1490771657.113312.mp3</t>
  </si>
  <si>
    <t>20170329/3004063-20170329145416-TYTI2MDU4Yzc5MTcwNzEzOTQyMGQzYjQ2NGZjMTFjZGM=-01043989720-record-10.10.62.138-1490770456.103536.mp3</t>
  </si>
  <si>
    <t>20170329/3004063-20170329143255-TNDQ5NzFlNjg3YTQ2N2M0MTBlN2EyY2JhMmQxOGZhY2I=-01043977567-record-10.10.62.138-1490769175.93258.mp3</t>
  </si>
  <si>
    <t>20170329/3004063-20170329141523-TZWU4ZjgzODY3ZDg2Y2RmY2E5YzY0MzA2NzViOGI3OGU=-01043989717-record-10.10.62.138-1490768123.85411.mp3</t>
  </si>
  <si>
    <t>20170329/3004063-20170329140532-TMmQyZmRiOWQ0YjE0ZDkwZWVkYmY1ZGU0NjNlMWMxMDk=-01043989719-record-10.10.62.138-1490767532.81345.mp3</t>
  </si>
  <si>
    <t>20170329/3004063-20170329140038-TNWUzZGI2YjE3YTFmNTVlYjRkZDYyMDAxN2NhMjYxM2U=-01043977568-record-10.10.62.138-1490767238.79641.mp3</t>
  </si>
  <si>
    <t>20170329/3004063-20170329140006-TYTk1NDkwMDJiZDIxOTZjOGJlMzMxOTFlMmM5NzY1Mzk=-01043977569-record-10.10.62.138-1490767206.79489.mp3</t>
  </si>
  <si>
    <t>黑龙江/绥化</t>
  </si>
  <si>
    <t>20170329/3004063-20170329134614-TMGFkYmI4ZDRjNjE1NzA5MDUyNTM0MmM4YzY1Nzk2NWM=-01043977569-record-10.10.62.138-1490766374.75330.mp3</t>
  </si>
  <si>
    <t>20170329/3004063-20170329134324-TM2MzMDA5ZDM0ZDdjOWY5NGI3NjNkNzRiODVmMmE3ZGU=-01043977568-record-10.10.62.138-1490766204.74562.mp3</t>
  </si>
  <si>
    <t>20170329/3004063-20170329124318-TMzQ1YTlmMjMwZmRmNWE2ODRlMWRiYjlkZWM0OTIzYWU=-01043977567-record-10.10.62.138-1490762598.65377.mp3</t>
  </si>
  <si>
    <t>20170329/3004063-20170329120335-TODM2YTc1YzU3MWYyODNlNGEzYmNkYmUxYWFkOWYyOWU=-01043989719-record-10.10.62.138-1490760215.60680.mp3</t>
  </si>
  <si>
    <t>20170329/3004063-20170329114516-TZDI0ZjNmYmJlMTgwZDE2NjRjMzY3NDVlZmIyY2QyM2Y=-01043989718-record-10.10.62.138-1490759116.56565.mp3</t>
  </si>
  <si>
    <t>20170329/3004063-20170329113844-TMmU0MDVlMDhjOGVlODQ3OTI1OGNkNjZlYzYxYzNmM2E=-01043989718-record-10.10.62.138-1490758724.54370.mp3</t>
  </si>
  <si>
    <t>20170329/3004063-20170329113832-TZWFhNzEwMGU3ZTRlNDA2MDYyM2M2ZTYwZjFlYWYzNWI=-01043977568-record-10.10.62.138-1490758712.54290.mp3</t>
  </si>
  <si>
    <t>20170329/3004063-20170329111635-TZDBmMDlmMmMzMDVmNTlkODE0YTE5ZWYzZmI5NTAwZDc=-01043989720-record-10.10.62.138-1490757395.45685.mp3</t>
  </si>
  <si>
    <t>20170329/3004063-20170329110131-TZjY0OWFjMTdmNDA4M2RiOTI3ZTdmOTU3YTcxOGNmNjE=-01043977567-record-10.10.62.138-1490756491.39781.mp3</t>
  </si>
  <si>
    <t>20170329/3004063-20170329105636-TMGNmZmM2YzlkZTU1NWZjZTEyN2QxNjhhMWIyOWNjMDU=-01043977569-record-10.10.62.138-1490756196.38111.mp3</t>
  </si>
  <si>
    <t>20170329/3004063-20170329105529-TMTY5NDM2ZmJjNzM0ZmM1NjE1ODVhNjg2YjQ5MzZhYjE=-01043989717-record-10.10.62.138-1490756129.37717.mp3</t>
  </si>
  <si>
    <t>20170329/3004063-20170329105342-TYzZjMzIzNGQ0ODU0NDIwZTIwZDQzMWFmZjYxNzJkMGQ=-01043989720-record-10.10.62.138-1490756022.37033.mp3</t>
  </si>
  <si>
    <t>20170329/3004063-20170329104203-TNTYxY2E1NDBjYzRiMmExMTgzMjhjNTQyNmQ5ZDczN2M=-01043989718-record-10.10.62.138-1490755323.32988.mp3</t>
  </si>
  <si>
    <t>20170329/3004063-20170329104136-TOThiZmIxYjQwNWRmMWM5ZjZlYzY1MTk5ODNjYzg4NjY=-01043977567-record-10.10.62.138-1490755296.32819.mp3</t>
  </si>
  <si>
    <t>20170329/3004063-20170329103133-TOWQ4ZjNlODVlNmE1OWU5MWM5ZTgyY2FmMDdmN2EyZjY=-01043989720-record-10.10.62.138-1490754693.29428.mp3</t>
  </si>
  <si>
    <t>20170329/3004063-20170329102829-TMzM2YjdmZTRmNmNhZTMwZmU4NjI2MWFmZjc1ZDA5NTk=-01043977568-record-10.10.62.138-1490754509.28452.mp3</t>
  </si>
  <si>
    <t>20170329/3004063-20170329102658-TNDIyYTgwZjZjMWQ5Njg2MjJjYjVhYTliNTEyZjlmZTQ=-01043977567-record-10.10.62.138-1490754418.27991.mp3</t>
  </si>
  <si>
    <t>20170329/3004063-20170329101858-TODZiYWYwYjU5Mzk5NzRhYWY0NjFlMDNjMjEwYWZlZjA=-01043977565-record-10.10.62.138-1490753938.25302.mp3</t>
  </si>
  <si>
    <t>20170329/3004063-20170329101723-TYzY3N2MwNTQxZTZmYzk3YmJiOWVkMDY5ZjY5OTNkMDY=-01043977567-record-10.10.62.138-1490753843.24757.mp3</t>
  </si>
  <si>
    <t>福建/漳州</t>
  </si>
  <si>
    <t>20170329/3004063-20170329100300-TODA3MGIxNTBmZjJhN2MwODhjYWMyZGNkMTUxZjhhZmQ=-13611040764-record-10.10.62.138-1490752980.20237.mp3</t>
  </si>
  <si>
    <t>20170329/3004063-20170329095545-TNDkyNzhmMzBmYzUzOGQyYTI3OTA1ZjRiYzkzM2JjOTg=-01043989718-record-10.10.62.138-1490752545.17932.mp3</t>
  </si>
  <si>
    <t>20170329/3004063-20170329095413-TNzUwM2I5MTI3MmI3NTkxM2VmZTQxMDQ4NWI4MTExNmY=-01043977565-record-10.10.62.138-1490752453.17467.mp3</t>
  </si>
  <si>
    <t>湖北/恩施</t>
  </si>
  <si>
    <t>20170329/3004063-20170329094902-TMDhmZTU5ODhjMGZkODI5MDUyZDI3NjUzMDhhYzYxODA=-01043989717-record-10.10.62.138-1490752142.15931.mp3</t>
  </si>
  <si>
    <t>20170329/3004063-20170329093956-TNzY3MmQ2OWQwNzY5N2I2ZmU4ZjE0YjVkMjcyYmI3NGI=-01043977568-record-10.10.62.138-1490751596.13213.mp3</t>
  </si>
  <si>
    <t>20170329/3004063-20170329093734-TNjk5NmEzODQyYzhkNGNmYTliY2VkNzk0ZjNhMDJjZWQ=-01043977567-record-10.10.62.138-1490751454.12502.mp3</t>
  </si>
  <si>
    <t>20170329/3004063-20170329090039-TMzQxMmY2MjczOWFlZDRjNmU2OTI4NjUxYjg4MTIyOTM=-01043989717-record-10.10.62.138-1490749239.4257.mp3</t>
  </si>
  <si>
    <t>20170329/3004063-20170329085602-TMTY3YjBiNTE2ODk4ZmVlZjU5Y2JlNGM3MDlmOWJmZjg=-01043989720-record-10.10.62.138-1490748962.3868.mp3</t>
  </si>
  <si>
    <t>20170329/3004063-20170329085433-TMTFmNDcyZGExZDNlNzUzMWI3ZTc5N2M1ZGEzZDQwM2U=-01043989718-record-10.10.62.138-1490748873.3772.mp3</t>
  </si>
  <si>
    <t>20170329/3004063-20170329085354-TZTIxZTQzMDJkMTA4NTQ3NThhOGQ2NTIxNTBjNWI4MGY=-01043989717-record-10.10.62.138-1490748834.3725.mp3</t>
  </si>
  <si>
    <t>20170329/3004063-20170329082035-TM2QyMTczZmUzMzI2YzliMzE2NTNhMWU5NmEwOTg1NzM=-01043989717-record-10.10.62.138-1490746835.2001.mp3</t>
  </si>
  <si>
    <t>20170329/3004063-20170329081617-TMzNmZDY4OGUwNTRmMDIwZWY0MDhlOTc5MDliOWRhOTM=-01043977568-record-10.10.62.138-1490746577.1817.mp3</t>
  </si>
  <si>
    <t>20170328/3004063-20170328204139-TYjljMmVhNTQzOTJiOTUwMDUyYzE0NTNhNWEzY2QyODc=-01043989718-record-10.10.62.138-1490704899.215811.mp3</t>
  </si>
  <si>
    <t>20170328/3004063-20170328202236-TYmQ2MDFiNmQ2MDVkMmFkZTRlMWRjZjk2YjczMDA0MjI=-01043989718-record-10.10.62.138-1490703756.211895.mp3</t>
  </si>
  <si>
    <t>20170328/3004063-20170328195138-TODBiM2VhNzZjOGRlZWEwMDVjMTU4ZWRjZWUyNWQ3Y2U=-01043989719-record-10.10.62.138-1490701898.205489.mp3</t>
  </si>
  <si>
    <t>20170328/3004063-20170328194452-TY2MxOWQ4OGNkMzhhNzM3ZTc1ZTNiZDUxNGM5YjA3YWM=-01043989719-record-10.10.62.138-1490701492.204089.mp3</t>
  </si>
  <si>
    <t>20170328/3004063-20170328175426-TYzRhMWRiZDg3YTk2ZDQ0OWY5ZmI4NjViYWM0ODc5ZDA=-01043989720-record-10.10.62.138-1490694866.178108.mp3</t>
  </si>
  <si>
    <t>20170328/3004063-20170328174103-TMDRkMTgyMzk3ZTQxNzdiNjdmYzRiY2UyMzY4NWU1MmI=-01043977565-record-10.10.62.138-1490694063.175115.mp3</t>
  </si>
  <si>
    <t>/</t>
  </si>
  <si>
    <t>20170328/3004063-20170328173454-TNWE2OWNhMDM1YTRiZGRkMGFlMTFiMzE2NDI4NTQxODE=-01043989720-record-10.10.62.138-1490693694.173747.mp3</t>
  </si>
  <si>
    <t>20170328/3004063-20170328172902-TN2Q5NGMyMTFlNWRhYmJjNWQ0ODhmZmIxZDg3N2RkMmY=-01043977569-record-10.10.62.138-1490693342.172353.mp3</t>
  </si>
  <si>
    <t>山东/枣庄</t>
  </si>
  <si>
    <t>20170328/3004063-20170328172740-TNGNlMTYxYWFkMmFkZWE3MmJlNWU1OGUxOTFhMTFkYjE=-01043977568-record-10.10.62.138-1490693260.171977.mp3</t>
  </si>
  <si>
    <t>20170328/3004063-20170328172143-TYTYzNzYwMDcyNDljNjQ4OTdkZTM4NGMxMzdkYzMxYTE=-01043989720-record-10.10.62.138-1490692903.170342.mp3</t>
  </si>
  <si>
    <t>20170328/3004063-20170328170647-TMTkwZTViODg2ODkxNmRjODc0ZGE0MmUxNWI5ZTM3NzA=-01043977567-record-10.10.62.138-1490692007.164657.mp3</t>
  </si>
  <si>
    <t>20170328/3004063-20170328165801-TZDkyNDI1MmI5ZWI3YjM0NmZhOWM3Y2NhMDg5OWUwOTk=-01043989718-record-10.10.62.138-1490691481.161088.mp3</t>
  </si>
  <si>
    <t>20170328/3004063-20170328165406-TNWZlYzZjMDA4MDdkZWJmODBiN2M0OTc5MjJkMDYzOWI=-01043989719-record-10.10.62.138-1490691246.159456.mp3</t>
  </si>
  <si>
    <t>20170328/3004063-20170328163555-TM2MzODk4YWNhYzYzZGQ2ZWMwMjkxYWY2YjUwOGNiYzk=-01043977567-record-10.10.62.138-1490690155.152080.mp3</t>
  </si>
  <si>
    <t>20170328/3004063-20170328163548-TOWYxODJiODEwOWY0ZGU3NTk5MDJmYjlkYmI5ZmU3ZGY=-01043989720-record-10.10.62.138-1490690148.152038.mp3</t>
  </si>
  <si>
    <t>20170328/3004063-20170328161455-TMmU4NjIzMGY1ZjVkZWExY2FhOGI1Nzg3ZTQ4YzBiYmI=-01043977569-record-10.10.62.138-1490688895.142596.mp3</t>
  </si>
  <si>
    <t>20170328/3004063-20170328160935-TM2I5ZDgxYjA1NDQ1Y2Q1MWY4NzBmMDNlOTkzZDBhZGQ=-01043989718-record-10.10.62.138-1490688575.140351.mp3</t>
  </si>
  <si>
    <t>20170328/3004063-20170328160505-TYzRhMWRiZDg3YTk2ZDQ0OWY5ZmI4NjViYWM0ODc5ZDA=-01043989717-record-10.10.62.138-1490688305.138469.mp3</t>
  </si>
  <si>
    <t>20170328/3004063-20170328160415-TNWRlNzRlOGI1YjYwNWFlOWY3MzdhY2I1NzJhNmEwNzk=-01043989720-record-10.10.62.138-1490688255.138135.mp3</t>
  </si>
  <si>
    <t>20170328/3004063-20170328155300-TZDZkMGY4ZmU5YTYxOTYzYWUzOWY4NTM5Mjg5ZTY2MDg2NDM5YWI3N2Q2MDRiY2MwZjkxOGYzYjFmMDRjYjc1Yg==-01043989718-record-10.10.62.138-1490687580.133155.mp3</t>
  </si>
  <si>
    <t>20170328/3004063-20170328150217-TOTFiMmNhN2VjYmU4N2UxNTdlZmE5YjMxMWVhZDBmMDM=-01043977568-record-10.10.62.138-1490684537.110028.mp3</t>
  </si>
  <si>
    <t>20170328/3004063-20170328144643-TZDRjNTljNmEzMDQ3Y2I0ZDNlNDY2ZTQ0NWU2OTgyOTI=-01043989717-record-10.10.62.138-1490683603.104122.mp3</t>
  </si>
  <si>
    <t>20170328/3004063-20170328141815-TMjZmYWIxOTViNjZmYjNiYWFkMTQ0Nzg3ZmZlMGNjY2U=-01043989717-record-10.10.62.138-1490681895.91570.mp3</t>
  </si>
  <si>
    <t>20170328/3004063-20170328135755-TMjkwMzY2MjFmNGU4NzEyMDdkNDc2YjQ5OWI0OTg5NzE=-01043989717-record-10.10.62.138-1490680675.83274.mp3</t>
  </si>
  <si>
    <t>20170328/3004063-20170328131229-TZWY4NjBkZTE5NDljNDMyNmQwZTBiZWQ4NTc5MWRmNmQ=-01043977568-record-10.10.62.138-1490677949.71579.mp3</t>
  </si>
  <si>
    <t>20170328/3004063-20170328130524-TNTI1NDBjMGJkMmM4NTI4NzViYTY4YjBiYjAwNDVhODk=-01043989717-record-10.10.62.138-1490677524.70444.mp3</t>
  </si>
  <si>
    <t>20170328/3004063-20170328123336-TMDQ2MTQxMzRmNmI4ZDM5YTJiNzg2YjI0ZGIxZjExZmU=-01043989717-record-10.10.62.138-1490675616.67156.mp3</t>
  </si>
  <si>
    <t>20170328/3004063-20170328121805-TZTU1YTA5NmMwOTMyMDFiNmZhZjQ1MjA2ZmZmOTk5OGU=-01043989720-record-10.10.62.138-1490674685.65225.mp3</t>
  </si>
  <si>
    <t>20170328/3004063-20170328121413-TNWRkYmRhMTU0YTQ5NTJkNDZmMGU4NmNhYWEwOTE4MTY=-01043977568-record-10.10.62.138-1490674453.64706.mp3</t>
  </si>
  <si>
    <t>20170328/3004063-20170328120201-TZTU1YTA5NmMwOTMyMDFiNmZhZjQ1MjA2ZmZmOTk5OGU=-01043977567-record-10.10.62.138-1490673721.62767.mp3</t>
  </si>
  <si>
    <t>20170328/3004063-20170328120110-TY2JlYjM2MzgxZTFlN2E4Njg5ZDU2ODE4ZmQ1MWRmZDU=-01043989717-record-10.10.62.138-1490673670.62584.mp3</t>
  </si>
  <si>
    <t>20170328/3004063-20170328115949-TMDRkMTgyMzk3ZTQxNzdiNjdmYzRiY2UyMzY4NWU1MmI=-01043977569-record-10.10.62.138-1490673589.62287.mp3</t>
  </si>
  <si>
    <t>20170328/3004063-20170328115917-TNTI2YTAyNWYxMmJiOWE2ZGU5MTIwMTVkZDFlOTg3YjU=-01043977565-record-10.10.62.138-1490673557.62172.mp3</t>
  </si>
  <si>
    <t>20170328/3004063-20170328115040-TYjcyZTk3NDYzMmRkYzE4YTdlMDdlNDRkODVhMjg1OWE=-01043989717-record-10.10.62.138-1490673040.59564.mp3</t>
  </si>
  <si>
    <t>20170328/3004063-20170328114439-TOTY1OTNjOTQ5ZGMyMTdiMTQ1MDIwYmYwNDgzMjgzMGU=-01043977567-record-10.10.62.138-1490672679.57563.mp3</t>
  </si>
  <si>
    <t>20170328/3004063-20170328113741-TZjYzYjIyNmJiYTJhYWM3OWRiZDQwZTMzMzEyY2I3NmE=-01043977568-record-10.10.62.138-1490672261.55148.mp3</t>
  </si>
  <si>
    <t>20170328/3004063-20170328105539-TOTczZTkzMjAwYTU4YzE0Nzk1NmQzZmI1Yjg0ZjQwZmQ=-01043977568-record-10.10.62.138-1490669739.38792.mp3</t>
  </si>
  <si>
    <t>浙江/宁波</t>
  </si>
  <si>
    <t>20170328/3004063-20170328104449-TMWE1YmYyZTg2ZTE2YjkxMWI0NjIxYzUyZTVmNjZjN2Y=-01043977565-record-10.10.62.138-1490669089.34555.mp3</t>
  </si>
  <si>
    <t>黑龙江/鹤岗</t>
  </si>
  <si>
    <t>20170328/3004063-20170328103829-TOGVmZTlmYjZlNTc3ZDMyZmUzMTI3ZWJiZDMyZjlkNjA=-01043989720-record-10.10.62.138-1490668709.32068.mp3</t>
  </si>
  <si>
    <t>20170328/3004063-20170328103458-TNjgyZGRiYmM1ODc5ZThjNGI2MGNkNDJhODRmMzA5NmQ=-01043977568-record-10.10.62.138-1490668498.30702.mp3</t>
  </si>
  <si>
    <t>20170328/3004063-20170328102940-TMTg2ZWRlMDA4OGQ5NDQ5OWUwNzYxZjBiODliYjE4NDY=-01043989720-record-10.10.62.138-1490668180.28637.mp3</t>
  </si>
  <si>
    <t>20170328/3004063-20170328102855-TOWQ2MDA2MGM5N2I4MjI0NTExMGVhZGU2MDAwMDY1ZTQ=-01043977567-record-10.10.62.138-1490668135.28378.mp3</t>
  </si>
  <si>
    <t>20170328/3004063-20170328101344-TOTFiMmNhN2VjYmU4N2UxNTdlZmE5YjMxMWVhZDBmMDM=-01043989720-record-10.10.62.138-1490667224.22777.mp3</t>
  </si>
  <si>
    <t>20170328/3004063-20170328095646-TMDNhNGU0ODZlYzY5NTY3OWNkNWQ2Njg1N2M2MjFhMDU=-01043977568-record-10.10.62.138-1490666206.17284.mp3</t>
  </si>
  <si>
    <t>20170328/3004063-20170328095253-TODA3MGIxNTBmZjJhN2MwODhjYWMyZGNkMTUxZjhhZmQ=-13718091869-record-10.10.62.138-1490665973.16022.mp3</t>
  </si>
  <si>
    <t>20170328/3004063-20170328094903-TN2E5ZmRhOWRiMjgwNjEwNjI0ZTE0MGJjYjgxNDcwYTk=-01043977567-record-10.10.62.138-1490665743.14931.mp3</t>
  </si>
  <si>
    <t>20170328/3004063-20170328094655-TZDliNzhlNzU2MGE2Y2ZhY2Q1ZTAyZGUyNTg4MmZkZWQ=-01043989717-record-10.10.62.138-1490665615.14350.mp3</t>
  </si>
  <si>
    <t>20170328/3004063-20170328094455-TMDAxZWJkNTFhYmVlZDgzYWZiOTE3ZWE3YjBkY2FjNWI=-01043977569-record-10.10.62.138-1490665495.13712.mp3</t>
  </si>
  <si>
    <t>20170328/3004063-20170328093853-TNzY3MmQ2OWQwNzY5N2I2ZmU4ZjE0YjVkMjcyYmI3NGI=-01043977567-record-10.10.62.138-1490665133.11994.mp3</t>
  </si>
  <si>
    <t>20170328/3004063-20170328092025-TODA3MGIxNTBmZjJhN2MwODhjYWMyZGNkMTUxZjhhZmQ=-13718091869-record-10.10.62.138-1490664025.7443.mp3</t>
  </si>
  <si>
    <t>20170328/3004063-20170328092020-TMTRkOGVmYjMwZDEwZjY2MmEwMzA1MDI0ZjBkZTNjZDQ=-01043989718-record-10.10.62.138-1490664020.7429.mp3</t>
  </si>
  <si>
    <t>20170328/3004063-20170328091841-TOGYxZDU0YzUzOGY1MGFhZGFiYWVkN2ZmN2YwZmM5OWI=-01043989717-record-10.10.62.138-1490663921.7092.mp3</t>
  </si>
  <si>
    <t>20170328/3004063-20170328091103-TNzQ2YjM5YzQwZDJlNDYyNWJlOTUwZDFmMzhiMGEyNjk=-01043977568-record-10.10.62.138-1490663463.5736.mp3</t>
  </si>
  <si>
    <t>20170328/3004063-20170328090500-TMDIyNTFiNzhhOWY5ZGNhYjExMjJmMGQzMDc3M2MxZGY=-01043977567-record-10.10.62.138-1490663100.4864.mp3</t>
  </si>
  <si>
    <t>20170328/3004063-20170328085935-TNmNmMzdkZmFkMzgyZDhkOTRmMTU1MWJlMDAxNDdlN2U=-01043977568-record-10.10.62.138-1490662775.4231.mp3</t>
  </si>
  <si>
    <t>20170328/3004063-20170328085103-TNDM5OGU5ZjBhYjRiNGU3ZmJjZTIwMzI1OWI4NDM4YWQ=-01043977567-record-10.10.62.138-1490662263.3621.mp3</t>
  </si>
  <si>
    <t>20170328/3004063-20170328084315-TNWRjYzE2ZGIyMmVkMzhmNDY4ZGNlMzZhNDhmN2M0MTk=-01043989718-record-10.10.62.138-1490661795.3107.mp3</t>
  </si>
  <si>
    <t>20170328/3004063-20170328083348-TMmNlOWRjNDU1NzllNmZhOGQwOWVlNzk5YzkxZDIzYWQ=-01043989719-record-10.10.62.138-1490661228.2508.mp3</t>
  </si>
  <si>
    <t>20170327/3004063-20170327203537-TMWEyNWUzYWRhZDVjNTg1ZmE2NDdkNTA3ODVkM2U4ZDI=-01043989720-record-10.10.62.138-1490618137.217332.mp3</t>
  </si>
  <si>
    <t>20170327/3004063-20170327201536-TNjg1YjNjNTk5YzYyMjQ2NzdjY2YxZDQyMDdhNTY3NWY=-01043977565-record-10.10.62.138-1490616936.213438.mp3</t>
  </si>
  <si>
    <t>20170327/3004063-20170327201403-TY2YzODQ0ZGIzYTNkYmVkZDMzMmI1N2U3YmNmNGZjMTM=-01043989720-record-10.10.62.138-1490616843.213115.mp3</t>
  </si>
  <si>
    <t>20170327/3004063-20170327200126-TZWUwYzAzNjA5ODJjZGViMzlkNjI2Yzc2NmRmNjY5MDY=-01043977565-record-10.10.62.138-1490616086.210307.mp3</t>
  </si>
  <si>
    <t>20170327/3004063-20170327193927-TNzdjMTQ1NDlhYTBiYTk3Zjg5MjZiOGQwODA3YmNmMWE=-01043989720-record-10.10.62.138-1490614767.205394.mp3</t>
  </si>
  <si>
    <t>20170327/3004063-20170327193553-TYWQwMWIzMGYzZjc4MjIzMDY0NDU3Mzk1MjdlOGVmYzk=-01043977565-record-10.10.62.138-1490614553.204658.mp3</t>
  </si>
  <si>
    <t>20170327/3004063-20170327191444-TZTljYjQ2NjlkNDM0YzJhMTI2ZTFmNWM0NjhjMmFjNzQ=-01043989720-record-10.10.62.138-1490613284.199240.mp3</t>
  </si>
  <si>
    <t>20170327/3004063-20170327185137-TYWY5MGI1ZWZkYjhhNzgzODBhZDg2ODAyNzY3NDEzNjk=-01043977565-record-10.10.62.138-1490611897.192907.mp3</t>
  </si>
  <si>
    <t>20170327/3004063-20170327183804-TOGY0NDU3NDdkZjg3YTZjNTM0MjM5NzQ5MzBkZTkzZjI=-01043977565-record-10.10.62.138-1490611084.189596.mp3</t>
  </si>
  <si>
    <t>20170327/3004063-20170327183136-TMmE4NWYzMzFjNWRmNDkxMzYwNzhkYzRlMmQ5ZDc2YTU=-01043977565-record-10.10.62.138-1490610696.187820.mp3</t>
  </si>
  <si>
    <t>20170327/3004063-20170327181433-TMjBiNzI3NzMyYmZjZThjNTY2NWI5NjU0ZDlmMDg0Nzc=-01043989718-record-10.10.62.138-1490609673.183324.mp3</t>
  </si>
  <si>
    <t>20170327/3004063-20170327180843-TODI5NWRjOWEyNTI0MjRmMTcxMzUxNzY3YTA3MzQ2MGM=-01043989717-record-10.10.62.138-1490609323.181899.mp3</t>
  </si>
  <si>
    <t>20170327/3004063-20170327175308-TYWQ5NDNjNGY5NGRmNmY2NTc4NTM4ZTM4OTYxNTg0YWY=-01043989718-record-10.10.62.138-1490608388.178774.mp3</t>
  </si>
  <si>
    <t>20170327/3004063-20170327175033-TMzMxYzUwYjhlM2Y1ZTIzZDI0MWM4YWUyNzcxZTg1ODI=-01043989718-record-10.10.62.138-1490608233.178149.mp3</t>
  </si>
  <si>
    <t>20170327/3004063-20170327171144-TMmY3YTkwMzA3YzMyNGNmZjBlNThjMDFkMzdiNTI3MzA=-01043977567-record-10.10.62.138-1490605904.166216.mp3</t>
  </si>
  <si>
    <t>20170327/3004063-20170327164833-TYWJiMjQ2YWVkMWRkMjI5M2RhYmExNTlkZDkzOWM0NjA=-01043977569-record-10.10.62.138-1490604513.156719.mp3</t>
  </si>
  <si>
    <t>20170327/3004063-20170327164825-TOGYwMjk3M2NjYjUyZjU4MGZiY2QwNjdlYzA4NTY5MDQ=-01043989717-record-10.10.62.138-1490604505.156650.mp3</t>
  </si>
  <si>
    <t>20170327/3004063-20170327163837-TZTZiODVkZmRhZmJhZjMzNDU1OGUxZTkxNWExN2IxNTE=-01043989717-record-10.10.62.138-1490603917.152263.mp3</t>
  </si>
  <si>
    <t>20170327/3004063-20170327163609-TZmExMTVhMDkzZTgyZTUzMDg3NjRkMTA3NGM2MTIxM2I=-01043989718-record-10.10.62.138-1490603769.151097.mp3</t>
  </si>
  <si>
    <t>20170327/3004063-20170327163124-TZDBiNTg0OGIxOThiODNhYjhmZmU3YjRmMGJhNjViMGI=-01043989717-record-10.10.62.138-1490603484.148790.mp3</t>
  </si>
  <si>
    <t>20170327/3004063-20170327162245-TMzQ1ZGU4ZThiNmUwZjcwMWE1NDA4YmVmOTg1ZDQ2MGZiMmQ4MGM0NDhhMjIyODA4NjZkMzhkNzc5MzU5N2M1Mg==-01043989717-record-10.10.62.138-1490602965.144898.mp3</t>
  </si>
  <si>
    <t>20170327/3004063-20170327155820-TZDc5NTQzZWQ5NTJlMzhlZjcxMTNmM2ZkMDAxOGMzYzQ=-01043977569-record-10.10.62.138-1490601500.134093.mp3</t>
  </si>
  <si>
    <t>20170327/3004063-20170327155125-TZGI3YzNjY2FkYTdlZjBkNzE4ZWQ2OGQ5NWI3YTM4Mjg=-01043989718-record-10.10.62.138-1490601085.130845.mp3</t>
  </si>
  <si>
    <t>20170327/3004063-20170327154114-TY2YzNWMxMmFmZjg4N2FhMzJkMDY1YTAyMTRjNjgwNzU=-01043977565-record-10.10.62.138-1490600474.126047.mp3</t>
  </si>
  <si>
    <t>20170327/3004063-20170327154022-TZDYyYjA4ZjEwYjBjNDMwMWI0MDM4MzYxOTQxMzg5OTk=-01043977567-record-10.10.62.138-1490600422.125696.mp3</t>
  </si>
  <si>
    <t>20170327/3004063-20170327153159-TMTQ3YmIyMmIzNGU4OWE2MGY2ZDFkNjJlZTgxZGM4Nzc=-01043989720-record-10.10.62.138-1490599919.121917.mp3</t>
  </si>
  <si>
    <t>20170327/3004063-20170327152557-TZGVkNTFmOTM5ZTY1OWE0MDk4YThmM2FmMzg0OGE1Y2Q=-01043977567-record-10.10.62.138-1490599557.119361.mp3</t>
  </si>
  <si>
    <t>20170327/3004063-20170327152518-TNGJkZmUzMWYyYWMzODA2ZTkwMzU1ZjM4OTE2ZTAwN2M=-01043989717-record-10.10.62.138-1490599518.119110.mp3</t>
  </si>
  <si>
    <t>20170327/3004063-20170327151323-TZWQ3ZTM5NzI1Y2FlMDQwYzQ1ZmQ0ZjY1MjZiYmViMzI=-01043989720-record-10.10.62.138-1490598803.114074.mp3</t>
  </si>
  <si>
    <t>20170327/3004063-20170327145015-TZDU2MmZlNzc4ZjQ1YmJjOGNiNmI2ODUzNjEwMWY2YTY=-01043977567-record-10.10.62.138-1490597415.105270.mp3</t>
  </si>
  <si>
    <t>20170327/3004063-20170327143002-TMTRlYWU1NTQyYWM5ZTg1NGIwODUzMDNlZmFmYzYyYTY=-01043989720-record-10.10.62.138-1490596202.96882.mp3</t>
  </si>
  <si>
    <t>江苏/泰州</t>
  </si>
  <si>
    <t>20170327/3004063-20170327141431-TODRlN2Q0YzE0NTU1NzU3ZjE4YWM3NWE0YTU3M2I0Njk=-13718091869-record-10.10.62.138-1490595271.90661.mp3</t>
  </si>
  <si>
    <t>20170327/3004063-20170327140216-TMDQ1NDQ2NzQxY2UyZjljZmNhZDFjNzgwOGYwYzY2ZDc=-01043977565-record-10.10.62.138-1490594536.86055.mp3</t>
  </si>
  <si>
    <t>20170327/3004063-20170327135932-TY2FlZmJkZGNlYjVhNGUyYjRlYmI2YWJkZDkxZmY4NTQ=-01043989717-record-10.10.62.138-1490594372.85148.mp3</t>
  </si>
  <si>
    <t>20170327/3004063-20170327135641-TNDQ5ZDVkNzdjZWM2ZGEwNDM2NTY2NTAxNzBmNmE1Yjk=-01043977567-record-10.10.62.138-1490594201.84187.mp3</t>
  </si>
  <si>
    <t>20170327/3004063-20170327134853-TMTM0ZWFiMjAyZGNhNTcxZTY1N2RlNzI0NmM2NTg0NWI=-01043977569-record-10.10.62.138-1490593733.81711.mp3</t>
  </si>
  <si>
    <t>20170327/3004063-20170327133302-TMDI0N2ZiMDBmMmQwMzg5ZGQ5NzliZjgxZTVkOTc1ZjI=-01043977567-record-10.10.62.138-1490592782.76961.mp3</t>
  </si>
  <si>
    <t>20170327/3004063-20170327121946-TZDIxMjY3Njg4MGViOTQwMjBkNTEzOTc1NjM3ZDhhMjc=-01043977565-record-10.10.62.138-1490588386.65337.mp3</t>
  </si>
  <si>
    <t>20170327/3004063-20170327121737-TYjRkNGZjZDBlYjYxZDZmN2MwODEwZGYyYzdjNGY5NjY=-01043989720-record-10.10.62.138-1490588257.65030.mp3</t>
  </si>
  <si>
    <t>20170327/3004063-20170327120353-TM2YwOTg3ZTQxNjQ2YTk1NjRjYzEwN2M4NGU1NWNhN2M=-01043977569-record-10.10.62.138-1490587433.62708.mp3</t>
  </si>
  <si>
    <t>20170327/3004063-20170327112709-TNWVhMTE0N2RjODA5M2RmOWU1YjJjZGExOGIxN2M0NDM=-01043977565-record-10.10.62.138-1490585229.51312.mp3</t>
  </si>
  <si>
    <t>20170327/3004063-20170327112551-TMTQ3Y2IyMWYyNTk3YzAzN2ViYzY0OWI5Yjg4MTFkN2E=-01043989720-record-10.10.62.138-1490585151.50751.mp3</t>
  </si>
  <si>
    <t>20170327/3004063-20170327112223-TMjAzNjEyODBlN2UwZTc4NDZjMWNkOGMzN2UwNDk1OGQ=-01043977567-record-10.10.62.138-1490584943.49466.mp3</t>
  </si>
  <si>
    <t>20170327/3004063-20170327111730-TMzI5MjI4MTFlOGZhOGEyNjdhYzY2ZmQ3NjhiMDdiNzM=-01043989718-record-10.10.62.138-1490584650.47729.mp3</t>
  </si>
  <si>
    <t>20170327/3004063-20170327111458-TMmQxYjQxYTA5Mzk3MGQxZTBjNzFkZGEyNjk4MDJjYTE=-01043989717-record-10.10.62.138-1490584498.46788.mp3</t>
  </si>
  <si>
    <t>20170327/3004063-20170327111422-TZjg1YzM4MGEyN2EwOTM3MWU2ZmM0MjZkMGFmYzk2YjE=-01043989720-record-10.10.62.138-1490584462.46532.mp3</t>
  </si>
  <si>
    <t>20170327/3004063-20170327110557-TZDllNTA2NGJhNDU1ZDQ1OWIyOGY5MGQ3N2RiNDMxMWU=-01043977565-record-10.10.62.138-1490583957.43111.mp3</t>
  </si>
  <si>
    <t>20170327/3004063-20170327110425-TMDRkMTgyMzk3ZTQxNzdiNjdmYzRiY2UyMzY4NWU1MmI=-01043977567-record-10.10.62.138-1490583865.42477.mp3</t>
  </si>
  <si>
    <t>20170327/3004063-20170327104455-TY2I1NGY3MmI0YTFjYzRjZDFmMDgxNmQwNGQxODE2YTk=-01043977567-record-10.10.62.138-1490582695.34712.mp3</t>
  </si>
  <si>
    <t>20170327/3004063-20170327104258-TZGIzNGUzNjg5ZDdjMTg4NzgxNGUxNzNmMWUwODQ0OTA=-01043989718-record-10.10.62.138-1490582578.33943.mp3</t>
  </si>
  <si>
    <t>20170327/3004063-20170327104216-TNDdkYWI4Mjg3NTQwNjkwNTQyMzlkNzBmOTMwN2VkYWM=-01043989717-record-10.10.62.138-1490582536.33669.mp3</t>
  </si>
  <si>
    <t>20170327/3004063-20170327104212-TYmExZTg4YjA4NGUyYzQzMjNmZGE1YTQ2MDgwNmM0YWE=-01043989718-record-10.10.62.138-1490582532.33642.mp3</t>
  </si>
  <si>
    <t>20170327/3004063-20170327104130-TM2E5MzM1OGJmOTYxMzc4Mzg2ZDI1NzE4YjhlN2E3YzE=-01043989717-record-10.10.62.138-1490582490.33374.mp3</t>
  </si>
  <si>
    <t>20170327/3004063-20170327104037-TMDFiMmRkZGJlZWNiNmQwMTkyN2M0ZjgyNWQ1MGMwZjE=-01043977565-record-10.10.62.138-1490582437.33046.mp3</t>
  </si>
  <si>
    <t>20170327/3004063-20170327103604-TZDAzNThkZWQ2NDJkMjE1NzE2ZjMwNGE0ZjM3M2MzMjU=-01043989717-record-10.10.62.138-1490582164.31161.mp3</t>
  </si>
  <si>
    <t>20170327/3004063-20170327103517-TZDA1YTkxNzI2MThhMGVjMWJmNmVhYTFjNTRlODZhZWE=-01043977569-record-10.10.62.138-1490582117.30850.mp3</t>
  </si>
  <si>
    <t>20170327/3004063-20170327103357-TODJkOTg4MjY2YWQ5MzkwNDMxODE1NDg4NzE0ZDIwOGQ=-01043977565-record-10.10.62.138-1490582037.30343.mp3</t>
  </si>
  <si>
    <t>20170327/3004063-20170327101436-TNjA1NDNlYjZhZmI3MGUxZjk4NzlmMDRmOGE3ZDMzNGM=-01043989718-record-10.10.62.138-1490580876.23060.mp3</t>
  </si>
  <si>
    <t>20170327/3004063-20170327101305-TZWM3YWNjYWNiNzFiZWIzMjJkN2RhMDg5ZGU4ZTE3YTc=-01043977569-record-10.10.62.138-1490580785.22586.mp3</t>
  </si>
  <si>
    <t>20170327/3004063-20170327101301-TZjFmNTNlZDgwNzQxZDM3MDQyY2NhYjYzZjFiMzIyZDA=-01043977565-record-10.10.62.138-1490580781.22565.mp3</t>
  </si>
  <si>
    <t>浙江/绍兴</t>
  </si>
  <si>
    <t>20170327/3004063-20170327100453-TMjAyOGIzMjc1NGQzZTg2ZWRiMWRjNzkzNDhkYTRhMmQ=-01043989720-record-10.10.62.138-1490580293.19749.mp3</t>
  </si>
  <si>
    <t>20170327/3004063-20170327095359-TYzY3ZjIxYjFhY2JiZjZlNzU5MDMzOGRmMzRiNTkwYzc=-01043977567-record-10.10.62.138-1490579639.16514.mp3</t>
  </si>
  <si>
    <t>20170327/3004063-20170327094648-TYzZmNzI5MTI0MWJkNDA0ODE0YjI4MTlkZjc2N2ZjNjE=-01043977567-record-10.10.62.138-1490579208.14363.mp3</t>
  </si>
  <si>
    <t>20170327/3004063-20170327093804-TMjNlNDBmMmUxMDM0YjZjMTQzZmY2Y2Q1OGQ3MjYwMzE=-01043977565-record-10.10.62.138-1490578684.11861.mp3</t>
  </si>
  <si>
    <t>20170327/3004063-20170327092503-TMDY5Nzk0N2NkYTk0MGRlZjYwOTAxMGI1ZmNjYTUxZTk=-01043989718-record-10.10.62.138-1490577903.8853.mp3</t>
  </si>
  <si>
    <t>20170327/3004063-20170327092430-TNGY3ZDRmNTkwNTg1YjgzZjdmODZmOWY4NzUyMTg0ZWQ=-01043989720-record-10.10.62.138-1490577870.8719.mp3</t>
  </si>
  <si>
    <t>20170327/3004063-20170327091124-TNGJmNTczMWFhZTQ1OWNhM2RmNDA3M2ZmMGY1MzhiZmJiMmQ4MGM0NDhhMjIyODA4NjZkMzhkNzc5MzU5N2M1Mg==-01043977567-record-10.10.62.138-1490577084.6045.mp3</t>
  </si>
  <si>
    <t>20170327/3004063-20170327090320-TNGNiN2ViMWUyZjI2OThlN2MyM2I0NzcyMzgxMTgwZTM=-01043977567-record-10.10.62.138-1490576600.4741.mp3</t>
  </si>
  <si>
    <t>20170327/3004063-20170327085445-TYmQ5NDkxMWJjNmQ4M2FjN2I0Njk0OTQyOWQxY2Q4NDE=-01043977567-record-10.10.62.138-1490576085.3992.mp3</t>
  </si>
  <si>
    <t>20170327/3004063-20170327085304-TYTdjYjhiNGI5NDlhODMxMmViMDc2MTJiZTE1NmRlMTA=-13718091869-record-10.10.62.138-1490575984.3869.mp3</t>
  </si>
  <si>
    <t>20170327/3004063-20170327085028-TYTQyZGQyNGRiMmMyOWI2OGE5YzdjNDFjNWM4ZjdjOWE=-01043989720-record-10.10.62.138-1490575828.3674.mp3</t>
  </si>
  <si>
    <t>20170327/3004063-20170327084513-TYjZmYTNlMTMxM2ZiN2RiYjMwMDJlYTI4MzU2ZDdmMWY=-01043989717-record-10.10.62.138-1490575513.3335.mp3</t>
  </si>
  <si>
    <t>20170327/3004063-20170327083839-TODdkMTE3ZmMyNTVjMTQzMWQ1N2Y0ZTMwMzUxNGU1NGM=-01043977566-record-10.10.62.138-1490575119.2896.mp3</t>
  </si>
  <si>
    <t>20170327/3004063-20170327081256-TMDdjNDZmNDUyNDQ0ZDMzOWFhYTAyNjk0NjVkYjQxZmE=-01043977565-record-10.10.62.138-1490573576.1704.mp3</t>
  </si>
  <si>
    <t>20170327/3004063-20170327081107-TNWY1NTFlNTg3MTA2ZGMxYjlhMTgyMDA5ZTMxZmQxMDc=-01043989720-record-10.10.62.138-1490573467.1635.mp3</t>
  </si>
  <si>
    <t>20170326/3004063-20170326203612-TMTg3OTRmNjQ5MDRhOGZlNjkyMWMwOTM0ZTQyNDIxZWQ=-01043989718-record-10.10.62.138-1490531772.151187.mp3</t>
  </si>
  <si>
    <t>20170326/3004063-20170326203509-TYmE4NjczY2YzOTg3Mjk3YzFkZTA3MTAzM2I5Njk0N2E=-01043977569-record-10.10.62.138-1490531709.151021.mp3</t>
  </si>
  <si>
    <t>20170326/3004063-20170326202354-TNjJiMjM4OTk0OTdjYzU2NTYzZTMwNzU4MTE4N2E4YTA=-01043989717-record-10.10.62.138-1490531034.149381.mp3</t>
  </si>
  <si>
    <t>江苏/无锡</t>
  </si>
  <si>
    <t>20170326/3004063-20170326200417-TMmIyMGVjNTRjNjBkYjdiMzkzYmY2MTNlMzg5MWQyYTE=-01043977569-record-10.10.62.138-1490529857.146406.mp3</t>
  </si>
  <si>
    <t>20170326/3004063-20170326194012-TN2YxMDg4OGY3Zjg2ZDc4OTYyMDNiOTk4NWE3MTUyZTQ=-01043977569-record-10.10.62.138-1490528412.142138.mp3</t>
  </si>
  <si>
    <t>20170326/3004063-20170326192752-TODEyMzgzMTY0ZWM0ODkzZjEyZmMwYzg3Yjg2OGEwM2I=-01043977569-record-10.10.62.138-1490527672.139785.mp3</t>
  </si>
  <si>
    <t>20170326/3004063-20170326191815-TYTE0Njg1NWQ3MTFlNmY2NmMwNDcwZDNjMDg4Y2U1MDY=-01043989718-record-10.10.62.138-1490527095.138110.mp3</t>
  </si>
  <si>
    <t>20170326/3004063-20170326185808-TYzBhMTg4MGJkN2U1ZGQ2ZmI5YzAyNzFlMTU0ZTQ3Nzc=-01043989718-record-10.10.62.138-1490525888.134246.mp3</t>
  </si>
  <si>
    <t>20170326/3004063-20170326185027-TZjE1MzE1NmQ3MTVhYTUwZmMyYzlmMWI3MTA3NzczYjE=-01043989717-record-10.10.62.138-1490525427.132719.mp3</t>
  </si>
  <si>
    <t>20170326/3004063-20170326184820-TMTRiMzlkNDU4YWI4N2Y5NjE1M2RmNzczYjM4YjQwMWU=-01043977569-record-10.10.62.138-1490525300.132309.mp3</t>
  </si>
  <si>
    <t>20170326/3004063-20170326183140-TMjBkYTAxNWUwMjAwOWQ5NTAzNDg3NDExZDY4NzU2ZmE=-13718091869-record-10.10.62.138-1490524300.128907.mp3</t>
  </si>
  <si>
    <t>20170326/3004063-20170326170509-TYTk0ODJkNDdmNjQyMThiYWYzMjllMWFjZWYxODVmYjU=-01043989718-record-10.10.62.138-1490519109.113732.mp3</t>
  </si>
  <si>
    <t>20170326/3004063-20170326161611-TZDA3ODU0ZTBlNzJiOTM2OTY3YzE1NjQyMTgyMjgxNGI=-01043989717-record-10.10.62.138-1490516171.101111.mp3</t>
  </si>
  <si>
    <t>20170326/3004063-20170326154458-TOTZiNjU5NTVmNWI1NDRlZDA2NDhkYjA2ZDY5MTFkZGI=-01043977569-record-10.10.62.138-1490514298.92086.mp3</t>
  </si>
  <si>
    <t>20170326/3004063-20170326152820-TNDA4ZTAxZjQ1Y2YwNTc1MzlhMjJkOTlhNjcyMGY4OTY=-01043989718-record-10.10.62.138-1490513300.87236.mp3</t>
  </si>
  <si>
    <t>新疆/奎屯</t>
  </si>
  <si>
    <t>20170326/3004063-20170326140944-TNTQwODhmYjA4YzczNzY3OGIwNWY1N2FlM2NjYTNkMmU=-01043977569-record-10.10.62.138-1490508584.64906.mp3</t>
  </si>
  <si>
    <t>20170326/3004063-20170326140333-TYTRlNDViN2FkZmJmZGE5OTUwY2VkY2M1NTFlYjc0NWY=-01043989718-record-10.10.62.138-1490508213.63207.mp3</t>
  </si>
  <si>
    <t>20170326/3004063-20170326133020-TNzVmNzJjZmZiN2UxNDg1MGJjYjFiNWVmNGYyNzZkMTg=-01043989717-record-10.10.62.138-1490506220.57019.mp3</t>
  </si>
  <si>
    <t>20170326/3004063-20170326132756-TMDAzMzBlNjM3Zjc5NTgwMzY4MTRhYjAxZWJmMmZjZGI=-01043977569-record-10.10.62.138-1490506076.56522.mp3</t>
  </si>
  <si>
    <t>20170326/3004063-20170326125713-TZDkzOTVlODhlZWNiZGE4OWExYjAyZmNmY2E1ZmRmNWQ=-01043989718-record-10.10.62.138-1490504233.51707.mp3</t>
  </si>
  <si>
    <t>20170326/3004063-20170326125615-TZTllZjM1MzNmMGEyNmZjOGM2NzRkYzNmMDIyMzA5ZjU=-01043989717-record-10.10.62.138-1490504175.51588.mp3</t>
  </si>
  <si>
    <t>20170326/3004063-20170326112705-TYmFjNTM0MjU5MmQzZjAxOTkxNTRiMmM2MGYzMjExYjM=-01043989717-record-10.10.62.138-1490498825.37334.mp3</t>
  </si>
  <si>
    <t>20170326/3004063-20170326111253-TODBmZjRjZjYwYmIyZWJlMjY3NGYxNTY1ZTFlMDdiZjg=-01043989717-record-10.10.62.138-1490497973.33376.mp3</t>
  </si>
  <si>
    <t>20170326/3004063-20170326110648-TYWJmNzdmZGQ1MDlmMGRhMWNjMDk3NDQ3MjU5NmI3NzM=-01043977569-record-10.10.62.138-1490497608.31769.mp3</t>
  </si>
  <si>
    <t>20170326/3004063-20170326105129-TNGZmOWY5ZTk4OGZhMzllNzIyZjQ5MmI1MTBiNTU5Nzc=-01043989718-record-10.10.62.138-1490496689.27480.mp3</t>
  </si>
  <si>
    <t>20170326/3004063-20170326101036-TNTc4MGQ1YjBhZWVmNDk3YjU5NDE4MDg0NTkwYzQ0NDI=-01043989718-record-10.10.62.138-1490494236.15888.mp3</t>
  </si>
  <si>
    <t>20170326/3004063-20170326100651-TMzc3YjA1YzkyMTE2MGNmMjczMjAxOWJmZTFlMGY5OWE=-01043989717-record-10.10.62.138-1490494011.15028.mp3</t>
  </si>
  <si>
    <t>20170326/3004063-20170326100008-TMDRhNWQ2MTIwZGEwZGM0YTBiMzA1MjliZTlmMDlkMTM=-01043977569-record-10.10.62.138-1490493608.13645.mp3</t>
  </si>
  <si>
    <t>20170326/3004063-20170326092700-TMzliYzA0NmEwODlmYmUyNDgyOWRlZTZhMjZmNTA0MTY=-01043977569-record-10.10.62.138-1490491620.7811.mp3</t>
  </si>
  <si>
    <t>20170326/3004063-20170326092203-TM2EyNjY3MDBjN2ZjMzAwNzlmOThmM2UxMGI3NzE0YjY=-01043989718-record-10.10.62.138-1490491323.7049.mp3</t>
  </si>
  <si>
    <t>20170326/3004063-20170326085858-TZjFmOWRmYjRhYzc2NTUzMDA0MzZlZWVkNzkyYmMyOWI=-01043989717-record-10.10.62.138-1490489938.4493.mp3</t>
  </si>
  <si>
    <t>20170326/3004063-20170326085818-TODQ3NGQ2MjM5MjY4NGMyMDgxZmY1MDMxYzNmOWU3MTk=-01043977569-record-10.10.62.138-1490489898.4437.mp3</t>
  </si>
  <si>
    <t>20170326/3004063-20170326082024-TYWI1ODQ3ZmNhYWNmYTY1NmU0MjU0MmM4NTkyZWY3N2M=-01043989718-record-10.10.62.138-1490487624.2073.mp3</t>
  </si>
  <si>
    <t>20170325/3004063-20170325212912-TYjc1MTRkMzVmNjk3MzQzZGQzN2Y1NTJkNzdjMDk5ODc=-10.10.62.138-1490448552.169094.mp3</t>
  </si>
  <si>
    <t>20170325/3004063-20170325203242-TMDJjNjg2Y2QxZmUzYTdiYzRiMzQ4Yzg2NDkxMGZkNTA=-01043989720-record-10.10.62.138-1490445162.161528.mp3</t>
  </si>
  <si>
    <t>20170325/3004063-20170325194726-TN2Q5ZjNkYjM3ZGNjYWMyZDczY2NhMmYwZDY4ZDcwZjg=-01043989720-record-10.10.62.138-1490442446.152901.mp3</t>
  </si>
  <si>
    <t>20170325/3004063-20170325181757-TMzc3YjA1YzkyMTE2MGNmMjczMjAxOWJmZTFlMGY5OWE=-01043989720-record-10.10.62.138-1490437077.134658.mp3</t>
  </si>
  <si>
    <t>20170325/3004063-20170325181711-TZmIzMmVhNGZmYmE1ODRlNzI3NmQ0Yzg5NmMyYzllYWM=-01043977568-record-10.10.62.138-1490437031.134535.mp3</t>
  </si>
  <si>
    <t>20170325/3004063-20170325175724-TZDU2NDU3NGQ3N2VkMTg5OWFiYzM1YTFlOTYzYjdiNDQ=-01043977568-record-10.10.62.138-1490435844.131354.mp3</t>
  </si>
  <si>
    <t>20170325/3004063-20170325174639-TNjk5Y2YzNzU4YjcyNzU2MTNjYmY0OTRkMTU2NmIyMDk=-01043977565-record-10.10.62.138-1490435199.129993.mp3</t>
  </si>
  <si>
    <t>江苏/扬州</t>
  </si>
  <si>
    <t>20170325/3004063-20170325172434-TNjU3YTY4MjlmYzE0MGVkMTFjMzhhOTU4ODdhMjJhZDg=-01000000000-record-10.10.62.138-1490433874.126533.mp3</t>
  </si>
  <si>
    <t>吉林/白山</t>
  </si>
  <si>
    <t>20170325/3004063-20170325172247-TNWJjYmIyNWViMTY2NzkwNjJkMjI3MDlhY2FhNjQ4Y2I=-01043989720-record-10.10.62.138-1490433767.126175.mp3</t>
  </si>
  <si>
    <t>20170325/3004063-20170325170654-TYzlmZGI1MjBlMDViNGI3MDMxMzEyZWJlMzk0ZDY0YWI=-01043977565-record-10.10.62.138-1490432814.122120.mp3</t>
  </si>
  <si>
    <t>20170325/3004063-20170325170211-TN2ZmY2E0YzY2NWZkNzZjMTNiMGY5NGUzNjMwM2FmM2M=-01043989720-record-10.10.62.138-1490432531.120763.mp3</t>
  </si>
  <si>
    <t>20170325/3004063-20170325163656-TYzlmZGI1MjBlMDViNGI3MDMxMzEyZWJlMzk0ZDY0YWI=-01043989720-record-10.10.62.138-1490431016.113206.mp3</t>
  </si>
  <si>
    <t>20170325/3004063-20170325162318-TY2IxNmJiMDgwZGIyMjVjYTJlZTg3M2VlZWI2YjUyN2U=-01043989720-record-10.10.62.138-1490430198.108781.mp3</t>
  </si>
  <si>
    <t>20170325/3004063-20170325153157-TYmQwM2UxZmVhNDVmYThiYTYxMjA4Mjg5MmY4MjI2NDU=-01043977568-record-10.10.62.138-1490427117.92537.mp3</t>
  </si>
  <si>
    <t>20170325/3004063-20170325152441-TYjMyNWJiNGMwMDM3ZjE1YjZmMGRkZmRmMTliYjhlNzY=-01043989720-record-10.10.62.138-1490426681.90211.mp3</t>
  </si>
  <si>
    <t>20170325/3004063-20170325151541-TNTZlMDFmZmIxOTJmNjhhZTM5OWY3MTY0NmRiM2FiOWY=-01043977567-record-10.10.62.138-1490426141.87325.mp3</t>
  </si>
  <si>
    <t>20170325/3004063-20170325144644-TMWI4YTgyNzE3ZDhjNjFiNzMxODg1YzY1Y2ZiYjlhYWY=-01043977565-record-10.10.62.138-1490424404.77370.mp3</t>
  </si>
  <si>
    <t>20170325/3004063-20170325135746-TZjIzMjhjMjAyMjQ4OGM3ZWY5NWJmM2VjMWVjZTNlMjY=-01043977567-record-10.10.62.138-1490421466.61218.mp3</t>
  </si>
  <si>
    <t>20170325/3004063-20170325134656-TZGNlZDhhOGMxODEzYjk0MTI0Yjg2NmVhZTc5MWUyZDk=-01043977568-record-10.10.62.138-1490420816.58864.mp3</t>
  </si>
  <si>
    <t>20170325/3004063-20170325134222-TYjk3ZDI0NDViYWY0YmFjYjU3OTE5OGUyYzEyZDU0Yjc=-01043977567-record-10.10.62.138-1490420542.57807.mp3</t>
  </si>
  <si>
    <t>20170325/3004063-20170325124945-TNmE5ZWNjYmY3NDMxMDBjOWU2YTdiODZjNDkzYWY1YTE=-01043989720-record-10.10.62.138-1490417385.49324.mp3</t>
  </si>
  <si>
    <t>20170325/3004063-20170325124513-TZmZiNGI4OTFlODc1NDQzZGFhYmNkMDljZGY0ZTI2OGY=-01043977567-record-10.10.62.138-1490417113.48830.mp3</t>
  </si>
  <si>
    <t>20170325/3004063-20170325122657-TZWQzYzJhNTM2ZjdjMWQ5ZmJiYTVhYjQxMWI5OTYwY2M=-13718091869-record-10.10.62.138-1490416017.46782.mp3</t>
  </si>
  <si>
    <t>20170325/3004063-20170325122434-TOGViNjcwMzA3NjFlZjgwYzllYTBiOWY0YWExOGE3N2I=-01043977568-record-10.10.62.138-1490415874.46510.mp3</t>
  </si>
  <si>
    <t>20170325/3004063-20170325120613-TODczZTU5Nzc3NzZhOGY4YzI3YjNhNjI0ZTNjNzFkNTI=-01043977565-record-10.10.62.138-1490414773.44295.mp3</t>
  </si>
  <si>
    <t>20170325/3004063-20170325120312-TNTJiMmJlZDcxMTEyMjg2MjhmMTkyZGI5NGFjYTU5N2E=-01043989720-record-10.10.62.138-1490414592.43908.mp3</t>
  </si>
  <si>
    <t>20170325/3004063-20170325114137-TOWNiYTY4OWJmN2M1YmMxMmJhMTIyMmQ4YWI3NWFjODQ=-01043977567-record-10.10.62.138-1490413297.38428.mp3</t>
  </si>
  <si>
    <t>20170325/3004063-20170325111817-TNGIxY2U3MzM4NThhOTBkNDMzMWVmZjg0NmE4YTYzNTBiMmQ4MGM0NDhhMjIyODA4NjZkMzhkNzc5MzU5N2M1Mg==-01043977567-record-10.10.62.138-1490411897.31833.mp3</t>
  </si>
  <si>
    <t>20170325/3004063-20170325110543-TMWRhOWYzYzYwZjhkNTgxNGZiYTYzNWMwMjkwYmFhMDE=-01043977565-record-10.10.62.138-1490411143.28965.mp3</t>
  </si>
  <si>
    <t>20170325/3004063-20170325104308-TNjY1NWEzMGY5ZGU4Y2I4NmI0YjA1ZjYwYjFhOWQ0ZWE=-01043977568-record-10.10.62.138-1490409788.23428.mp3</t>
  </si>
  <si>
    <t>20170325/3004063-20170325104149-TMWRkY2FkMWE0NTAyNGVkMTFmMDk5NjQ4ZmFiMzkxYWE=-01043989720-record-10.10.62.138-1490409709.23086.mp3</t>
  </si>
  <si>
    <t>20170325/3004063-20170325103702-TYWY4ZjQ1Y2M2ZTQyY2RkMDkzNzJmMjQ5YzM4N2Q2OWU=-01043977567-record-10.10.62.138-1490409422.21872.mp3</t>
  </si>
  <si>
    <t>山东/德州</t>
  </si>
  <si>
    <t>20170325/3004063-20170325103150-TNTkxNmYwODc2OGRjZWI2ZTNkZDUwNGEyNzA4YjFjMjI=-01043977568-record-10.10.62.138-1490409110.20639.mp3</t>
  </si>
  <si>
    <t>20170325/3004063-20170325100513-TZGEzZTViOTY1MzQxYzdlYzRmN2E2ODJmMWZmZDJkMzM=-01043977567-record-10.10.62.138-1490407513.14819.mp3</t>
  </si>
  <si>
    <t>20170325/3004063-20170325095932-TMWI4YTgyNzE3ZDhjNjFiNzMxODg1YzY1Y2ZiYjlhYWY=-01043977568-record-10.10.62.138-1490407172.13731.mp3</t>
  </si>
  <si>
    <t>20170325/3004063-20170325095117-TN2QwZmI4ZTQwZjg0ZDEzNjU0MmRiMTY3ZGM2ZWMzNzU=-01043977567-record-10.10.62.138-1490406677.12275.mp3</t>
  </si>
  <si>
    <t>20170325/3004063-20170325094106-TNzk0ZDQ0NWY0Y2Y3NTlmNDEyOTNkOGI0ZmRhY2QzMDY=-01043977568-record-10.10.62.138-1490406066.10648.mp3</t>
  </si>
  <si>
    <t>20170325/3004063-20170325091654-TMzVjZTUyMzgyZmNmMTY0Njk0N2FmMDdhNjVkNTdiMTM=-01043977568-record-10.10.62.138-1490404614.7132.mp3</t>
  </si>
  <si>
    <t>山东/日照</t>
  </si>
  <si>
    <t>20170325/3004063-20170325084009-TYjQ0MmNkZjNlYTJmNDA3OGNlYmIzNTdlOTJmNGE5MzA=-01043977568-record-10.10.62.138-1490402409.3541.mp3</t>
  </si>
  <si>
    <t>20170325/3004063-20170325083723-TYzk2ZDM5MWM4ZjU0MDMwZWIyNjM4ZDA2NGZmZGE0NDI=-01043977567-record-10.10.62.138-1490402243.3375.mp3</t>
  </si>
  <si>
    <t>20170325/3004063-20170325082013-TNGM0NzRmZmVjMjVkMjRlYzJkODBlNDZhNmQ1NDdiZTM=-01043989720-record-10.10.62.138-1490401213.2462.mp3</t>
  </si>
  <si>
    <t>20170324/3004063-20170324211504-TYjc1MTRkMzVmNjk3MzQzZGQzN2Y1NTJkNzdjMDk5ODc=-10.10.62.138-1490361304.197463.mp3</t>
  </si>
  <si>
    <t>河南/周口</t>
  </si>
  <si>
    <t>20170324/3004063-20170324204202-TZGNlYWNlN2RjOWU3NGJhYjUxMmQyZDIzOWUxNjhlNzI=-01043989718-record-10.10.62.138-1490359322.193168.mp3</t>
  </si>
  <si>
    <t>20170324/3004063-20170324201245-TMTRmYjJhNTIwNTJhMmMzZmQyM2E2YThjYTI3ZGY2NjQ=-01043989718-record-10.10.62.138-1490357565.188320.mp3</t>
  </si>
  <si>
    <t>20170324/3004063-20170324200223-TMWYxMTBhNTI4ZjI4YjcyMzNhZjU4MTU5MWFhMTJjYjI=-01043989718-record-10.10.62.138-1490356943.186527.mp3</t>
  </si>
  <si>
    <t>20170324/3004063-20170324194500-TMjgwOGQ5MmNmOTNiYmZlZmM2YTgxM2YwOGMwMDM1ZTg=-01043989718-record-10.10.62.138-1490355900.183368.mp3</t>
  </si>
  <si>
    <t>20170324/3004063-20170324192500-TNWEwYzI4NGZmZWZjZjY5NmM2ZGExNzYwZGU1NTc0ODY=-01043977566-record-10.10.62.138-1490354700.179521.mp3</t>
  </si>
  <si>
    <t>宁夏/银川</t>
  </si>
  <si>
    <t>20170324/3004063-20170324192406-TZjdkN2EzOTAxM2ViZjEwMTFkY2JmNTRjODA5YTcxZjE=-01043989718-record-10.10.62.138-1490354646.179346.mp3</t>
  </si>
  <si>
    <t>20170324/3004063-20170324190010-TZTdjOGQ2ODQ3MTk3YTc0YTYwMzdlMTA4NTM2MTRmYjY=-01043977566-record-10.10.62.138-1490353210.174589.mp3</t>
  </si>
  <si>
    <t>20170324/3004063-20170324180811-TZTNiZGVhYWU4MGYxNDI4OTJkOGUyNDRkNDEyODVhMzY=-01043989717-record-10.10.62.138-1490350091.163239.mp3</t>
  </si>
  <si>
    <t>20170324/3004063-20170324172545-TMDRkMTgyMzk3ZTQxNzdiNjdmYzRiY2UyMzY4NWU1MmI=-01043989718-record-10.10.62.138-1490347545.154417.mp3</t>
  </si>
  <si>
    <t>20170324/3004063-20170324172422-TODE2YjNiMjg1ZDVhZTVhYjg4NjhjNzBhMzZmZTRjMjQ=-01043989718-record-10.10.62.138-1490347462.153987.mp3</t>
  </si>
  <si>
    <t>20170324/3004063-20170324171115-TN2Y3ODE2NTU1NDlkYmYyOGM5NTk1ZGZmYzJjMzEyZDI=-01043977566-record-10.10.62.138-1490346675.149483.mp3</t>
  </si>
  <si>
    <t>20170324/3004063-20170324170244-TNWE0NzcxZTI5MGY1NjhlY2E0YzA3OTI1NWYzNGU5N2M=-01043977568-record-10.10.62.138-1490346164.146212.mp3</t>
  </si>
  <si>
    <t>20170324/3004063-20170324165758-TN2U0ODY0N2NkYjg2NTA2YjI2NWY5MzdkNjY0NmE1MmU=-01043977568-record-10.10.62.138-1490345878.144583.mp3</t>
  </si>
  <si>
    <t>安徽/宿州</t>
  </si>
  <si>
    <t>20170324/3004063-20170324165738-TNjgxZWNiMDk5N2E3MTFlNTFmNzZkYzU5OTQ4YjU4OWI=-01043977566-record-10.10.62.138-1490345858.144452.mp3</t>
  </si>
  <si>
    <t>20170324/3004063-20170324165523-TM2JiZDJkMWVhNDY0MjQ5MTUyOGMxZjJiNzgyZmU2Nzk=-01043989717-record-10.10.62.138-1490345723.143568.mp3</t>
  </si>
  <si>
    <t>20170324/3004063-20170324162915-TMzhlNGU4MGRjYjUyZTU4YTMzMTg0M2FmNDFhZTRmM2M=-01043977565-record-10.10.62.138-1490344155.133272.mp3</t>
  </si>
  <si>
    <t>20170324/3004063-20170324162906-TODUwMTRkY2Y2OTk4OWU2NDYxODllMGI0M2NkNDMzYjM=-01043977567-record-10.10.62.138-1490344146.133187.mp3</t>
  </si>
  <si>
    <t>20170324/3004063-20170324161825-TNjBkNTY4MmY1MDM1OGYxNGI5NTFkY2E3ZGU3NTRlNDU=-01043989720-record-10.10.62.138-1490343505.128989.mp3</t>
  </si>
  <si>
    <t>20170324/3004063-20170324161341-TNTZlMmE5MDczZDIzNGMyZTBmMmNjYzY1ZmY1ODRiMGU=-01043989718-record-10.10.62.138-1490343221.126797.mp3</t>
  </si>
  <si>
    <t>20170324/3004063-20170324161054-TNDc0ZDFiNjM2N2YxZGJhYmM4N2I3ZjhkODZmMWU2NzA=-01043989720-record-10.10.62.138-1490343054.125650.mp3</t>
  </si>
  <si>
    <t>20170324/3004063-20170324160607-TNjYwYTNhMzFlZTI1NmFmMGM4ZGZkYTUzOWJmMmUwNGI=-01043977566-record-10.10.62.138-1490342767.123812.mp3</t>
  </si>
  <si>
    <t>黑龙江/双鸭山</t>
  </si>
  <si>
    <t>20170324/3004063-20170324155646-TNGJhZWJiMmQ3Yzk0NThiZDNlYzM5ZjZmNjk5MTk5ODQ=-01043977565-record-10.10.62.138-1490342206.120233.mp3</t>
  </si>
  <si>
    <t>20170324/3004063-20170324154644-TN2MwYzNlOTBkY2IzMjgyMjliN2ZhYTYxMDQ4MWY3ODk=-01043977565-record-10.10.62.138-1490341604.116155.mp3</t>
  </si>
  <si>
    <t>20170324/3004063-20170324153509-TNzg1OTMxNDJkZjlkYTcwYzYzMzU5ODBhZmRjNzg5MmQ=-01043977568-record-10.10.62.138-1490340909.111489.mp3</t>
  </si>
  <si>
    <t>辽宁/鞍山</t>
  </si>
  <si>
    <t>20170324/3004063-20170324152641-TYjY5YjJlYmJlOTQ0OTE3MTZiMTM0YmJhMGIxODk4YzE=-01043989718-record-10.10.62.138-1490340401.108543.mp3</t>
  </si>
  <si>
    <t>20170324/3004063-20170324151615-TYjIxNjVhZjQwMGRkYmM5OWRhZDQxNTg0MDMwYzY4MTM=-13718091869-record-10.10.62.138-1490339775.104914.mp3</t>
  </si>
  <si>
    <t>20170324/3004063-20170324150328-TMDQ4YTc0NWIxOTM2M2QzZGNlMDMyZGQxZmNkZTIzZjA=-01043977568-record-10.10.62.138-1490339008.100446.mp3</t>
  </si>
  <si>
    <t>20170324/3004063-20170324145850-TYWUyNjdkZjk5M2RhYzU1Y2NjMTY2ZWZlZjRkZDNmOGY=-01043977566-record-10.10.62.138-1490338730.99066.mp3</t>
  </si>
  <si>
    <t>20170324/3004063-20170324145656-TMTI2MjA1MjhhNmJhMjUyZWM5ZWYwNDBkZGU4ZTlhNzQ=-01043989720-record-10.10.62.138-1490338616.98432.mp3</t>
  </si>
  <si>
    <t>20170324/3004063-20170324144302-TMTFmNzBmNzg5NjNjZTAyMWZmYTI5ODRlYWMyMzQ0YTA=-01043989720-record-10.10.62.138-1490337782.93598.mp3</t>
  </si>
  <si>
    <t>20170324/3004063-20170324141905-TMjFmZThkYjNiZTg3YjRiYTY2ZGFiOTExNDExYjBkNWQ=-01043989720-record-10.10.62.138-1490336345.84718.mp3</t>
  </si>
  <si>
    <t>20170324/3004063-20170324141615-TYWZhYzkwZTlhMzA3ZjhiZjgyYWYzMTQ3Y2Y5NWViOWI=-01043977567-record-10.10.62.138-1490336175.83560.mp3</t>
  </si>
  <si>
    <t>20170324/3004063-20170324135513-TMDMxOTk0MDdlMmNiOWE3ZDQyYjBkODU0NTg5ZDk0NjNiMmQ4MGM0NDhhMjIyODA4NjZkMzhkNzc5MzU5N2M1Mg==-01043989717-record-10.10.62.138-1490334913.76812.mp3</t>
  </si>
  <si>
    <t>20170324/3004063-20170324133944-TYTNlNTA5NDlmMjcxYjExMmVjZDNhODdhOTQ3OWI3Y2M=-01043989718-record-10.10.62.138-1490333984.72523.mp3</t>
  </si>
  <si>
    <t>20170324/3004063-20170324133640-TNjc2YTU1M2QwYTY2NDJkMTJiOWQxNjMxNjY1MzNjN2M=-01043977568-record-10.10.62.138-1490333800.71678.mp3</t>
  </si>
  <si>
    <t>20170324/3004063-20170324124625-TMjkzMzcwM2ZhMWZhZWY0YWFlOGVlMDdhYjNmY2VkZmQ=-01043989718-record-10.10.62.138-1490330785.63156.mp3</t>
  </si>
  <si>
    <t>20170324/3004063-20170324122354-TM2NiYzhmN2VlODc2ZGM4MDk3MzRiYTI0ZGQzMmJlYmM=-01043989719-record-10.10.62.138-1490329434.61054.mp3</t>
  </si>
  <si>
    <t>20170324/3004063-20170324120359-TZmQ5ZTJiMGNlZGQ0M2JlYmYxNDdhMDEwMjM4ZjVhY2M=-01043977568-record-10.10.62.138-1490328239.58176.mp3</t>
  </si>
  <si>
    <t>20170324/3004063-20170324120037-TMzc3YjA1YzkyMTE2MGNmMjczMjAxOWJmZTFlMGY5OWE=-01043989718-record-10.10.62.138-1490328037.57512.mp3</t>
  </si>
  <si>
    <t>20170324/3004063-20170324114124-TNjNmZGUzZTFmN2Q1YzNhNTNiMDNkMGQyMTdhNTRlYzg=-01043977565-record-10.10.62.138-1490326884.51028.mp3</t>
  </si>
  <si>
    <t>20170324/3004063-20170324112633-TYjZiMWRjMTE5ZWI0YTc3YjFlOWFkZmRmNzQwODQwNjY=-13718091869-record-10.10.62.138-1490325993.45556.mp3</t>
  </si>
  <si>
    <t>20170324/3004063-20170324112431-TODI4ZmQ5ZjU5ZjdjY2Y3MWI4ZjUxMTE4MGZkNGJlN2Y=-01043977568-record-10.10.62.138-1490325871.44742.mp3</t>
  </si>
  <si>
    <t>20170324/3004063-20170324111638-TNDY3Y2RkZGMwYzEzNjc0YjU4ZmMyN2I2MWM3ZGVmZjQ=-01043977566-record-10.10.62.138-1490325398.41603.mp3</t>
  </si>
  <si>
    <t>河南/驻马店</t>
  </si>
  <si>
    <t>20170324/3004063-20170324111303-TYTZlZTE1YzU0NGYxZWFjZTI1Y2E5MzgxOWQ0NWUxNzI=-01043989717-record-10.10.62.138-1490325183.40272.mp3</t>
  </si>
  <si>
    <t>20170324/3004063-20170324110932-TNmM2NDJkMWYxNWNjNWZiZTc1MGMyMjI2M2I4OTVmNzE=-01043989719-record-10.10.62.138-1490324972.38875.mp3</t>
  </si>
  <si>
    <t>20170324/3004063-20170324105907-TMzIxOGMwNzUwNjhkYmY5Nzg0ZjIxOTQ1MTgzNGFhMzA=-01043977565-record-10.10.62.138-1490324347.34936.mp3</t>
  </si>
  <si>
    <t>20170324/3004063-20170324104003-TODhmNWY4Njg5ZjNkNjQ2NDc5NTlmN2ZlZWE5NjViMmE=-01043977565-record-10.10.62.138-1490323203.28408.mp3</t>
  </si>
  <si>
    <t>20170324/3004063-20170324103719-TNzMyYTBjZWQzYTE1NTg2OTZlOWM3YTNhOTgwY2FhMDQ=-01043977565-record-10.10.62.138-1490323039.27307.mp3</t>
  </si>
  <si>
    <t>20170324/3004063-20170324103352-TMDMzZDIxNGE0ZTFiNDgxMTkxNWI1ZGI4MjExMDVmYTQ=-01043977566-record-10.10.62.138-1490322832.26134.mp3</t>
  </si>
  <si>
    <t>20170324/3004063-20170324103349-TMTA0YjY5NmNjNTJkZDlmZmI4YjBiMDc0NmYzZGFhNDg=-01043977567-record-10.10.62.138-1490322829.26106.mp3</t>
  </si>
  <si>
    <t>20170324/3004063-20170324102501-TNTA2ODhiZWRkODEzMzJmOWZmMGQ1Mjg5ZGFhNGU3OWQ=-01043989720-record-10.10.62.138-1490322301.22854.mp3</t>
  </si>
  <si>
    <t>20170324/3004063-20170324095108-TMjZkOTA3Y2FkNmQzNGEzMGVjMGEwZTNlOTM5YTliMWI=-13611040764-record-10.10.62.138-1490320268.12734.mp3</t>
  </si>
  <si>
    <t>20170324/3004063-20170324094906-TNjFhZGVmYWQwOGJlNjMxMTIyZjhmNmUwNDZjMTUxMGM=-01043977568-record-10.10.62.138-1490320146.12242.mp3</t>
  </si>
  <si>
    <t>20170324/3004063-20170324093858-TYTc3NDY1MDMzZTU5OTYxNjZmN2NiOTVjMTg1NGU1MjE=-01043977567-record-10.10.62.138-1490319538.9833.mp3</t>
  </si>
  <si>
    <t>20170324/3004063-20170324092859-TZjgxMGQ5N2U3MWYwODkwYTJiOTllYjc0YWVmNTEyNTE=-01043989718-record-10.10.62.138-1490318939.8010.mp3</t>
  </si>
  <si>
    <t>20170324/3004063-20170324091420-TZDA5YWE4ZmQ1ODc1ZjY0MjhkODI2ODI4Mzg1ZDk3YWQ=-01043977567-record-10.10.62.138-1490318060.5990.mp3</t>
  </si>
  <si>
    <t>20170324/3004063-20170324085852-TNjQ2Mjc3MDQ1YzNjZTE5Mzk2ZGZmZDMzNjA1M2ZkMGE=-01043989719-record-10.10.62.138-1490317132.4102.mp3</t>
  </si>
  <si>
    <t>20170324/3004063-20170324084611-TYTI0YmUwMjJkNGE4ZGMyMWMyMDNjMThhMGEyMjNiYWU=-01043989719-record-10.10.62.138-1490316371.3224.mp3</t>
  </si>
  <si>
    <t>20170324/3004063-20170324083257-TODYwNDQ1NWUyZmY1MmQ4MzcwM2ZlMzMyNjZkZTM5MmY=-01043977567-record-10.10.62.138-1490315577.2483.mp3</t>
  </si>
  <si>
    <t>20170324/3004063-20170324082054-TYzdiMmZjOWI2M2E5ZTY1Y2Q3MGJiZTRkMDhjOTA2MTU=-01043989719-record-10.10.62.138-1490314854.1965.mp3</t>
  </si>
  <si>
    <t>20170324/3004063-20170324080940-TZTczNjY4ZWFjYmJlNDY4YjU0YjE4OGIxMmI2ZmRhNWU=-01043989718-record-10.10.62.138-1490314180.1563.mp3</t>
  </si>
  <si>
    <t>20170324/3004063-20170324080756-TYzlmZGI1MjBlMDViNGI3MDMxMzEyZWJlMzk0ZDY0YWI=-01043989719-record-10.10.62.138-1490314076.1506.mp3</t>
  </si>
  <si>
    <t>20170324/3004063-20170324070307-TYjc1MTRkMzVmNjk3MzQzZGQzN2Y1NTJkNzdjMDk5ODc=-10.10.62.138-1490310187.583.mp3</t>
  </si>
  <si>
    <t>20170323/3004063-20170323202703-TM2U1M2IwNjMxYmU0YWRmN2IwMjY1NjJhNjNmY2RmY2E=-01043977569-record-10.10.62.138-1490272023.190245.mp3</t>
  </si>
  <si>
    <t>20170323/3004063-20170323202235-TODUxMTAyYmE2MjVlMjAxYTI5NTViODFjYjY5MjJhMDc=-01043989717-record-10.10.62.138-1490271755.189652.mp3</t>
  </si>
  <si>
    <t>20170323/3004063-20170323200413-TOWRmOWJlNDkyOTYxY2E1MjlkZTI5MTlmZjAzYTk2YzM=-01043977569-record-10.10.62.138-1490270653.187104.mp3</t>
  </si>
  <si>
    <t>20170323/3004063-20170323192115-TZTgzYmU2MWEwZTVmOWM3MGI2M2FlM2U2NWI1Njc5MTI=-01043989720-record-10.10.62.138-1490268075.180011.mp3</t>
  </si>
  <si>
    <t>20170323/3004063-20170323190835-TMzQ1MjY2ZmJlYTFiMGUxMTdhMTIxOTU1MjIyMjYwNjg=-01043977569-record-10.10.62.138-1490267315.177690.mp3</t>
  </si>
  <si>
    <t>20170323/3004063-20170323185301-TZGFlZDBjNzk4NjZkNjNlN2M0Y2U0NzY2ODc1MmY2MTc=-01043989717-record-10.10.62.138-1490266381.174820.mp3</t>
  </si>
  <si>
    <t>20170323/3004063-20170323184109-TNDMyNzQzNWE4Zjk5ZDNmOTVjYmI4ZGQzYTVhOWJmM2M=-01043977565-record-10.10.62.138-1490265669.172572.mp3</t>
  </si>
  <si>
    <t>20170323/3004063-20170323181311-TNzNmNzI5YzZmZjc3ZDk0YzQyMzQ3NjY2ZDY4ZTcyZDM=-01043989717-record-10.10.62.138-1490263991.166640.mp3</t>
  </si>
  <si>
    <t>20170323/3004063-20170323180312-TMDUzZWY4NzQxNDAwZTUyOTUxNzMwMjA1MWYwYTBkYTA=-01043977565-record-10.10.62.138-1490263392.164494.mp3</t>
  </si>
  <si>
    <t>20170323/3004063-20170323173230-TNzU2OWI0Y2FmMjllNzQ4ZDkzYjBiNThkOWI3OTg2OTY=-01043977568-record-10.10.62.138-1490261550.158247.mp3</t>
  </si>
  <si>
    <t>20170323/3004063-20170323171442-TZGM0ZDRiMTA3OTBhY2MxYWRmYTE2NDBlMjExYTBhZTM=-01043989720-record-10.10.62.138-1490260482.152899.mp3</t>
  </si>
  <si>
    <t>20170323/3004063-20170323170541-TNjFlZjQyMTQwMjNmY2UyNjY5MzQ1NDg3ZGZjZWEwYjY=-01043989717-record-10.10.62.138-1490259941.149600.mp3</t>
  </si>
  <si>
    <t>20170323/3004063-20170323165834-TZjA0Yjc4MTRjZTI5YzBlNzk0MjQ0M2NkMTQyZDFlMmE=-01043989719-record-10.10.62.138-1490259514.146856.mp3</t>
  </si>
  <si>
    <t>20170323/3004063-20170323163554-TNTJiMmJlZDcxMTEyMjg2MjhmMTkyZGI5NGFjYTU5N2E=-01043989718-record-10.10.62.138-1490258154.137951.mp3</t>
  </si>
  <si>
    <t>20170323/3004063-20170323161017-TODkzOTJlMjNjNmI1NTU1MDQwMDlhNDBkOTYxODY3ZTA=-01043977566-record-10.10.62.138-1490256617.127036.mp3</t>
  </si>
  <si>
    <t>20170323/3004063-20170323160758-TM2UxNDA3MzFkZTFkNmIxODJiNTJhMDhkODE2ZDE3YjU=-01043977569-record-10.10.62.138-1490256478.126100.mp3</t>
  </si>
  <si>
    <t>20170323/3004063-20170323155639-TYTRlMzllZjBhZTcwNzg5Y2JkNjEzNzY2M2UwYzY0NjE=-01043989717-record-10.10.62.138-1490255799.121022.mp3</t>
  </si>
  <si>
    <t>20170323/3004063-20170323155254-TMDE4NjU2ZDhhNTYxMWRlOWE3OGYwNjk1N2VhYzdhMTc=-01043977566-record-10.10.62.138-1490255574.119328.mp3</t>
  </si>
  <si>
    <t>20170323/3004063-20170323154830-TMzdhZTg5OGQ5NGI2NWVmZTgzN2Y0MzI1NmMxMTAzMmI=-01043977568-record-10.10.62.138-1490255310.117283.mp3</t>
  </si>
  <si>
    <t>20170323/3004063-20170323154334-TOWQyMjkyNmJiYjE5N2IzOWYxOWY4NmE0ZGY1MWM5N2M=-01043977565-record-10.10.62.138-1490255014.114954.mp3</t>
  </si>
  <si>
    <t>20170323/3004063-20170323154206-TNDU0NjdjN2M4MjFhMTBmNjIxMGJiNzJmMjdhNDdjZTA=-01043977566-record-10.10.62.138-1490254926.114287.mp3</t>
  </si>
  <si>
    <t>广西/柳州|来宾</t>
  </si>
  <si>
    <t>20170323/3004063-20170323153436-TYzdhOGNhNWNkZDZjOWE1ZmNkYmFiZDM3ZjEwZjZmNzY=-01043989718-record-10.10.62.138-1490254476.111085.mp3</t>
  </si>
  <si>
    <t>20170323/3004063-20170323152251-TNjcyOTBiYzYyZjkwY2I2MWUzOWQzNjNiMWIyOTk5NGE=-01043989718-record-10.10.62.138-1490253771.105803.mp3</t>
  </si>
  <si>
    <t>20170323/3004063-20170323151222-TODQ4ZDZlOWMxZWNlYzc4NDQ1Zjc5YTM4YzU2NmNmMDg=-01043977569-record-10.10.62.138-1490253142.101316.mp3</t>
  </si>
  <si>
    <t>20170323/3004063-20170323151025-TZGE2Y2JhNjI3M2EzNWJkMmFjMzE1OGY3MmY0ZDA2MjM=-01000000000-record-10.10.62.138-1490253025.100525.mp3</t>
  </si>
  <si>
    <t>20170323/3004063-20170323150833-TMTI4M2FkYTRkNGM5M2ViMWUzZDRlNGJjMDM3ZTJiYjk=-01043989717-record-10.10.62.138-1490252913.99729.mp3</t>
  </si>
  <si>
    <t>20170323/3004063-20170323150003-TNGY0M2E0MjBmY2MxODI0OWRhNTVmY2Q0OTdiMWQyZjU=-01043989718-record-10.10.62.138-1490252403.96142.mp3</t>
  </si>
  <si>
    <t>20170323/3004063-20170323145319-TZjc4ZTM4OWVkMzZjODBiMTBhMzM0YzAxZTdiZDJiM2Y=-01043989718-record-10.10.62.138-1490251999.93523.mp3</t>
  </si>
  <si>
    <t>20170323/3004063-20170323143308-TN2ZkOThhYWYyNTA4OWEyZWFhZWFiMjNmMTc0NWUyNzE=-01043989717-record-10.10.62.138-1490250788.87103.mp3</t>
  </si>
  <si>
    <t>20170323/3004063-20170323143117-TYmM4NTc2MTg5ODBjNzM3MTJiYzNkNDY2YmQ4MTk0Yzk=-01043989718-record-10.10.62.138-1490250677.86572.mp3</t>
  </si>
  <si>
    <t>20170323/3004063-20170323141713-TMjhmNTZjOWIxNGZiMmI4OTM0OTNiNDM4OWJmOWYxYTc=-01043989720-record-10.10.62.138-1490249833.82531.mp3</t>
  </si>
  <si>
    <t>广东/东莞</t>
  </si>
  <si>
    <t>20170323/3004063-20170323141235-TYmNmZWVkZjYyOTY0YTViNjk3YzdjNjNlYWVhNzMwM2Y=-13718091869-record-10.10.62.138-1490249555.81207.mp3</t>
  </si>
  <si>
    <t>20170323/3004063-20170323135441-TZGE3ZjJhNWY4ZTMxNzllY2VmYTIzNWE1NDhhMzllNjE=-01043977568-record-10.10.62.138-1490248481.76305.mp3</t>
  </si>
  <si>
    <t>20170323/3004063-20170323134252-TYmNmZWVkZjYyOTY0YTViNjk3YzdjNjNlYWVhNzMwM2Y=-13611040764-record-10.10.62.138-1490247772.73226.mp3</t>
  </si>
  <si>
    <t>20170323/3004063-20170323133913-TMTk1ZTU5ZjQ4YmRlN2E0YmQyZTVlZjdlMGZiODQ2NmY=-01043977569-record-10.10.62.138-1490247553.72206.mp3</t>
  </si>
  <si>
    <t>20170323/3004063-20170323133544-TZWVkODQxMmY1ZWNmZGY2Y2ZjMTdjZTZkOGYyYmY5OTU=-01043989719-record-10.10.62.138-1490247344.71313.mp3</t>
  </si>
  <si>
    <t>20170323/3004063-20170323133318-TZTMxZDkxYmNlNDE2YThjMWM3NWUzYjMwMDE4ZmJhZjM=-01043977569-record-10.10.62.138-1490247198.70723.mp3</t>
  </si>
  <si>
    <t>20170323/3004063-20170323132640-TOTUxNzM1MTg1ZWE1MTlkNmNjODIzNjVlYzRkOGM0M2I=-01043977568-record-10.10.62.138-1490246800.69247.mp3</t>
  </si>
  <si>
    <t>20170323/3004063-20170323132601-TNDdhMTNlOGY0OWMxMmI2MDg1NzJkZjdhYzcyNTc1Mzg=-01043977569-record-10.10.62.138-1490246761.69125.mp3</t>
  </si>
  <si>
    <t>20170323/3004063-20170323131005-TZDVlYjE5ZTFhYjliOGIwMWU3MDNlNmJkZDAwYzZjMzE=-01043977569-record-10.10.62.138-1490245805.66356.mp3</t>
  </si>
  <si>
    <t>20170323/3004063-20170323130237-TYzkxMWVkYmM1YWE5NWEwODc5ZjY5ZWU4MDVkNDA5OWE=-13718091869-record-10.10.62.138-1490245357.65405.mp3</t>
  </si>
  <si>
    <t>20170323/3004063-20170323124734-TYmM2MzVjMjljMDRjMDYyZDBlM2E4MzEwOTMyZWU4YTA=-01043977566-record-10.10.62.138-1490244454.63895.mp3</t>
  </si>
  <si>
    <t>20170323/3004063-20170323122715-TZGFiOWZmY2QwYWRlMDI4NzJhZDhhMjkyNTcwZjUwZmY=-01043989717-record-10.10.62.138-1490243235.62126.mp3</t>
  </si>
  <si>
    <t>20170323/3004063-20170323120820-TMDE5NzhiOWUzNjhhYmVmZGFkMWZmYTE5NjEwYzRmZGM=-01043977568-record-10.10.62.138-1490242100.59524.mp3</t>
  </si>
  <si>
    <t>20170323/3004063-20170323115656-TZjZkNzc0YTIwNmZkYTBjZWNjZGRjNzc3OWE2YmE4OTI=-01043989718-record-10.10.62.138-1490241416.57199.mp3</t>
  </si>
  <si>
    <t>20170323/3004063-20170323115439-TNzRiZjFlZGNjN2RkNjdiZTA2ZTMxNzNkY2E4Mjc4OGU=-01043977568-record-10.10.62.138-1490241279.56526.mp3</t>
  </si>
  <si>
    <t>20170323/3004063-20170323114646-TMzg3ZWU2NTBkOGM4Y2E0NDY1ZWE5YzQxMjY3M2ExZDA=-01043977569-record-10.10.62.138-1490240806.54116.mp3</t>
  </si>
  <si>
    <t>20170323/3004063-20170323114244-TYTRjYWRjZDhlYmNkYmI2NmQyYzg2N2FmYjQ2MmM0MTg=-13611040764-record-10.10.62.138-1490240564.52803.mp3</t>
  </si>
  <si>
    <t>20170323/3004063-20170323113623-TZWZkOWRlZGNmZTFjNTIxNmY1ZjVmOTViN2U5NTZhODY=-13718091869-record-10.10.62.138-1490240183.50541.mp3</t>
  </si>
  <si>
    <t>20170323/3004063-20170323112013-TNTFjMmI2NjM5NzM0MjFiZmQyMDgwZTdkNDE1NDJlNzc=-01043977569-record-10.10.62.138-1490239213.44745.mp3</t>
  </si>
  <si>
    <t>20170323/3004063-20170323111757-TNWFkODA5NTI0ZGJkMzdmYzg1NTA1ZTU1YzJjMWQ0ZmM=-01043977565-record-10.10.62.138-1490239077.43872.mp3</t>
  </si>
  <si>
    <t>20170323/3004063-20170323110827-TMzdlZDM5YzlkN2Y2NjFiMGRhYTQ0M2NhOTQ1MmY0N2I=-01043977565-record-10.10.62.138-1490238507.40343.mp3</t>
  </si>
  <si>
    <t>20170323/3004063-20170323110156-TOTAyNGE1ZjYzMGRlYWJiODM4NzdlZGQzMGYzMTVkNTY=-01043977565-record-10.10.62.138-1490238116.38003.mp3</t>
  </si>
  <si>
    <t>20170323/3004063-20170323105451-TYTU4NjBmYThmMDYyYmFiNDhiNzBlYjdkMzA2MjBhNTk=-01043977566-record-10.10.62.138-1490237691.35482.mp3</t>
  </si>
  <si>
    <t>20170323/3004063-20170323105210-TOWU3ZWVjODJiYjZhZTY1Njc4MDQyZDdiNDVjOGM5MTA=-01043977565-record-10.10.62.138-1490237530.34463.mp3</t>
  </si>
  <si>
    <t>20170323/3004063-20170323105006-TZmM5ODhiY2ZlNDg1ZDQyZGEzYjA1NGE0OTE1NmIyMmI=-13718091869-record-10.10.62.138-1490237406.33713.mp3</t>
  </si>
  <si>
    <t>20170323/3004063-20170323103546-TYzJlOWIwMDFkNzRmZTJlZmIzZDkxNWE3MzI1ODA2OGM=-01043977569-record-10.10.62.138-1490236546.28553.mp3</t>
  </si>
  <si>
    <t>20170323/3004063-20170323103042-TYTE3Yzc3M2VkOGE1YjljMmI3MjhlZjFkZGU4MjEzY2Y=-01043977565-record-10.10.62.138-1490236242.26976.mp3</t>
  </si>
  <si>
    <t>20170323/3004063-20170323102345-TOTUzM2IwNjFmZDI5NjgzZGIxZDBhZGIxYTMwYTgyZWU=-01043977566-record-10.10.62.138-1490235825.24663.mp3</t>
  </si>
  <si>
    <t>20170323/3004063-20170323101940-TM2NmNjVmYTk4ZWEyNDI3MmNkYzAzMmMzMDFhY2VkMDg=-01043977566-record-10.10.62.138-1490235580.23305.mp3</t>
  </si>
  <si>
    <t>20170323/3004063-20170323100227-TMGJmNmY3OTlmMjUzNzUxMGI5NzFiMDRiMmIzZjdmYmViMmQ4MGM0NDhhMjIyODA4NjZkMzhkNzc5MzU5N2M1Mg==-01043977568-record-10.10.62.138-1490234547.17861.mp3</t>
  </si>
  <si>
    <t>20170323/3004063-20170323095759-TYTRjYWRjZDhlYmNkYmI2NmQyYzg2N2FmYjQ2MmM0MTg=-01043989720-record-10.10.62.138-1490234279.16614.mp3</t>
  </si>
  <si>
    <t>20170323/3004063-20170323094406-TYzMxNzQ2NjFhNThmNWQ5ZGM0MzQzNjJkNTg0YTQ2Mjg=-01043989720-record-10.10.62.138-1490233446.12609.mp3</t>
  </si>
  <si>
    <t>20170323/3004063-20170323093745-TYWI1ZjU4YjJlY2JhYTYzZDk4N2Q4MzIzMzlhOWY4Yjk=-01043977566-record-10.10.62.138-1490233065.11007.mp3</t>
  </si>
  <si>
    <t>20170323/3004063-20170323093444-TNDk1OTcwZmUwOTA1NmRlZDc4ZmRmMTNkZjBjOTgwMTc=-01043977569-record-10.10.62.138-1490232884.10252.mp3</t>
  </si>
  <si>
    <t>20170323/3004063-20170323093349-TODQ2Njk0NDRmZTBlYmI2MDE3NmYzOTMwYzgyZGM1NTY=-01043989718-record-10.10.62.138-1490232829.10031.mp3</t>
  </si>
  <si>
    <t>20170323/3004063-20170323085639-TOTExYmZlMTMzOTQ4ODMwMzYzZGQ4ZDU4YjU5OTZhYWM=-01043977568-record-10.10.62.138-1490230599.3877.mp3</t>
  </si>
  <si>
    <t>20170323/3004063-20170323084820-TNmYzZWMzYjY3Nzk3MTM5Nzg0ODEwY2FkZTkyMGU2NzM=-01043989720-record-10.10.62.138-1490230100.3323.mp3</t>
  </si>
  <si>
    <t>20170323/3004063-20170323084509-TMWFhOGIxMGUzZTg2MTI1M2I5OWI0ZDhlNDRlMGEyNDU=-01043989720-record-10.10.62.138-1490229909.3146.mp3</t>
  </si>
  <si>
    <t>20170323/3004063-20170323083904-TODIyN2JlOWZiMDIxODFmMzZjZTc4YjZkODYyZTcwZGU=-01043977569-record-10.10.62.138-1490229544.2799.mp3</t>
  </si>
  <si>
    <t>20170323/3004063-20170323083429-TOTFhZWMwMWY1ZDFlZDFlOWFhOTU0NDFkNzg2YzYyODk=-01043989717-record-10.10.62.138-1490229269.2568.mp3</t>
  </si>
  <si>
    <t>20170323/3004063-20170323082706-TN2RlMjU2NWNkNWMyZWUxZmJkYzU5NDBjMWIzNzc0OWY=-01043989718-record-10.10.62.138-1490228826.2231.mp3</t>
  </si>
  <si>
    <t>20170323/3004063-20170323082345-TMGM4OTEwNzRhM2YyZjYzYmEzNDI4OTY5ZThjOGY5Y2I=-01043989719-record-10.10.62.138-1490228625.2104.mp3</t>
  </si>
  <si>
    <t>20170323/3004063-20170323081352-TZTI3MzJjZjk3MjE4YTlkNjliNDRjY2QyYmFkMjRmOTg=-01043977568-record-10.10.62.138-1490228032.1731.mp3</t>
  </si>
  <si>
    <t>浙江/嘉兴</t>
  </si>
  <si>
    <t>20170323/3004063-20170323074844-TYjc1MTRkMzVmNjk3MzQzZGQzN2Y1NTJkNzdjMDk5ODc=-10.10.62.138-1490226524.1102.mp3</t>
  </si>
  <si>
    <t>20170322/3004063-20170322214127-TYjc1MTRkMzVmNjk3MzQzZGQzN2Y1NTJkNzdjMDk5ODc=-10.10.62.138-1490190087.196188.mp3</t>
  </si>
  <si>
    <t>20170322/3004063-20170322212026-TYjc1MTRkMzVmNjk3MzQzZGQzN2Y1NTJkNzdjMDk5ODc=-10.10.62.138-1490188826.194539.mp3</t>
  </si>
  <si>
    <t>20170322/3004063-20170322202301-TNjJmODZmNGI3ZDkzZmE5NTIxYzUzZTk2OWZmYmEzMjA=-01043989718-record-10.10.62.138-1490185381.188507.mp3</t>
  </si>
  <si>
    <t>20170322/3004063-20170322202004-TZTE0MWExNzdlMzEyOTJkYjY4YWFjMTNjYzIyNmY1Zjg=-01043977566-record-10.10.62.138-1490185204.188198.mp3</t>
  </si>
  <si>
    <t>20170322/3004063-20170322200144-TYjVhZmQ4ZmRkMGIxMWU1YWU0MmIzY2YxYzE5MmEyZTI=-01043989718-record-10.10.62.138-1490184104.186155.mp3</t>
  </si>
  <si>
    <t>20170322/3004063-20170322192020-TYWVlYWZmYmQ2ZjM1YmMxY2M4MzBjYThlNGIwY2QxMDE=-01043989718-record-10.10.62.138-1490181620.180913.mp3</t>
  </si>
  <si>
    <t>20170322/3004063-20170322191756-TNmJiZDVmNWUzNzE5YzFhN2U1MmYyMDlhMDI4ZjRmYTU=-13718091869-record-10.10.62.138-1490181476.180467.mp3</t>
  </si>
  <si>
    <t>20170322/3004063-20170322185930-TMDRkMTgyMzk3ZTQxNzdiNjdmYzRiY2UyMzY4NWU1MmI=-01043989718-record-10.10.62.138-1490180370.177812.mp3</t>
  </si>
  <si>
    <t>20170322/3004063-20170322185800-TMmIwZTM0YjVjYjU4MDcxYTliMzM1OTEzNDEyOGUwYWY=-01043989719-record-10.10.62.138-1490180280.177586.mp3</t>
  </si>
  <si>
    <t>20170322/3004063-20170322182155-TNjlmMTg0ZTAxYzc1MWI2N2I2NjY5ZjM4Y2NlMDI3MzI=-01043977568-record-10.10.62.138-1490178115.169983.mp3</t>
  </si>
  <si>
    <t>20170322/3004063-20170322181312-TNzk0MzE5ZjhmNmFiYzZkMmNkYTBjYTdjN2RkZjY1MGU=-01043977568-record-10.10.62.138-1490177592.167839.mp3</t>
  </si>
  <si>
    <t>20170322/3004063-20170322180052-TZTg4NTAwMGRhZTViNDk4Nzk0ZTFkYTgyYTdmYjc2OWI=-01043989717-record-10.10.62.138-1490176852.165223.mp3</t>
  </si>
  <si>
    <t>20170322/3004063-20170322175945-TY2QxYTgwM2EzNWJjOGY5ZDI0ZDliM2M0MDkzYmRhNDM=-01043977567-record-10.10.62.138-1490176785.164986.mp3</t>
  </si>
  <si>
    <t>20170322/3004063-20170322175831-TY2Y2OGE3ZTRlYTgwMmM1NTA5NjQ5OWMzMzIxOTk4YTM=-01043977567-record-10.10.62.138-1490176711.164706.mp3</t>
  </si>
  <si>
    <t>20170322/3004063-20170322175607-TY2Y2OGE3ZTRlYTgwMmM1NTA5NjQ5OWMzMzIxOTk4YTM=-01043977567-record-10.10.62.138-1490176567.164139.mp3</t>
  </si>
  <si>
    <t>20170322/3004063-20170322175412-TNjFjMzg2ZDEzYTQyMDBiNzkwOWEwMzE0NjdiOTVmYjg=-01043977567-record-10.10.62.138-1490176452.163669.mp3</t>
  </si>
  <si>
    <t>20170322/3004063-20170322175233-TYzNkOTRhODQ4NDBiMDcwMjIxODlmNTIzODVkNjMyMzE=-01043977567-record-10.10.62.138-1490176353.163229.mp3</t>
  </si>
  <si>
    <t>20170322/3004063-20170322175215-TNjFjMzg2ZDEzYTQyMDBiNzkwOWEwMzE0NjdiOTVmYjg=-01043977567-record-10.10.62.138-1490176335.163174.mp3</t>
  </si>
  <si>
    <t>20170322/3004063-20170322175007-TNjFjMzg2ZDEzYTQyMDBiNzkwOWEwMzE0NjdiOTVmYjg=-01043977567-record-10.10.62.138-1490176207.162715.mp3</t>
  </si>
  <si>
    <t>20170322/3004063-20170322174831-TY2Y2OGE3ZTRlYTgwMmM1NTA5NjQ5OWMzMzIxOTk4YTM=-01043977567-record-10.10.62.138-1490176111.162361.mp3</t>
  </si>
  <si>
    <t>20170322/3004063-20170322174758-TY2U0OWRhOWFkZjBhMjQ3YjhhNjAwODdlNGFjODI3ODU=-01043989717-record-10.10.62.138-1490176078.162230.mp3</t>
  </si>
  <si>
    <t>20170322/3004063-20170322174634-TMGUyNTM4YzY2NWU3MTYzZjcwZjBhMGM4OWYwZTU1Zjg=-01043977569-record-10.10.62.138-1490175994.161961.mp3</t>
  </si>
  <si>
    <t>20170322/3004063-20170322174414-TMWEyYjQwZmE3M2UyZWNlNTgzMzllNDMyNGM1ZDUwMGE=-01043977569-record-10.10.62.138-1490175854.161399.mp3</t>
  </si>
  <si>
    <t>20170322/3004063-20170322174229-TY2Y2OGE3ZTRlYTgwMmM1NTA5NjQ5OWMzMzIxOTk4YTM=-01043977569-record-10.10.62.138-1490175749.160982.mp3</t>
  </si>
  <si>
    <t>20170322/3004063-20170322174212-TMWEyYjQwZmE3M2UyZWNlNTgzMzllNDMyNGM1ZDUwMGE=-01043977569-record-10.10.62.138-1490175732.160888.mp3</t>
  </si>
  <si>
    <t>20170322/3004063-20170322174153-TYzNkOTRhODQ4NDBiMDcwMjIxODlmNTIzODVkNjMyMzE=-01043989717-record-10.10.62.138-1490175713.160808.mp3</t>
  </si>
  <si>
    <t>20170322/3004063-20170322171216-TNWExYTkxNzE5YTdlOTgzZWY1ZDY4ZTNlNzg0ZDZkZDY=-01043989720-record-10.10.62.138-1490173936.151983.mp3</t>
  </si>
  <si>
    <t>20170322/3004063-20170322171045-TNzhiM2ZjMDRjNjdhMjIwYmNjMGM3MzY5ZmY4NTg2ZjU=-01043977568-record-10.10.62.138-1490173845.151363.mp3</t>
  </si>
  <si>
    <t>20170322/3004063-20170322170504-TYzA3YzU2ZDkzOTkzZWRlMjQyNmMxY2Y0NGJmM2E4OTk=-01043977569-record-10.10.62.138-1490173504.149173.mp3</t>
  </si>
  <si>
    <t>20170322/3004063-20170322165606-TMDhhODI3MDUxYjk5MTBlMmRmYTczMTMxZDcwODg2MGU=-01043989720-record-10.10.62.138-1490172966.145560.mp3</t>
  </si>
  <si>
    <t>20170322/3004063-20170322165154-TZDA3Yzk2NTE0MDIxYzA0NzQzNTc2YjQ3ZDkyYTkxZmU=-01043977568-record-10.10.62.138-1490172714.143918.mp3</t>
  </si>
  <si>
    <t>20170322/3004063-20170322164439-TNmQyNzQyODFkNzE0NzQxYjYxOGIwNTMxZDk2YWRiMjg=-01043977567-record-10.10.62.138-1490172279.141014.mp3</t>
  </si>
  <si>
    <t>20170322/3004063-20170322164152-TZjk3MTU5MmYyYzRhNmJmNDNkNDJmMzA3M2E2ODYyM2E=-01043977568-record-10.10.62.138-1490172112.139909.mp3</t>
  </si>
  <si>
    <t>四川/南充</t>
  </si>
  <si>
    <t>20170322/3004063-20170322160226-TYjM5ZjdkMjY0NTg4MmUxZTg0OTE3YWMxOTM5NTljMDk=-01043977569-record-10.10.62.138-1490169746.122359.mp3</t>
  </si>
  <si>
    <t>20170322/3004063-20170322160222-TMTBiYzE1MTliNjg0M2E0NjYzOGYxNzg1NjJjZTUzY2I=-01043989717-record-10.10.62.138-1490169742.122317.mp3</t>
  </si>
  <si>
    <t>20170322/3004063-20170322160012-TZTk4MjI5NDk4OGRiZjk3M2NiMmQ5NjJmOWU3M2YwYzE=-01043977567-record-10.10.62.138-1490169612.121370.mp3</t>
  </si>
  <si>
    <t>20170322/3004063-20170322155514-TMzgzYjE4MDM3ZWNjNjBmZDg1ZDkyNTg0ZDhjOTE3ZDg=-01043977568-record-10.10.62.138-1490169314.119220.mp3</t>
  </si>
  <si>
    <t>20170322/3004063-20170322153148-TOWFiYzU4OGRkOTdmMDFlMDIyNzc0ODUwYTMzNTFhNzE=-01043989720-record-10.10.62.138-1490167908.109316.mp3</t>
  </si>
  <si>
    <t>20170322/3004063-20170322152104-TZWUwMmJhNzc2NWZlZDI4ZmZjNGUyNWZkNzFlZThjZjY=-01043989717-record-10.10.62.138-1490167264.104852.mp3</t>
  </si>
  <si>
    <t>20170322/3004063-20170322151547-TYzhjNDU3NDA3ZDc0OGNiYWFkNDEzZjY0NmVmMzkwMzE=-01043989718-record-10.10.62.138-1490166947.102771.mp3</t>
  </si>
  <si>
    <t>20170322/3004063-20170322151206-TZjQ5NzQ5YWIzYmU2YThhYjIzZWU4MWUyZGMzZmVhZDU=-01043977566-record-10.10.62.138-1490166726.101331.mp3</t>
  </si>
  <si>
    <t>20170322/3004063-20170322150548-TZDE0MmNmODM1MGU5ZmU0NWNjMjkwYjY2OTE2ZWRhNjE=-01043977568-record-10.10.62.138-1490166348.98752.mp3</t>
  </si>
  <si>
    <t>内蒙/锡林郭勒</t>
  </si>
  <si>
    <t>20170322/3004063-20170322145933-TOWQ2ZTJkZjk5ODkwY2JhZmRlOTEwMTQzMWFkOTJkYzE=-01043977569-record-10.10.62.138-1490165973.96121.mp3</t>
  </si>
  <si>
    <t>20170322/3004063-20170322145202-TZjM5Yjc0NzdlZDA3MGRhYjk2Mjk3MGY5ZjRkYzUwNjE=-01000000000-record-10.10.62.138-1490165522.93252.mp3</t>
  </si>
  <si>
    <t>20170322/3004063-20170322145128-TNzA1YTM4NjI2MjdmYzdmNzA5MTlkNTYxOWVlNTljNTM=-01043977565-record-10.10.62.138-1490165488.93032.mp3</t>
  </si>
  <si>
    <t>20170322/3004063-20170322145059-TMDBkMGI4ZDJmZDkwZjVmZTQ2NDdlNWJkY2U5MzA2NGE=-01043977568-record-10.10.62.138-1490165459.92867.mp3</t>
  </si>
  <si>
    <t>20170322/3004063-20170322142014-TOTVkZmVlYTk1OWNiZDg1OTQ0MDJiM2Y1ZmJhZDliYjM=-01043977568-record-10.10.62.138-1490163614.81078.mp3</t>
  </si>
  <si>
    <t>20170322/3004063-20170322140141-TOGI2NDNhMDUxYzJhNjk0ZDZjOGQwMDgwODQ5YjdlODg=-01043977567-record-10.10.62.138-1490162501.74843.mp3</t>
  </si>
  <si>
    <t>20170322/3004063-20170322135842-TZGI5NzcxN2EwOTVlMjlmZDhkMTcyZDNjZWE2OGUyODc=-01043977567-record-10.10.62.138-1490162322.74181.mp3</t>
  </si>
  <si>
    <t>20170322/3004063-20170322135541-TZGY3ODRhZWZmMTNjYzhjYjFmMzNhMWQxMjEzZmM5Njc=-01043989718-record-10.10.62.138-1490162141.73455.mp3</t>
  </si>
  <si>
    <t>20170322/3004063-20170322125326-TNWI2MDJjMmI0ZTQ1YzJmMzliOWM3ZjU3YjYyMDA4NTA=-01043977569-record-10.10.62.138-1490158406.63589.mp3</t>
  </si>
  <si>
    <t>20170322/3004063-20170322124154-TYjE1NzNjNDdjODg0ZjY3OWM3MmM1Yjk5ODZjNzA3MWE=-01043989718-record-10.10.62.138-1490157714.62690.mp3</t>
  </si>
  <si>
    <t>20170322/3004063-20170322120141-TYTdiNWJkZmVlNDA1OTQ2Y2RiZjM4NDc3ZDQzZjdjYWI=-01043977569-record-10.10.62.138-1490155301.57811.mp3</t>
  </si>
  <si>
    <t>20170322/3004063-20170322115302-TN2RlZTQzMGE0MGY5OGQ3NWI0MmJlNTJjNDE3N2JkMzY=-01043977566-record-10.10.62.138-1490154782.55515.mp3</t>
  </si>
  <si>
    <t>20170322/3004063-20170322115024-TZWFhNzEwMGU3ZTRlNDA2MDYyM2M2ZTYwZjFlYWYzNWI=-01043977568-record-10.10.62.138-1490154624.54720.mp3</t>
  </si>
  <si>
    <t>20170322/3004063-20170322114259-TOTY3MzYyOWMxYzZiMWIzYzIxY2M1YWFmMGJiNjk2NmY=-01043977567-record-10.10.62.138-1490154179.52196.mp3</t>
  </si>
  <si>
    <t>20170322/3004063-20170322112909-TZjYyYWQ2ZmYyZGI2OWU2MTBkNTU4MTg1ZWE0YmU4MzI=-01043977568-record-10.10.62.138-1490153349.47476.mp3</t>
  </si>
  <si>
    <t>20170322/3004063-20170322111853-TNmRjMzQ5MWUyMzRlNmExNjRmOTdjMWRjN2Q5NjcwZDI=-01043977568-record-10.10.62.138-1490152733.43969.mp3</t>
  </si>
  <si>
    <t>20170322/3004063-20170322111735-TYzQyNTM0NDYzYzliNDBlYjc3YjA3MzNkMWNlNzdhYjI=-01043989718-record-10.10.62.138-1490152655.43529.mp3</t>
  </si>
  <si>
    <t>20170322/3004063-20170322111225-TYjFlMDkwNGVjMGNhNmEwYmEwNTAzMzM1MmY2YzU4ZmY=-01043977568-record-10.10.62.138-1490152345.41634.mp3</t>
  </si>
  <si>
    <t>20170322/3004063-20170322110447-TYjg0NzdlNzkxYTM1ZjcwM2EwZWMyZWE4YTVjOTkzMzU=-01043977568-record-10.10.62.138-1490151887.38750.mp3</t>
  </si>
  <si>
    <t>20170322/3004063-20170322110103-TZjdlN2NhN2Y4OWVhNjg2ZGJlOTFiZjdjOWVlNjBjMGE=-01043977568-record-10.10.62.138-1490151663.37281.mp3</t>
  </si>
  <si>
    <t>20170322/3004063-20170322105724-TM2JmNjg3YmZhMGUyOWU2Y2JkM2JjOTVlMjM1NDNmMDM=-01043977569-record-10.10.62.138-1490151444.35860.mp3</t>
  </si>
  <si>
    <t>20170322/3004063-20170322105551-TNWY2YmMyOTQ1NDZmNGYxMmVjNzllMWY0MGY2MGJlYWM=-01043977566-record-10.10.62.138-1490151351.35287.mp3</t>
  </si>
  <si>
    <t>20170322/3004063-20170322105139-TZjU3YmE0MzM5Y2UxYWVkYTBkNjFiNDE3MjU1ZjFlMzQ=-01043989718-record-10.10.62.138-1490151099.33772.mp3</t>
  </si>
  <si>
    <t>青海/海东州</t>
  </si>
  <si>
    <t>20170322/3004063-20170322104507-TZGMxNzFlNDFjMmQxNjE1MDJhNGZmMzhhMGU4NDlmMWY=-01043989717-record-10.10.62.138-1490150707.31529.mp3</t>
  </si>
  <si>
    <t>20170322/3004063-20170322103858-TZjU2ZmQyZmY5MzQxYmExMTdlNjAyOGVkZDE1NmVhNmY=-01043977565-record-10.10.62.138-1490150338.29348.mp3</t>
  </si>
  <si>
    <t>20170322/3004063-20170322103027-TMzZmN2MyNjY2ODgwZWViNDhmM2Y2ODY5NTEyMDAzNzQ=-01043989717-record-10.10.62.138-1490149827.26253.mp3</t>
  </si>
  <si>
    <t>20170322/3004063-20170322102015-TMmI5MWUyYTI2MTg1ZTcxODg3MDkxMTU3N2ExZTEzODQ=-01043977565-record-10.10.62.138-1490149215.23091.mp3</t>
  </si>
  <si>
    <t>20170322/3004063-20170322101203-TMmJiMWNiZGY1ZTM0NzNlY2FkYzgwYTg5MDc1NjA0MTA=-01043989718-record-10.10.62.138-1490148723.20520.mp3</t>
  </si>
  <si>
    <t>20170322/3004063-20170322095734-TNTZkMDRjNDA2YTMzNjdlYjJmY2NiOTNiMGQ5YWVmYWQ=-01043977565-record-10.10.62.138-1490147854.16441.mp3</t>
  </si>
  <si>
    <t>江西/九江</t>
  </si>
  <si>
    <t>20170322/3004063-20170322095356-TZTY3ZWE0ZGY1ZmVkYjlkNjViZGNlMmFjYjIwMWQzNTU=-01043977566-record-10.10.62.138-1490147636.15508.mp3</t>
  </si>
  <si>
    <t>20170322/3004063-20170322095142-TMmU0NzQxY2M5OTQ3MTgzMGQyNGJhOTlkNmE3MTU4ZDM=-01043989717-record-10.10.62.138-1490147502.14874.mp3</t>
  </si>
  <si>
    <t>20170322/3004063-20170322095105-TOGVjYTZkZmM1NGRkYzUyNWRhMGU3Y2IxZTU4ZmE5YWY=-01043989720-record-10.10.62.138-1490147465.14688.mp3</t>
  </si>
  <si>
    <t>20170322/3004063-20170322094908-TOGVjYTZkZmM1NGRkYzUyNWRhMGU3Y2IxZTU4ZmE5YWY=-01043989720-record-10.10.62.138-1490147348.14238.mp3</t>
  </si>
  <si>
    <t>20170322/3004063-20170322093557-TODAxN2VkNmJlZjFlYjhiNDViNDJjODI1NmQyYjZlNzU=-01043977565-record-10.10.62.138-1490146557.10853.mp3</t>
  </si>
  <si>
    <t>20170322/3004063-20170322093245-TMjJmMGQ1NDA2MjcxNzViYTM2ZDZlZDFlNDNiMDAzOTY=-01043977568-record-10.10.62.138-1490146365.10073.mp3</t>
  </si>
  <si>
    <t>20170322/3004063-20170322092537-TZjQ0MjRjNmY3OGZhMTM3MTA3ZmY1ZTg4N2FkYjZiNDQ=-01043977569-record-10.10.62.138-1490145937.8510.mp3</t>
  </si>
  <si>
    <t>20170322/3004063-20170322092537-TMmRjNmE5NzZjMTcwNmEyMDIwMzNjZDExOGNjODNiOWU=-01043977566-record-10.10.62.138-1490145937.8509.mp3</t>
  </si>
  <si>
    <t>20170322/3004063-20170322091818-TNmNlMTk0NjU4Y2Y5MTg2MWI2MDk4ZjdkNDZjMTJhMTY=-01043989718-record-10.10.62.138-1490145498.6977.mp3</t>
  </si>
  <si>
    <t>20170322/3004063-20170322085959-TNWVmZTY5YTA4ZjZjOGY0ZTdkOTAwNGQ2ZjZkOWNiZDM=-01043989717-record-10.10.62.138-1490144399.3904.mp3</t>
  </si>
  <si>
    <t>20170322/3004063-20170322085904-TZjkzNGI5ZGQ1MjZiMzEwZmFmMmQwOWRkZWRiMTExMGU=-01043989720-record-10.10.62.138-1490144344.3825.mp3</t>
  </si>
  <si>
    <t>吉林/通化</t>
  </si>
  <si>
    <t>20170322/3004063-20170322085459-TZDFmMmJkZmIxOTdkOWMyNTdkYmVmNDA2NWFiMjc0OWU=-01043977566-record-10.10.62.138-1490144099.3501.mp3</t>
  </si>
  <si>
    <t>20170322/3004063-20170322085437-TZjBlZmFjOGMxZGVmNDQwMTczY2Q0OTJjOTZiZGQwYmQ=-01043977565-record-10.10.62.138-1490144077.3469.mp3</t>
  </si>
  <si>
    <t>20170322/3004063-20170322084756-TZjhlMWYwOTI1MmY4OWFjMTdiZmIwZWE2NjE2ZjUwZjM=-01043977565-record-10.10.62.138-1490143676.3033.mp3</t>
  </si>
  <si>
    <t>吉林/四平</t>
  </si>
  <si>
    <t>20170322/3004063-20170322084549-TYzU5ODk2NTJkM2Y3ZDNkYzU1NTU0MDJlYTE1NDFmYmY=-01043977568-record-10.10.62.138-1490143549.2890.mp3</t>
  </si>
  <si>
    <t>20170322/3004063-20170322084148-TN2M5NGU5NmY3YjM2N2M1NDM1YWM3MmU2ZmUxYmVjMTc=-01043977567-record-10.10.62.138-1490143308.2670.mp3</t>
  </si>
  <si>
    <t>20170322/3004063-20170322084126-TM2MzMDA5ZDM0ZDdjOWY5NGI3NjNkNzRiODVmMmE3ZGU=-01043989720-record-10.10.62.138-1490143286.2655.mp3</t>
  </si>
  <si>
    <t>20170322/3004063-20170322083620-TZTdlZWI4N2VhMTI0ZjE5Y2I4ZWNjNmE3NmY4OGE0MGE=-01043977567-record-10.10.62.138-1490142980.2378.mp3</t>
  </si>
  <si>
    <t>20170322/3004063-20170322081255-TZTVhOGJkNDQzYWJkM2QxZjgwNDRiMTEwZWY4NTc5MWI=-01043977566-record-10.10.62.138-1490141575.1402.mp3</t>
  </si>
  <si>
    <t>20170322/3004063-20170322081106-TMzMzNjQxYjFmMTUzNzlkZTY5YTQ1MjZmZjA0Njg3ZDE=-01043989718-record-10.10.62.138-1490141466.1355.mp3</t>
  </si>
  <si>
    <t>20170321/3004063-20170321204331-TZjg4NDQ4YWRmMjc0NjUyNzljMDA2MmVhOThmNWVlNDc=-01043989720-record-10.10.62.138-1490100211.197529.mp3</t>
  </si>
  <si>
    <t>20170321/3004063-20170321202713-TMWVlZTEyODJjOTFiM2NlYTE3MjNlZjEzYmRlMGVlNWM=-01043989717-record-10.10.62.138-1490099233.195358.mp3</t>
  </si>
  <si>
    <t>新疆/巴音郭楞</t>
  </si>
  <si>
    <t>20170321/3004063-20170321201717-TMDZjN2JmMjBlZmRlYTRmZWJhNWEzNTY0ZTAyZjdkNjM=-01043989720-record-10.10.62.138-1490098637.193872.mp3</t>
  </si>
  <si>
    <t>20170321/3004063-20170321200310-TMGY1ODgwZTA0N2EyMGJiN2U3OTg2MWM4NTRmYTM5OTc=-01043989717-record-10.10.62.138-1490097790.191531.mp3</t>
  </si>
  <si>
    <t>20170321/3004063-20170321195959-TM2MwMmRkOGUwOTk5MTU0MGE3N2M5M2QzZWRjZmJjOTI=-01043989720-record-10.10.62.138-1490097599.190939.mp3</t>
  </si>
  <si>
    <t>20170321/3004063-20170321185427-TNGE5NDViZTQzM2MzMzY4NWI4NGZmNGRkNzBlZTUwNGY=-01043977568-record-10.10.62.138-1490093667.178340.mp3</t>
  </si>
  <si>
    <t>20170321/3004063-20170321184805-TNWY5MDk2NjQzMjFlNzMzMGJhYmI3MjgyYTM3ODRiZWY=-01043989717-record-10.10.62.138-1490093285.177029.mp3</t>
  </si>
  <si>
    <t>20170321/3004063-20170321184606-TYWY2ZjMxODdhMDkyOTk1NzU3ZTNmNDk4MjhkNTU2N2Y=-01043989718-record-10.10.62.138-1490093166.176606.mp3</t>
  </si>
  <si>
    <t>20170321/3004063-20170321184318-TMDhiYWIzMTU0YzRiMjQ5ZWZhZTE5OTRkNmM3ZmY5Y2Q=-01043977568-record-10.10.62.138-1490092998.176043.mp3</t>
  </si>
  <si>
    <t>20170321/3004063-20170321183315-TYmI2YzljNjllZTYxYzM5YTRjZTgwM2RiNjFlNWI0Yzg=-01043977568-record-10.10.62.138-1490092395.174064.mp3</t>
  </si>
  <si>
    <t>20170321/3004063-20170321175835-TNzI5ZTIzMWJlZTc1M2ZjMjYzNzFhYmJiNjRkMTA5Zjc=-01043977568-record-10.10.62.138-1490090315.165785.mp3</t>
  </si>
  <si>
    <t>20170321/3004063-20170321175126-TNDE2YzBiNTExYjdiOTIyMDU4NmQwZTRiZWZiZTYzMzg=-01043989718-record-10.10.62.138-1490089886.164063.mp3</t>
  </si>
  <si>
    <t>20170321/3004063-20170321174844-TMmFjZWY2ZmUwMmY2YjlhMDhjYTRmM2I1Njk2NjBiMDQ=-01043977568-record-10.10.62.138-1490089724.163378.mp3</t>
  </si>
  <si>
    <t>20170321/3004063-20170321173920-TMDRkMTgyMzk3ZTQxNzdiNjdmYzRiY2UyMzY4NWU1MmI=-01043989718-record-10.10.62.138-1490089160.161146.mp3</t>
  </si>
  <si>
    <t>20170321/3004063-20170321172608-TNTFkMTU5MDYyMzg0NDMzNzZlY2ZiNDcyMzFlYmE4OWM=-01043977566-record-10.10.62.138-1490088368.158063.mp3</t>
  </si>
  <si>
    <t>20170321/3004063-20170321172230-TNzE5M2JjZWFiMjliNDZmY2M5ZWZjMDY4ZmJhMmNjYWY=-01043977565-record-10.10.62.138-1490088150.156933.mp3</t>
  </si>
  <si>
    <t>20170321/3004063-20170321172150-TNjExNzkzYTFmNjQ3MWNiNWFlYmM0MzE2N2YwZDkyMWI=-01043989718-record-10.10.62.138-1490088110.156708.mp3</t>
  </si>
  <si>
    <t>20170321/3004063-20170321171029-TMGU4MGE5NjVkNzI4NGRkN2FkNzhhZDYyZmUzZjI1N2E=-01043989717-record-10.10.62.138-1490087429.152390.mp3</t>
  </si>
  <si>
    <t>20170321/3004063-20170321170947-TYzU1YTRkZTUwMGQ4NjRlNDZhMDMxZjMzZjRjN2ViMmI=-01043989718-record-10.10.62.138-1490087387.152171.mp3</t>
  </si>
  <si>
    <t>20170321/3004063-20170321165945-TZWQ2ZTJmMDZiZGE0Y2NmZmZiMmVjMGY1Zjk3N2IzY2M=-01043977568-record-10.10.62.138-1490086785.148381.mp3</t>
  </si>
  <si>
    <t>20170321/3004063-20170321162406-TZTAzZmFlN2IzYWFmZTE2ODEzNzQ2ZjFlNmVlYmNjOTc=-01043989718-record-10.10.62.138-1490084646.133595.mp3</t>
  </si>
  <si>
    <t>20170321/3004063-20170321160026-TNzAxYjg3ZWFjMjMyNjYwZDdmMmQzOTBjMTZhZDFiNGE=-01043977567-record-10.10.62.138-1490083226.123052.mp3</t>
  </si>
  <si>
    <t>20170321/3004063-20170321153706-TOTY4YzY0YjEyNmU1M2UwYzk5YzhkOGYzNTk3MjljZDQ=-01043977568-record-10.10.62.138-1490081826.113850.mp3</t>
  </si>
  <si>
    <t>20170321/3004063-20170321152641-TZDg4MmY5NjU3YzhlZmMyNTgzODhiNDZjZDk5MGNiZjA=-01043977569-record-10.10.62.138-1490081201.109640.mp3</t>
  </si>
  <si>
    <t>20170321/3004063-20170321152250-TYWM2MzZkYTQ3YjZhMzk4NGJlNzAyNDM5ZTAxY2JkYmY=-01043977568-record-10.10.62.138-1490080970.108078.mp3</t>
  </si>
  <si>
    <t>20170321/3004063-20170321151541-TMjFmNzdjOTRiM2FkMDk5Zjk4NmQ2MWVkOGEwNjNlNjI=-01043977568-record-10.10.62.138-1490080541.105295.mp3</t>
  </si>
  <si>
    <t>20170321/3004063-20170321150615-TMjFmNzdjOTRiM2FkMDk5Zjk4NmQ2MWVkOGEwNjNlNjI=-01043977566-record-10.10.62.138-1490079975.101494.mp3</t>
  </si>
  <si>
    <t>20170321/3004063-20170321150329-TY2U3ZjhkMGJiZDRmNzEyZDg5OWM0ZGE0ZmUwOWFhMmE=-01043989718-record-10.10.62.138-1490079809.100451.mp3</t>
  </si>
  <si>
    <t>20170321/3004063-20170321145442-TNjU1M2EyYjYzMzQ4ZGVjNjJhMGVjZDdmNWI1OWQyOTk=-01043977566-record-10.10.62.138-1490079282.97000.mp3</t>
  </si>
  <si>
    <t>20170321/3004063-20170321145218-TOGQzOWJhYjk0NDYwYzIyNDhhOGRhMTgzZTZjZDRjNzY=-01043989717-record-10.10.62.138-1490079138.96121.mp3</t>
  </si>
  <si>
    <t>20170321/3004063-20170321143440-TNjNmMTUxMjJjNDllZmU5ZmQzNjg4OTQxYTJjZDJjMDQ=-01043989718-record-10.10.62.138-1490078080.89357.mp3</t>
  </si>
  <si>
    <t>20170321/3004063-20170321143335-TODRlOGY4ZTM5Nzk5YzI2OTllNjAzOThiYzlmMjQ2ODA=-01043977566-record-10.10.62.138-1490078015.88924.mp3</t>
  </si>
  <si>
    <t>20170321/3004063-20170321143101-TZDg5OWJiMjA3YjVkZmY3OTM5NzRkOTM0ZGQ0ZWUzNjE=-01043977569-record-10.10.62.138-1490077861.87907.mp3</t>
  </si>
  <si>
    <t>20170321/3004063-20170321141839-TNzljNTFmNGI0Y2MwMDUyODlkMDhkZWRjOGY3ZDU3MzQ=-01043977566-record-10.10.62.138-1490077119.83329.mp3</t>
  </si>
  <si>
    <t>20170321/3004063-20170321141538-TOWRiZDdlN2M3OWVkZGIyMGI1MTQyMzBjMjllMjIzNzU=-01043989717-record-10.10.62.138-1490076938.82272.mp3</t>
  </si>
  <si>
    <t>20170321/3004063-20170321141220-TOTAyYmZjNjI3NWM3MWI1N2U4YjBmY2ZmZjIwNTA0MjA=-01043977567-record-10.10.62.138-1490076740.81082.mp3</t>
  </si>
  <si>
    <t>20170321/3004063-20170321140608-TOWRiZDdlN2M3OWVkZGIyMGI1MTQyMzBjMjllMjIzNzU=-01043977567-record-10.10.62.138-1490076368.78937.mp3</t>
  </si>
  <si>
    <t>20170321/3004063-20170321135519-TN2Q5OTQ0ZTcyM2Q0NDM2YWUyOTNiYWU0OWM1NWU0NjQ=-01043989719-record-10.10.62.138-1490075719.75413.mp3</t>
  </si>
  <si>
    <t>安徽/淮南</t>
  </si>
  <si>
    <t>20170321/3004063-20170321133624-TYmI3MmE5YjM1MDYxNjFjYWYwMTlhZjZmNWZiNDIyODE=-01043989719-record-10.10.62.138-1490074584.69939.mp3</t>
  </si>
  <si>
    <t>20170321/3004063-20170321132322-TMzhhZWQ1NGUzNWRiNTIzMmQ4ODlhNmU4MTg5ZDUzNjY=-01043989720-record-10.10.62.138-1490073802.67352.mp3</t>
  </si>
  <si>
    <t>20170321/3004063-20170321131858-TY2NiYTBiYmUxMmRhY2NiNTFkMjFiMzQzOTkzN2EwOGY=-01043989720-record-10.10.62.138-1490073538.66629.mp3</t>
  </si>
  <si>
    <t>20170321/3004063-20170321130356-TM2M1ZTBiMjczM2QwZmMzZDQ1NTQ0OWIyOGE1OGFmNmI=-01043989719-record-10.10.62.138-1490072636.64801.mp3</t>
  </si>
  <si>
    <t>20170321/3004063-20170321122441-TMDY0NTg3MDUxMjBhYTM2ZjU4YzY5YWQ0Yjg5N2QyY2Y=-01043989717-record-10.10.62.138-1490070281.61112.mp3</t>
  </si>
  <si>
    <t>20170321/3004063-20170321114233-TNDIwYTdhOGFlOTMxNDUyNDI4N2IxNDZiZjY3ZTE3YzM=-01043989717-record-10.10.62.138-1490067753.52503.mp3</t>
  </si>
  <si>
    <t>新疆/克拉玛依</t>
  </si>
  <si>
    <t>20170321/3004063-20170321113844-TZjRhNTUwNTAxOWE0MWJiYThiYTYxNTNhYzVjOWJhOWQ=-01043989718-record-10.10.62.138-1490067524.51264.mp3</t>
  </si>
  <si>
    <t>20170321/3004063-20170321110609-TMDA3MTQ4Y2UxMTcwNGRmMWFmZDZmOGQxZDk3ZmNiODE=-01043977569-record-10.10.62.138-1490065569.39760.mp3</t>
  </si>
  <si>
    <t>20170321/3004063-20170321110001-TNGZjOGRlYTU0NjlkMzdjYjE5OGY5NTQxMDM5MzZiYzc=-01043977567-record-10.10.62.138-1490065201.37552.mp3</t>
  </si>
  <si>
    <t>20170321/3004063-20170321105744-TMTQyMDAyYzQzM2M1YzgyMzFlYWU2OThiNTdiOWY5ODk=-01043977568-record-10.10.62.138-1490065064.36642.mp3</t>
  </si>
  <si>
    <t>20170321/3004063-20170321105201-TNGZjOGRlYTU0NjlkMzdjYjE5OGY5NTQxMDM5MzZiYzc=-01043977567-record-10.10.62.138-1490064721.34623.mp3</t>
  </si>
  <si>
    <t>20170321/3004063-20170321104329-TNjMwYzNiZDU1Njg1MmI3NjFkODkxOWM3MTI3YzczYTQ=-01043989718-record-10.10.62.138-1490064209.31776.mp3</t>
  </si>
  <si>
    <t>20170321/3004063-20170321104044-TNDIwYTdhOGFlOTMxNDUyNDI4N2IxNDZiZjY3ZTE3YzM=-01043977565-record-10.10.62.138-1490064044.30840.mp3</t>
  </si>
  <si>
    <t>20170321/3004063-20170321103848-TOWYyOGUwNjFjMTEyOTc4NDkwNjhiMGFiMTYyYjU1YWM=-01043977566-record-10.10.62.138-1490063928.30157.mp3</t>
  </si>
  <si>
    <t>20170321/3004063-20170321103823-TODEzZGQ3ZGZjNTliZDgwMGJlMmE5NGFiZDYyZmY3OTU=-01043989717-record-10.10.62.138-1490063903.30017.mp3</t>
  </si>
  <si>
    <t>20170321/3004063-20170321103321-TZDIwNmEzMDUwNDg3ZDk4MmJlNWQxZGUwODc1YjI4ZmM=-01043989718-record-10.10.62.138-1490063601.28232.mp3</t>
  </si>
  <si>
    <t>20170321/3004063-20170321100831-TNmMzN2RlZjM2ZmUxZjM3NmNjNDIzMmIxZDg5NzhhMTc=-01043977568-record-10.10.62.138-1490062111.20543.mp3</t>
  </si>
  <si>
    <t>20170321/3004063-20170321095205-TZTE5NTlhMzY2MTRkZTU4NTQwODA3OWQ3NTYwNzIwODk=-01043989718-record-10.10.62.138-1490061125.15685.mp3</t>
  </si>
  <si>
    <t>20170321/3004063-20170321095125-TN2M3YjM5YWEyZjZlODRmMGZmMjM4YjQ0N2QxNDY1NTc=-01043989717-record-10.10.62.138-1490061085.15510.mp3</t>
  </si>
  <si>
    <t>20170321/3004063-20170321094923-TZDM3YThjMjI3YjI3ZjBkYjA2YTM3MmQ0YzY1MjNmZWM=-01043977569-record-10.10.62.138-1490060963.14946.mp3</t>
  </si>
  <si>
    <t>20170321/3004063-20170321094817-TMzAyMmMwZjY1NDAzNzA1M2I5OTI4YmI2Y2Y4MjM4MGU=-01043977566-record-10.10.62.138-1490060897.14652.mp3</t>
  </si>
  <si>
    <t>20170321/3004063-20170321094133-TNGMwNGFiYWQxNjgyODk0YmIyZDcwMTI1YWQwZDI4NDc=-01043977565-record-10.10.62.138-1490060493.12946.mp3</t>
  </si>
  <si>
    <t>20170321/3004063-20170321094040-TNmNmMzdkZmFkMzgyZDhkOTRmMTU1MWJlMDAxNDdlN2U=-01043977568-record-10.10.62.138-1490060440.12739.mp3</t>
  </si>
  <si>
    <t>20170321/3004063-20170321092442-TNDJjMDZmNWExZDFkNjcxNzk0N2NlNjk2ZTQ5YjJkNzA=-01043977565-record-10.10.62.138-1490059482.8855.mp3</t>
  </si>
  <si>
    <t>20170321/3004063-20170321092422-TMGIyNmZkYzgxNDFmNjY1NjQzNzU4OTg2MDg3ZTRhYTE=-01043977567-record-10.10.62.138-1490059462.8781.mp3</t>
  </si>
  <si>
    <t>20170321/3004063-20170321091855-TOGFlYjA1MzJiOWJmMDI0MWVhYzUwODA0ZWJlOWVhOWM=-01043977569-record-10.10.62.138-1490059135.7597.mp3</t>
  </si>
  <si>
    <t>20170321/3004063-20170321091645-TODRkMTdkZjQyZWRkMTJkYThlNTM2ZDE1ODE5MzNkZWE=-01043989719-record-10.10.62.138-1490059005.7138.mp3</t>
  </si>
  <si>
    <t>20170321/3004063-20170321090929-TMmQ0NGMzNzM0YmI4ZDE5YTMzYjhjODE1M2I1OTk1NjE=-01043989718-record-10.10.62.138-1490058569.5719.mp3</t>
  </si>
  <si>
    <t>20170321/3004063-20170321085258-TNzY1MzM0NjcxM2Q0YzNmMTdiMTAyNmNjOTZlMmY4MjA=-01043989717-record-10.10.62.138-1490057578.3571.mp3</t>
  </si>
  <si>
    <t>20170321/3004063-20170321085239-TNTkyYjA4MDFmZTk0NTI4YzRiYzQxZDcyNTZhMmQwY2Y=-01043977569-record-10.10.62.138-1490057559.3554.mp3</t>
  </si>
  <si>
    <t>20170321/3004063-20170321084856-TODRlZTY4MDk0NzRiNzg4N2FiNzAxNmVkMmJmZGYwMjQ=-01043989718-record-10.10.62.138-1490057336.3288.mp3</t>
  </si>
  <si>
    <t>20170321/3004063-20170321084631-TZGE5N2U1Zjk1NWFkNzZlOGU4NGNhYzMwNWJhMWE2ODg=-01043989718-record-10.10.62.138-1490057191.3106.mp3</t>
  </si>
  <si>
    <t>20170321/3004063-20170321084540-TZTUxMzY5MzViYmY2N2ZhYTgxYmQ2YmY2ZTBlZDBlMzc=-01043977565-record-10.10.62.138-1490057140.3057.mp3</t>
  </si>
  <si>
    <t>20170321/3004063-20170321082608-TZTNjMjZjZmVlYjI2NDkyZjIyNWNkNzUzMWMyOWM1MWM=-01043977565-record-10.10.62.138-1490055968.2054.mp3</t>
  </si>
  <si>
    <t>20170321/3004063-20170321082054-TNzk3ZDRkMTc5YTU4YTcyNDJiMTViMDgzNTY4YWJkMGY=-01043989719-record-10.10.62.138-1490055654.1817.mp3</t>
  </si>
  <si>
    <t>20170321/3004063-20170321082036-TMDRlOWNiOTQ1M2YyNzU1ZTY1OTAzNTI0YzRmNGE3Zjg=-01043977567-record-10.10.62.138-1490055636.1799.mp3</t>
  </si>
  <si>
    <t>20170321/3004063-20170321081548-TMjI4Y2Q5MjQxMzY5NjJhZTZiZjgwOWIxYjYyNzYzNmM=-01043989719-record-10.10.62.138-1490055348.1649.mp3</t>
  </si>
  <si>
    <t>20170321/3004063-20170321081147-TYTE0ZWM2N2Q0NjNlNWRkZWZjOWRmOGY0NTliMTFiZTU=-01043989720-record-10.10.62.138-1490055107.1522.mp3</t>
  </si>
  <si>
    <t>20170320/3004063-20170320202455-TY2MwNWYyNjFiNDU5ODU4NzYxOTAxZGY2MjM1ODJjMjQ=-01043977568-record-10.10.62.138-1490012695.180215.mp3</t>
  </si>
  <si>
    <t>20170320/3004063-20170320201650-TNTM4MWM4YTI0OGQzMjE0NDlkYWEwYTc5ZjVlMjhhY2Y=-01043977568-record-10.10.62.138-1490012210.178918.mp3</t>
  </si>
  <si>
    <t>20170320/3004063-20170320201042-TNzNmNDQxMDhmZTIwYTk1NmZmM2Q2MzdiODIyYzI0NDk=-01043977565-record-10.10.62.138-1490011842.177930.mp3</t>
  </si>
  <si>
    <t>20170320/3004063-20170320192223-TMDUyM2EyY2JjMDE1MmMzZTBlNzg2MzAzODk3NjZhMWY=-01043977568-record-10.10.62.138-1490008943.169856.mp3</t>
  </si>
  <si>
    <t>20170320/3004063-20170320185758-TMzc3ZmJiZjY1Y2U3MzcwNTk4MmE2MGRkNDU5YWJiZTQ=-01043977568-record-10.10.62.138-1490007478.165788.mp3</t>
  </si>
  <si>
    <t>20170320/3004063-20170320185322-TZjkyYzIyZDViNGQ1YzdhOTFmYzcxNjkxMDY5ODM5YTQ=-01043989718-record-10.10.62.138-1490007202.165035.mp3</t>
  </si>
  <si>
    <t>20170320/3004063-20170320185315-TZDY4ZjAzZjY0MmY1ZTA2MGE3M2MxNzUxOWMwNWUxMzM=-01043977568-record-10.10.62.138-1490007195.165000.mp3</t>
  </si>
  <si>
    <t>20170320/3004063-20170320182859-TYzg4ODYwNWQ4MzdhYzBjNDE1ZWM2YmQ0YjUxN2Y1NjU=-01043989718-record-10.10.62.138-1490005739.160887.mp3</t>
  </si>
  <si>
    <t>山东/威海</t>
  </si>
  <si>
    <t>20170320/3004063-20170320181846-TMDg4NGZkZDE1Mzg3NTVhZTI0ZTc5ZTI0NTMxYzZhNWQ=-01043977568-record-10.10.62.138-1490005126.158939.mp3</t>
  </si>
  <si>
    <t>20170320/3004063-20170320180909-TN2RlZTQzMGE0MGY5OGQ3NWI0MmJlNTJjNDE3N2JkMzY=-01043977568-record-10.10.62.138-1490004549.157097.mp3</t>
  </si>
  <si>
    <t>20170320/3004063-20170320175207-TNjYzNTAxNTg4Nzg5ZTg3NTVlNTlmM2NhNzdkY2M0Zjg=-01043977568-record-10.10.62.138-1490003527.154329.mp3</t>
  </si>
  <si>
    <t>20170320/3004063-20170320174240-TZDIwNmEzMDUwNDg3ZDk4MmJlNWQxZGUwODc1YjI4ZmM=-01043989718-record-10.10.62.138-1490002960.152862.mp3</t>
  </si>
  <si>
    <t>20170320/3004063-20170320173731-TZjk4MDk3MGI0YWI1MWFiYTNhMTdkMjVjYjdmYTk2OGE=-01043977565-record-10.10.62.138-1490002651.151961.mp3</t>
  </si>
  <si>
    <t>20170320/3004063-20170320173504-TNDk0OWZiZDhlNzRkYWVhZjNhYjhkY2UwZGM1NGM1NTA=-01043977568-record-10.10.62.138-1490002504.151592.mp3</t>
  </si>
  <si>
    <t>20170320/3004063-20170320172649-TZTE3YWI5YWNkNjAxOTAwYWExMWJhMTliYjc3NzNjZTM=-01043977566-record-10.10.62.138-1490002009.149963.mp3</t>
  </si>
  <si>
    <t>20170320/3004063-20170320172315-TYWVkYTMzYzQwMzkwYjA3ZjkzMzY5ODgxYTM1NGRlNDdiMmQ4MGM0NDhhMjIyODA4NjZkMzhkNzc5MzU5N2M1Mg==-01043977565-record-10.10.62.138-1490001795.148959.mp3</t>
  </si>
  <si>
    <t>20170320/3004063-20170320172313-TMmM1NzkxY2M0ZDZiODdjMTQyZjcxZTRmNzdiM2E0ZmM=-01043977567-record-10.10.62.138-1490001793.148947.mp3</t>
  </si>
  <si>
    <t>20170320/3004063-20170320171949-TMTgyMjRhYzM5MTAwYzhhMDBkMDFiZDYxN2I4YTY2ZTA=-01043989718-record-10.10.62.138-1490001589.147897.mp3</t>
  </si>
  <si>
    <t>20170320/3004063-20170320171655-TNjg3NDU3ZWU3OWVlODBjYjdiODk4MGRhMzY0OGJjMGM=-01043977567-record-10.10.62.138-1490001415.146983.mp3</t>
  </si>
  <si>
    <t>20170320/3004063-20170320170222-TZmNkNDJkMGEzMWIxYWI2ZWQwNDU3NTI2NTM5YTE5YzA=-01043977568-record-10.10.62.138-1490000542.142366.mp3</t>
  </si>
  <si>
    <t>20170320/3004063-20170320170021-TNDEwYWM4N2E0YzkxNGExOWJhMGY5M2RhMjI5MTI3NTE=-01043989720-record-10.10.62.138-1490000421.141721.mp3</t>
  </si>
  <si>
    <t>20170320/3004063-20170320165649-TMDJiZmFiODhiZmI1NzQ1Zjg5ODE2NjU1ZDk5ZWI5NTc=-01043977565-record-10.10.62.138-1490000209.140580.mp3</t>
  </si>
  <si>
    <t>20170320/3004063-20170320165614-TN2U0ODYzYTY5MmUyZWNhZWYzZDRlMjZiZWFjNDQxYjY=-01043977568-record-10.10.62.138-1490000174.140424.mp3</t>
  </si>
  <si>
    <t>20170320/3004063-20170320165023-TNDEwYWM4N2E0YzkxNGExOWJhMGY5M2RhMjI5MTI3NTE=-01043977567-record-10.10.62.138-1489999823.138497.mp3</t>
  </si>
  <si>
    <t>20170320/3004063-20170320164640-TNGJjZjA5OWI4YjliZjEzYjNmYTU4NDU2MjlkNTIxZTI=-01043977566-record-10.10.62.138-1489999600.137144.mp3</t>
  </si>
  <si>
    <t>20170320/3004063-20170320164507-TMjAxYmJkOTkxZWVjNDk2MDNmM2EzZDM3ODQ0MzRhNjM=-01043989717-record-10.10.62.138-1489999507.136513.mp3</t>
  </si>
  <si>
    <t>辽宁/丹东</t>
  </si>
  <si>
    <t>20170320/3004063-20170320164425-TODYyNGE4MmUwZTUyZjFlOWViMzFhZDc3YjFhYWJhYjM=-01043989720-record-10.10.62.138-1489999465.136241.mp3</t>
  </si>
  <si>
    <t>20170320/3004063-20170320162625-TZDZjNGVlOWIwNWFjMTkxZTIyYjcxYmZmZTJiZTc1NzE=-01043977565-record-10.10.62.138-1489998385.129474.mp3</t>
  </si>
  <si>
    <t>20170320/3004063-20170320162620-TMzJmYTE1OWIzNmRlOTcxYTExMDk2MTk2ZGFlNmViNGQ=-01043989720-record-10.10.62.138-1489998380.129445.mp3</t>
  </si>
  <si>
    <t>20170320/3004063-20170320162353-TZDZjNGVlOWIwNWFjMTkxZTIyYjcxYmZmZTJiZTc1NzE=-01043977565-record-10.10.62.138-1489998233.128472.mp3</t>
  </si>
  <si>
    <t>20170320/3004063-20170320162131-TNTU4ODBjZjkwNDdjN2FkYWY4YjcyZWJjNGYxYmI2ZWQ=-01043977568-record-10.10.62.138-1489998091.127615.mp3</t>
  </si>
  <si>
    <t>20170320/3004063-20170320161418-TZDVhNDcyNjRiYjQ1NDY0Y2I3MjVkMTY4ZmI4NGM5ZWM=-01043977568-record-10.10.62.138-1489997658.124873.mp3</t>
  </si>
  <si>
    <t>20170320/3004063-20170320155813-TMjdjNzkxYWIyYWE1MTc3ZjFmNTE5ZWUwOTg2ZDRkNjI=-01043989717-record-10.10.62.138-1489996693.118994.mp3</t>
  </si>
  <si>
    <t>20170320/3004063-20170320155801-TMzY1YjgwYzY2ZDY1NWNiNWMyZGQ4ZWYwNzQxMzRhYTM=-01043977565-record-10.10.62.138-1489996681.118928.mp3</t>
  </si>
  <si>
    <t>20170320/3004063-20170320155722-TNGUxNDdjYjFhZDYxOWRjNGYwZWZiMzM3MTJjOWQzYjY=-01043977567-record-10.10.62.138-1489996642.118694.mp3</t>
  </si>
  <si>
    <t>20170320/3004063-20170320154846-TNzU4NThmY2FlN2QyMWE3MGEyMDJhNzA3N2FhOWM3NjE=-01043977567-record-10.10.62.138-1489996126.115244.mp3</t>
  </si>
  <si>
    <t>20170320/3004063-20170320154143-TMGRjOGQwNjUzMDhmMjg0NmI1ZDVhOGI5OGQ4OGFmMGQ=-01043977568-record-10.10.62.138-1489995703.112406.mp3</t>
  </si>
  <si>
    <t>20170320/3004063-20170320152453-TOWUzNDAwYTc0MjRkZTc3ZGJmMGE5YTlkMDI2NTJmOWM=-01043977566-record-10.10.62.138-1489994693.105309.mp3</t>
  </si>
  <si>
    <t>20170320/3004063-20170320152013-TYjlkZTQ0ODM5NjYxMzFkN2ZjOGQ2YmYyOTc4MmQwODk=-01043977569-record-10.10.62.138-1489994413.103474.mp3</t>
  </si>
  <si>
    <t>20170320/3004063-20170320150823-TYWU5ZDgxOTY5ZDMyNDc1OWU4ZmNiZDM3OGY4ZWFlMDg=-01043977567-record-10.10.62.138-1489993703.98981.mp3</t>
  </si>
  <si>
    <t>20170320/3004063-20170320145846-TY2VhOTAyYmQ4MTBmZWRlMGNhNWEzZGM2MzFhODVhOTU=-01043977568-record-10.10.62.138-1489993126.95237.mp3</t>
  </si>
  <si>
    <t>20170320/3004063-20170320141438-TYzE0YWI3YjI3OTBiNmZjNDAzMTZlODJlNTE5NThkZWE=-01043977566-record-10.10.62.138-1489990478.79221.mp3</t>
  </si>
  <si>
    <t>20170320/3004063-20170320140445-TOTBhMzkxYmQ2YjRkMmFhODUxMmYxNzkxY2IxOGQxOTQ=-01043977567-record-10.10.62.138-1489989885.76002.mp3</t>
  </si>
  <si>
    <t>20170320/3004063-20170320133243-TZTI0NTJhOGFkN2NjN2EwMTlkYTY2ODE1YjMzYzJiZmE=-01043977568-record-10.10.62.138-1489987963.68674.mp3</t>
  </si>
  <si>
    <t>20170320/3004063-20170320110921-TMmVkYmVlYzI3NmE1OTFiMTRlODgxZjQwOTljZWNkNjA=-01043977568-record-10.10.62.138-1489979361.41628.mp3</t>
  </si>
  <si>
    <t>20170320/3004063-20170320080457-TMzcxNzMxNjQ5MDkzZmMxYWY5ZWU4ZTUxYjBmZTY3OTY=-01043977567-record-10.10.62.138-1489968297.1224.mp3</t>
  </si>
  <si>
    <t>20170319/3004063-20170319205120-TNmY5ODliNDg4ODUzNjRiNzMyZDJkYjIzMTZjNGZlN2Y=-01043989718-record-10.10.62.138-1489927880.146904.mp3</t>
  </si>
  <si>
    <t>20170319/3004063-20170319204915-TNWExYzkxOTYyODkxMTI4ZTYxZThlNjNlZGIwMzI4ZmU=-01043989717-record-10.10.62.138-1489927755.146606.mp3</t>
  </si>
  <si>
    <t>20170319/3004063-20170319204602-TYjIwNDI4ZjFhYmFhYWZlODAxZDE3ODVhY2Y5MDRkM2Q=-01043989718-record-10.10.62.138-1489927562.146237.mp3</t>
  </si>
  <si>
    <t>20170319/3004063-20170319203513-TMzkyMDI5MjZmMzk3OTFlMWQzM2RiMmYzOTQ1OTJlMDA=-01043989717-record-10.10.62.138-1489926913.144938.mp3</t>
  </si>
  <si>
    <t>山东/莱芜</t>
  </si>
  <si>
    <t>20170319/3004063-20170319203445-TNzc5MWI0YWE4NWFjNDAxOGQ0YzE4OGM0OTNlZjQyZjM=-01043977566-record-10.10.62.138-1489926885.144892.mp3</t>
  </si>
  <si>
    <t>20170319/3004063-20170319203415-TNmE0MzdhNTcyYTg3Yjc1NmVlMjQ4MTc2ZjE2ODdjMDc=-01043989718-record-10.10.62.138-1489926855.144813.mp3</t>
  </si>
  <si>
    <t>20170319/3004063-20170319201827-TNmRiZTdiNjhhY2FlMDM0NGZjOWFhMTI4NGU1YTE1Njg=-01043977566-record-10.10.62.138-1489925907.142637.mp3</t>
  </si>
  <si>
    <t>20170319/3004063-20170319200942-TZTM2NjA0M2E0ODNkODBjODM0MjA5NGU2MTZjZmE3MmY=-01043989718-record-10.10.62.138-1489925382.141288.mp3</t>
  </si>
  <si>
    <t>20170319/3004063-20170319200601-TMjUxYjc4ZDljYzE3NDMzY2JmODUwMjYxOWMxNmJhODM=-01043989717-record-10.10.62.138-1489925161.140727.mp3</t>
  </si>
  <si>
    <t>20170319/3004063-20170319200249-TZDQ3ZmZhYjYwMzdlZGM0YTRmOGYzM2YzYmY2NjdlNzg=-01043989718-record-10.10.62.138-1489924969.140341.mp3</t>
  </si>
  <si>
    <t>20170319/3004063-20170319200226-TMjUxYjc4ZDljYzE3NDMzY2JmODUwMjYxOWMxNmJhODM=-01043989717-record-10.10.62.138-1489924946.140289.mp3</t>
  </si>
  <si>
    <t>20170319/3004063-20170319194454-TYjI0ZDkwMzY1MDRmMGZiODE2Njc2MjgzNzNhMjk1NzY=-01043977566-record-10.10.62.138-1489923894.137715.mp3</t>
  </si>
  <si>
    <t>20170319/3004063-20170319193540-TZjczNDY2NTNjMTFjM2E4ZDljMGNjYWRhYzg5MDI3YjQ=-01043989717-record-10.10.62.138-1489923340.136391.mp3</t>
  </si>
  <si>
    <t>20170319/3004063-20170319192537-TMjk4ZjExMjk0Y2U3M2VjMWY3YmVkNjk3NGRmMTM3OTQ=-01043989718-record-10.10.62.138-1489922737.134682.mp3</t>
  </si>
  <si>
    <t>20170319/3004063-20170319190439-TZjZjOTFjY2U1NzQyNzZjZWVmM2ZhNTY0YTY4OTUwOGE=-01043977566-record-10.10.62.138-1489921479.131094.mp3</t>
  </si>
  <si>
    <t>新疆/和田</t>
  </si>
  <si>
    <t>20170319/3004063-20170319182718-TN2U1YjcwMTMyMjU3Y2M4ZGY3MzMyNmUyYzk5NTVjMWM=-01043989718-record-10.10.62.138-1489919238.124797.mp3</t>
  </si>
  <si>
    <t>20170319/3004063-20170319164256-TOTM4YTE2OGRmZmNmNDVjYjcyZmJlNTMzNWRlZjU0ZTU=-01043977566-record-10.10.62.138-1489912976.106889.mp3</t>
  </si>
  <si>
    <t>20170319/3004063-20170319163625-TMGEzOTlmZDAxYTFiMmJmMmRmMTMxYTRlODllZTM4MzI=-01043989718-record-10.10.62.138-1489912585.105231.mp3</t>
  </si>
  <si>
    <t>20170319/3004063-20170319155313-TOThiOWU1ZWY0ZjRmYmRhMTBhNzQ5MmYwZWRmNjFjODE=-01043977569-record-10.10.62.138-1489909993.94573.mp3</t>
  </si>
  <si>
    <t>20170319/3004063-20170319154251-TMDdkY2JkMzQ2ZDVjMDllYWViZmQxZWQ0NzM5NmIwOTE=-01043977566-record-10.10.62.138-1489909371.91820.mp3</t>
  </si>
  <si>
    <t>20170319/3004063-20170319153033-TNjAzMTliODZhMWQ4YjY3MjEzNmJjY2FkZTViN2Q0YmI=-01043989717-record-10.10.62.138-1489908633.88519.mp3</t>
  </si>
  <si>
    <t>20170319/3004063-20170319151542-TNWY3M2Y0ZDg4ZWNlNmQ5YjI3OTc4MjU4ZjE1OTUzYzc=-01043977566-record-10.10.62.138-1489907742.83925.mp3</t>
  </si>
  <si>
    <t>20170319/3004063-20170319151319-TMGUzMTlhOGJiMjVkZTY2MzUxZjgyZmE5YTRhNjhiMzk=-01043989718-record-10.10.62.138-1489907599.83154.mp3</t>
  </si>
  <si>
    <t>20170319/3004063-20170319151205-TNGJjMTYzNDVlZmY4OWFmNmViMjNkMzM1NGQ0MDYyZjc=-01043977569-record-10.10.62.138-1489907525.82663.mp3</t>
  </si>
  <si>
    <t>20170319/3004063-20170319143116-TNDQ4ZDI1NzQ4NWM2NzNiZjVkYWVjZWYxMDMxM2Q4OTI=-01043989718-record-10.10.62.138-1489905076.63726.mp3</t>
  </si>
  <si>
    <t>20170319/3004063-20170319135632-TZTMwMTU3YmRmNzMxNTBlYzc3NzQ4NTIyYjc5MTEwZWM=-01043989717-record-10.10.62.138-1489902992.55476.mp3</t>
  </si>
  <si>
    <t>20170319/3004063-20170319133525-TMzlkMGY4OWYzMWI5MWM2MjhjZDM0NWY0ZTQ3NTQ1ZjU=-01043977566-record-10.10.62.138-1489901725.52538.mp3</t>
  </si>
  <si>
    <t>20170319/3004063-20170319133251-TNTgxM2JkMTMxNTJiMWM3MGMzYzAxODdiMWU5OWNhMDM=-01043989718-record-10.10.62.138-1489901571.52199.mp3</t>
  </si>
  <si>
    <t>20170319/3004063-20170319132346-TNzBjZGIwMjJmODEyMzUwZDI1NjM4MmVjNThlYmIxM2Q=-01043989718-record-10.10.62.138-1489901026.51038.mp3</t>
  </si>
  <si>
    <t>20170319/3004063-20170319125419-TMWZmMTRkMDQ5YTI2ZmVjNzYzMTQwMWZjNWUyY2M2M2Q=-01043977569-record-10.10.62.138-1489899259.47721.mp3</t>
  </si>
  <si>
    <t>20170319/3004063-20170319124429-TYTQxODZmY2U4ZTI2YmM4NjM0YzJkNDA5MDM5MDIzYzQ=-01043989718-record-10.10.62.138-1489898669.46847.mp3</t>
  </si>
  <si>
    <t>20170319/3004063-20170319123855-TODY0NDA3NjQxYTE0M2RlNGEwOGNkMmU4YzkzODNiZjQ=-01043989719-record-10.10.62.138-1489898335.46376.mp3</t>
  </si>
  <si>
    <t>20170319/3004063-20170319115706-TZjNjODhmNmVhNDVjODViZDFjMmQ2NTY2M2YzZjJiZTM=-01043989718-record-10.10.62.138-1489895826.42395.mp3</t>
  </si>
  <si>
    <t>20170319/3004063-20170319114008-TYjkxNjlhYmRlMzMyNjVmMzNmZmI3YWZjYmY2MmVhNzQ=-01043989719-record-10.10.62.138-1489894808.38564.mp3</t>
  </si>
  <si>
    <t>20170319/3004063-20170319113242-TMzY1YjgwYzY2ZDY1NWNiNWMyZGQ4ZWYwNzQxMzRhYTM=-01043989718-record-10.10.62.138-1489894362.36734.mp3</t>
  </si>
  <si>
    <t>20170319/3004063-20170319111419-TZWZmZjlhNzQ3ZDE5NThhMGZiOTY5Yzc5NjE5ZmE5MmU=-01043989718-record-10.10.62.138-1489893259.32327.mp3</t>
  </si>
  <si>
    <t>20170319/3004063-20170319111310-TYTRmMTczMDBlN2RiMzkyYjZlZGZlNGEwZDI3Y2Q0MmQ=-01043989719-record-10.10.62.138-1489893190.32041.mp3</t>
  </si>
  <si>
    <t>20170319/3004063-20170319110527-TY2YxN2JiZTViOWRjOGI0MTY3ODczZTY4ZDAyZDI4YTY=-01043977569-record-10.10.62.138-1489892727.30120.mp3</t>
  </si>
  <si>
    <t>河南/信阳</t>
  </si>
  <si>
    <t>20170319/3004063-20170319110507-TY2U5ODMxNmFhMmY1MjhiOTZlN2I3ZTM3MzE5YTQ4YTk=-01043989719-record-10.10.62.138-1489892707.30041.mp3</t>
  </si>
  <si>
    <t>20170319/3004063-20170319103804-TNWEwZWUxNTAwZjRlNjQ4ZmU1YTZjZjgwZTViMDhkZjQ=-01043989719-record-10.10.62.138-1489891084.23439.mp3</t>
  </si>
  <si>
    <t>20170319/3004063-20170319103526-TODUxMTAyYmE2MjVlMjAxYTI5NTViODFjYjY5MjJhMDc=-01043989718-record-10.10.62.138-1489890926.22757.mp3</t>
  </si>
  <si>
    <t>20170319/3004063-20170319103243-TZjAxMDE1NGEyYTI2ZGVjMTQ2MjYxMmIwNmRhNWU5Y2U=-01043989719-record-10.10.62.138-1489890763.22119.mp3</t>
  </si>
  <si>
    <t>20170319/3004063-20170319100823-TYTRmOWM1Yzg5NmQwZjAyZWUxOTA0YjMyMmM5NDE5MmE=-01043989719-record-10.10.62.138-1489889303.16460.mp3</t>
  </si>
  <si>
    <t>20170319/3004063-20170319095640-TNjQ0NDE1MDUwODZkNTg3YTJhNDRlZDNiZDg4ZjYyMDU=-01043977566-record-10.10.62.138-1489888600.13918.mp3</t>
  </si>
  <si>
    <t>20170319/3004063-20170319095007-TOWM5NTlkNmQxYWIzNjUzNzU5Yjg3ZGJmYmM2ZDgyM2Y=-01043989718-record-10.10.62.138-1489888207.12565.mp3</t>
  </si>
  <si>
    <t>20170319/3004063-20170319093402-TNWYwMjhjZTFiYjE1ZTY2Nzk3MWE2M2M0ZGUwN2ZjNzY=-01043989719-record-10.10.62.138-1489887242.9621.mp3</t>
  </si>
  <si>
    <t>20170319/3004063-20170319092817-TZmFjM2Y5YjAwNTI3YTA5NTgyZTI5NjU0NzZiNjcyOGU=-01043977566-record-10.10.62.138-1489886897.8505.mp3</t>
  </si>
  <si>
    <t>20170319/3004063-20170319092413-TNTIzMTdhNTZkMzgyMTczMWY2YWI0OTg4ODU5YTk5NTg=-01043989719-record-10.10.62.138-1489886653.7710.mp3</t>
  </si>
  <si>
    <t>20170319/3004063-20170319083541-TYjZiNGM1YjYzNDM2NmE1YTE2MDcyNmNjNDEyZWVjMWI=-01043989717-record-10.10.62.138-1489883741.2414.mp3</t>
  </si>
  <si>
    <t>20170319/3004063-20170319083334-TNzFmNzg0YzFmMWUwNTdhYjA2NzJiZWFlYmE4ZWMwZWI=-01043989717-record-10.10.62.138-1489883614.2321.mp3</t>
  </si>
  <si>
    <t>20170319/3004063-20170319083036-TNDRiOTVjMmUxYjU2YzU0ZmY3NzFmNDI1MzRlNjVlMzU=-01043989718-record-10.10.62.138-1489883436.2189.mp3</t>
  </si>
  <si>
    <t>20170319/3004063-20170319082901-TYjlmNTJmNTViMTY5YWNhNjRmNmIwZWEyZmIzNDdmMDg=-01043989717-record-10.10.62.138-1489883341.2112.mp3</t>
  </si>
  <si>
    <t>20170319/3004063-20170319082451-TNTAyMDU3NTU3Nzc1N2VmYjY5Y2M0ZDkzODhkY2QxN2I=-01043989719-record-10.10.62.138-1489883091.1946.mp3</t>
  </si>
  <si>
    <t>20170319/3004063-20170319080554-TOTk3YmJmMDQ3NTkwODRhZWQ3ZmNhMjg1NmM1OGRiNDM=-01043989718-record-10.10.62.138-1489881954.1334.mp3</t>
  </si>
  <si>
    <t>20170318/3004063-20170318201741-TMjA5NTJmMWI3MjZhZGVjOWNiZDA2NTVmZGFkNGRmNzI=-01000000000-record-10.10.62.138-1489839461.149396.mp3</t>
  </si>
  <si>
    <t>20170318/3004063-20170318200541-TZTdmMjU3M2ViODIyZjg0YzYyY2JhZjU1ZTEwODNmMDE=-01043977567-record-10.10.62.138-1489838741.147831.mp3</t>
  </si>
  <si>
    <t>20170318/3004063-20170318183000-TYWMzMTJlMTUyNDcxMzAyMGNlOWEyNzE3Y2Y2NTVkZGI=-01043989718-record-10.10.62.138-1489833000.132112.mp3</t>
  </si>
  <si>
    <t>20170318/3004063-20170318173920-TZmE2NDdkMThiMzI5Y2MzYWJhNWVlMmRkOTlhZDc1ZTg=-01043977567-record-10.10.62.138-1489829960.124249.mp3</t>
  </si>
  <si>
    <t>20170318/3004063-20170318172828-TYmNlNzFjYWI5Y2IxM2ViN2VjOGUxNjUxNzRmZmI5YTE=-01043989718-record-10.10.62.138-1489829308.122769.mp3</t>
  </si>
  <si>
    <t>20170318/3004063-20170318172429-TZmE2NDdkMThiMzI5Y2MzYWJhNWVlMmRkOTlhZDc1ZTg=-01043977567-record-10.10.62.138-1489829069.122004.mp3</t>
  </si>
  <si>
    <t>20170318/3004063-20170318171017-TNDUwZDhhYTBkYTZlMWJkMTA4ZThiZDhlNjdlYjNmOGM=-01043977569-record-10.10.62.138-1489828217.118672.mp3</t>
  </si>
  <si>
    <t>20170318/3004063-20170318170352-TMGU3MDY3NWRkNmVkMDEwNmEzNjEwMTYxN2IzZDY3NTM=-01043989720-record-10.10.62.138-1489827832.117135.mp3</t>
  </si>
  <si>
    <t>20170318/3004063-20170318165824-TNWZlMzUxOGU3NzgyMTRiZjNjYzVjZGEwYTAyNzU1M2M=-01043977566-record-10.10.62.138-1489827504.115718.mp3</t>
  </si>
  <si>
    <t>20170318/3004063-20170318165621-TYzI2MjhlMzkxYjg3ZjliMDI3NjRmMDcwYWFjN2UwZjQ=-01043989718-record-10.10.62.138-1489827381.115171.mp3</t>
  </si>
  <si>
    <t>20170318/3004063-20170318165509-TOGFjNWRkOTUyMTllYzk4YjYyZWVmN2NlZWE1NDc3N2I=-01043977569-record-10.10.62.138-1489827309.114833.mp3</t>
  </si>
  <si>
    <t>20170318/3004063-20170318165153-TMjZmZTI2MGI3OTNmNGQzMmM3YTliM2VhMTFkODFlNjk=-01043989719-record-10.10.62.138-1489827113.113937.mp3</t>
  </si>
  <si>
    <t>20170318/3004063-20170318165104-TZGY1Mjc5NGQ2MDQyODEyNjBjN2YzNzcwNzY2MWNjNTk=-01043989718-record-10.10.62.138-1489827064.113741.mp3</t>
  </si>
  <si>
    <t>20170318/3004063-20170318163839-TYzI2MjhlMzkxYjg3ZjliMDI3NjRmMDcwYWFjN2UwZjQ=-01043989719-record-10.10.62.138-1489826319.110189.mp3</t>
  </si>
  <si>
    <t>20170318/3004063-20170318163205-TZTliMzAzZWQ2MjhjN2UwZjA3NmQyNGNhOWJkNzEyMWQ=-01043989718-record-10.10.62.138-1489825925.108268.mp3</t>
  </si>
  <si>
    <t>20170318/3004063-20170318162521-TY2U4MjkyYzk3NDJkYTc0MWQ5MzFiZDM0MmYzMTVhNWE=-01043989717-record-10.10.62.138-1489825521.106234.mp3</t>
  </si>
  <si>
    <t>20170318/3004063-20170318162508-TMzY1YjgwYzY2ZDY1NWNiNWMyZGQ4ZWYwNzQxMzRhYTM=-01043977567-record-10.10.62.138-1489825508.106178.mp3</t>
  </si>
  <si>
    <t>20170318/3004063-20170318162025-TY2U4MjkyYzk3NDJkYTc0MWQ5MzFiZDM0MmYzMTVhNWE=-01043989720-record-10.10.62.138-1489825225.104833.mp3</t>
  </si>
  <si>
    <t>20170318/3004063-20170318161307-TY2U4MjkyYzk3NDJkYTc0MWQ5MzFiZDM0MmYzMTVhNWE=-01043977566-record-10.10.62.138-1489824787.102726.mp3</t>
  </si>
  <si>
    <t>20170318/3004063-20170318161033-TNmYzYTRmOTRmZjA1MzE4ZmRlNjgwYTQ3ZDMzZGVkZTM=-01043989718-record-10.10.62.138-1489824633.101922.mp3</t>
  </si>
  <si>
    <t>20170318/3004063-20170318161013-TY2U4MjkyYzk3NDJkYTc0MWQ5MzFiZDM0MmYzMTVhNWE=-01043989720-record-10.10.62.138-1489824613.101830.mp3</t>
  </si>
  <si>
    <t>20170318/3004063-20170318160803-TNTM3ZDUyNGM1Zjc2MmRlYTgzZTM1MmE2YjFhNmZhZmU=-01043977567-record-10.10.62.138-1489824483.101201.mp3</t>
  </si>
  <si>
    <t>20170318/3004063-20170318160540-TY2U4MjkyYzk3NDJkYTc0MWQ5MzFiZDM0MmYzMTVhNWE=-01043989720-record-10.10.62.138-1489824340.100471.mp3</t>
  </si>
  <si>
    <t>20170318/3004063-20170318155901-TNjFjMzg2ZDEzYTQyMDBiNzkwOWEwMzE0NjdiOTVmYjg=-01043977567-record-10.10.62.138-1489823941.98390.mp3</t>
  </si>
  <si>
    <t>20170318/3004063-20170318155444-TNjFjMzg2ZDEzYTQyMDBiNzkwOWEwMzE0NjdiOTVmYjg=-01043977567-record-10.10.62.138-1489823684.97063.mp3</t>
  </si>
  <si>
    <t>20170318/3004063-20170318154759-TNjFjMzg2ZDEzYTQyMDBiNzkwOWEwMzE0NjdiOTVmYjg=-01043989718-record-10.10.62.138-1489823279.94879.mp3</t>
  </si>
  <si>
    <t>20170318/3004063-20170318153751-TYzI2MjhlMzkxYjg3ZjliMDI3NjRmMDcwYWFjN2UwZjQ=-01043977567-record-10.10.62.138-1489822671.91705.mp3</t>
  </si>
  <si>
    <t>20170318/3004063-20170318151651-TMjFmNzdjOTRiM2FkMDk5Zjk4NmQ2MWVkOGEwNjNlNjI=-01043989718-record-10.10.62.138-1489821411.85234.mp3</t>
  </si>
  <si>
    <t>20170318/3004063-20170318150223-TYjZiNGMzZjRlZGY3ZGEyNzY3ZjQ3NGQ3M2RmNDlmOGI=-01043989718-record-10.10.62.138-1489820543.80763.mp3</t>
  </si>
  <si>
    <t>20170318/3004063-20170318145407-TZGE2OTIyZmU1OWI5NTYzYmYzM2RkOTAyODJhMTM0MGI=-01043989719-record-10.10.62.138-1489820047.78235.mp3</t>
  </si>
  <si>
    <t>20170318/3004063-20170318144557-TMzI0YTRkZDgyMjZhOTJiY2NjYjYwNzNmYmJmYmIxNzI=-01043989719-record-10.10.62.138-1489819557.75575.mp3</t>
  </si>
  <si>
    <t>20170318/3004063-20170318142048-TNjE5ZjAyYzdmMDM5MmM0OGRlYzIxYzA1OGM3NzFkN2E=-01043977567-record-10.10.62.138-1489818048.67958.mp3</t>
  </si>
  <si>
    <t>20170318/3004063-20170318135802-TNjNjYzJkYzgyNzc2NDAwNWU0MmU1NmYzMTE0OGUyNDU=-01043989718-record-10.10.62.138-1489816682.61853.mp3</t>
  </si>
  <si>
    <t>20170318/3004063-20170318134901-TZTg3ODQ5NzFmMThjZTU3MjZkNTE5YWI4NGM0NjdjMjc=-01043989717-record-10.10.62.138-1489816141.60197.mp3</t>
  </si>
  <si>
    <t>江苏/连云港</t>
  </si>
  <si>
    <t>20170318/3004063-20170318133402-TMmQ5M2M3Y2FiMzQ2YjhkNzU5ZDRmNDdjN2FmNGJmOGI=-01043989719-record-10.10.62.138-1489815242.57699.mp3</t>
  </si>
  <si>
    <t>20170318/3004063-20170318133059-TNjkxZTJlZjUyMjFjYjBmZGYxMjBmMjY4YWVmZDgzMWQ=-01043989718-record-10.10.62.138-1489815059.57199.mp3</t>
  </si>
  <si>
    <t>甘肃/庆阳</t>
  </si>
  <si>
    <t>20170318/3004063-20170318132755-TMTQwMzQ5MzVmZmMwNmU3MjI2MWYyODk2ODc5YjM1Mjk=-01043989719-record-10.10.62.138-1489814875.56758.mp3</t>
  </si>
  <si>
    <t>20170318/3004063-20170318131155-TN2ZiZGQ3ZDdiYmEyMzQ4YTkwNTc1N2YzZjZkZTVkYWM=-01043989718-record-10.10.62.138-1489813915.54328.mp3</t>
  </si>
  <si>
    <t>20170318/3004063-20170318131037-TMDk0NGRmNTE2Njk0NGZjZTI5NjQzMzNiY2YyNGFlZjI=-01043977567-record-10.10.62.138-1489813837.54124.mp3</t>
  </si>
  <si>
    <t>20170318/3004063-20170318130255-TZDBmZjVhYzdhNzY3Mzg4YTEyNWIwN2E4NWJkMmE5MzE=-01043989720-record-10.10.62.138-1489813375.53126.mp3</t>
  </si>
  <si>
    <t>20170318/3004063-20170318121005-TZTcwYTJlZmExYTIzYzA3ZWQzNzA2NTFhOThiMWVkOTM=-01043977567-record-10.10.62.138-1489810205.47303.mp3</t>
  </si>
  <si>
    <t>20170318/3004063-20170318120953-TZmMyYWU0NmRlZDNkYzYzMDE2NWM3MTllZWY3ZTJhMjQ=-01043989718-record-10.10.62.138-1489810193.47293.mp3</t>
  </si>
  <si>
    <t>20170318/3004063-20170318115239-TMWEyYjQwZmE3M2UyZWNlNTgzMzllNDMyNGM1ZDUwMGE=-01043977567-record-10.10.62.138-1489809159.44975.mp3</t>
  </si>
  <si>
    <t>安徽/蚌埠</t>
  </si>
  <si>
    <t>20170318/3004063-20170318114415-TYTU1NDk4YzAyNjY5ZDlkMmQ3ZTFmNWU3ZDg5NDA3Yjk=-01043977566-record-10.10.62.138-1489808655.43018.mp3</t>
  </si>
  <si>
    <t>20170318/3004063-20170318113922-TZjUyNzc3OTk5NzhkZGE1ZjYyMDJmYTc0ZmQyMDc2Yzc=-01043989718-record-10.10.62.138-1489808362.41781.mp3</t>
  </si>
  <si>
    <t>20170318/3004063-20170318113652-TMzY1YjgwYzY2ZDY1NWNiNWMyZGQ4ZWYwNzQxMzRhYTM=-01043989718-record-10.10.62.138-1489808212.41060.mp3</t>
  </si>
  <si>
    <t>20170318/3004063-20170318111840-TYWZiMmUyMGI4YmU1NDZjNzZlMjg0YWFkMDMxMDE2MGY=-01043977566-record-10.10.62.138-1489807120.36126.mp3</t>
  </si>
  <si>
    <t>20170318/3004063-20170318111715-TY2U4MjkyYzk3NDJkYTc0MWQ5MzFiZDM0MmYzMTVhNWE=-01043989717-record-10.10.62.138-1489807035.35731.mp3</t>
  </si>
  <si>
    <t>20170318/3004063-20170318111547-TZjI3Mjg3MGRmMjIzNTc4NTMwNTBjOGM5MjJjYmI0MTI=-01043989718-record-10.10.62.138-1489806947.35319.mp3</t>
  </si>
  <si>
    <t>20170318/3004063-20170318110619-TYTE0ZjMyNTA0NDVlOTZmNjI4ZGFkOTllYTk5YTJhNjg=-01043977566-record-10.10.62.138-1489806379.32795.mp3</t>
  </si>
  <si>
    <t>20170318/3004063-20170318110617-TY2U4MjkyYzk3NDJkYTc0MWQ5MzFiZDM0MmYzMTVhNWE=-01043977567-record-10.10.62.138-1489806377.32784.mp3</t>
  </si>
  <si>
    <t>20170318/3004063-20170318110211-TNjFjMzg2ZDEzYTQyMDBiNzkwOWEwMzE0NjdiOTVmYjg=-01043977567-record-10.10.62.138-1489806131.31605.mp3</t>
  </si>
  <si>
    <t>20170318/3004063-20170318105918-TNjFjMzg2ZDEzYTQyMDBiNzkwOWEwMzE0NjdiOTVmYjg=-01043977567-record-10.10.62.138-1489805958.30816.mp3</t>
  </si>
  <si>
    <t>20170318/3004063-20170318105532-TOGQwZjQ0MzViYjM2ODNkODBjMThkNzBmZmMyZWJlMmI=-01043989718-record-10.10.62.138-1489805732.29779.mp3</t>
  </si>
  <si>
    <t>20170318/3004063-20170318105322-TOGQwZjQ0MzViYjM2ODNkODBjMThkNzBmZmMyZWJlMmI=-01043989718-record-10.10.62.138-1489805602.29221.mp3</t>
  </si>
  <si>
    <t>20170318/3004063-20170318105242-TNjFjMzg2ZDEzYTQyMDBiNzkwOWEwMzE0NjdiOTVmYjg=-01043977569-record-10.10.62.138-1489805562.29037.mp3</t>
  </si>
  <si>
    <t>20170318/3004063-20170318105216-TMWEyYjQwZmE3M2UyZWNlNTgzMzllNDMyNGM1ZDUwMGE=-01043989718-record-10.10.62.138-1489805536.28909.mp3</t>
  </si>
  <si>
    <t>20170318/3004063-20170318103037-TNjFjMzg2ZDEzYTQyMDBiNzkwOWEwMzE0NjdiOTVmYjg=-01043977567-record-10.10.62.138-1489804237.22921.mp3</t>
  </si>
  <si>
    <t>20170318/3004063-20170318102813-TOGQwZjQ0MzViYjM2ODNkODBjMThkNzBmZmMyZWJlMmI=-01043989717-record-10.10.62.138-1489804093.22147.mp3</t>
  </si>
  <si>
    <t>20170318/3004063-20170318102751-TY2Y3MzgzOTQxYzcwMWExZmQ0YWExMGVhODg3YjEwODU=-01043977566-record-10.10.62.138-1489804071.22050.mp3</t>
  </si>
  <si>
    <t>20170318/3004063-20170318102505-TNzA5NTJmYTVlY2Q1MzljMzliZmY3ZTQ3Yzg3NzYyMzE=-01043989717-record-10.10.62.138-1489803905.21187.mp3</t>
  </si>
  <si>
    <t>20170318/3004063-20170318102359-TYzA1OWZkOTljNWVhYjM0MTYzNjVjMDI1NzA5ZGE3ZGM=-01043977566-record-10.10.62.138-1489803839.20830.mp3</t>
  </si>
  <si>
    <t>20170318/3004063-20170318102135-TM2E5M2I5MTU2NGMzZDcyMjkxNzQ5MTNiNWE5MjAzY2I=-01043989718-record-10.10.62.138-1489803695.20234.mp3</t>
  </si>
  <si>
    <t>20170318/3004063-20170318102028-TY2Y2OGE3ZTRlYTgwMmM1NTA5NjQ5OWMzMzIxOTk4YTM=-01043989718-record-10.10.62.138-1489803628.19926.mp3</t>
  </si>
  <si>
    <t>贵州/六盘水</t>
  </si>
  <si>
    <t>20170318/3004063-20170318101034-TOTJlNDU4MjM1MzRjOTNkZTk3ZjI3OWNmZDUyNTBmZmM=-01043989719-record-10.10.62.138-1489803034.17405.mp3</t>
  </si>
  <si>
    <t>20170318/3004063-20170318095024-TMDYyM2E0N2Q3NzcwNjZjNjRjNzJkYzMwMjM5NWVhMmI=-01043977569-record-10.10.62.138-1489801824.12927.mp3</t>
  </si>
  <si>
    <t>20170318/3004063-20170318094219-TMjBhZmQ1OGNmMDY2MTU0ZDczZDZlOTUzMzg0N2I0MDg=-01043977566-record-10.10.62.138-1489801339.11283.mp3</t>
  </si>
  <si>
    <t>20170318/3004063-20170318093847-TZDBlYzYzYWEwM2YwZmE2OTJmMGVmNjUyMTI3NzcyYzk=-01043977569-record-10.10.62.138-1489801127.10574.mp3</t>
  </si>
  <si>
    <t>20170318/3004063-20170318093546-TOWY4N2YwNTU2MWRkNTE2YjMxY2I2ZGZiNWUwYTY5YTg=-01043989717-record-10.10.62.138-1489800946.9997.mp3</t>
  </si>
  <si>
    <t>20170318/3004063-20170318093357-TNDE5ZTZmMWE0OGRlODQwY2FkZWQyNjY3NzgwNmE5ZjA=-01043989718-record-10.10.62.138-1489800837.9662.mp3</t>
  </si>
  <si>
    <t>20170318/3004063-20170318091809-TOTBlMDRjMjU1ZjA5MGIwZTIwMzEyZDgxNDFiZWM1MzQ=-01043977566-record-10.10.62.138-1489799889.6888.mp3</t>
  </si>
  <si>
    <t>20170318/3004063-20170318090332-TZDVkOGYwMzkwYzI2NDY4OTA3NmNiNTQ3YjUwZGM0MjM=-01043989718-record-10.10.62.138-1489799012.4747.mp3</t>
  </si>
  <si>
    <t>西藏/林芝</t>
  </si>
  <si>
    <t>20170318/3004063-20170318085518-TZDE3MDFjNDZlNDU3M2U3MzNlNmEzODgyNTcyYTMwNWY=-01043977566-record-10.10.62.138-1489798518.3844.mp3</t>
  </si>
  <si>
    <t>20170318/3004063-20170318085420-TMTExNDg3NWZjN2FjOThkOGVkNWNjYzExNzA3MGIwMGE=-01043989718-record-10.10.62.138-1489798460.3776.mp3</t>
  </si>
  <si>
    <t>20170318/3004063-20170318085053-TZTA0ZmNlNjkwYTgzMDhhYjE5OTBhNWM4ZDgwMGZlYzM=-01043989718-record-10.10.62.138-1489798253.3532.mp3</t>
  </si>
  <si>
    <t>20170318/3004063-20170318084213-TZTA0ZmNlNjkwYTgzMDhhYjE5OTBhNWM4ZDgwMGZlYzM=-01043989717-record-10.10.62.138-1489797733.3014.mp3</t>
  </si>
  <si>
    <t>20170318/3004063-20170318082309-TNGZjNDU3NmU0OTZhN2FmYTRhNTFhODJiNTIyNjA4MGE=-01043989720-record-10.10.62.138-1489796589.2033.mp3</t>
  </si>
  <si>
    <t>20170318/3004063-20170318080723-TYmNiN2Q3YTEwMTlmNWIwOTVmNzgyZTRjYmQ2M2E4MmI=-01043989720-record-10.10.62.138-1489795643.1553.mp3</t>
  </si>
  <si>
    <t>青海/西宁</t>
  </si>
  <si>
    <t>20170317/3004063-20170317204042-TMzE0MjQzZGMyYjk1MjQ0MTUxZjE2ODliYjQwNjc1NTI=-01043989718-record-10.10.62.138-1489754442.193219.mp3</t>
  </si>
  <si>
    <t>20170317/3004063-20170317203241-TMjExODMyZjU3NzJiODg2ZmJkOTNhMjliMTZkYmUwOTg=-01043989717-record-10.10.62.138-1489753961.192136.mp3</t>
  </si>
  <si>
    <t>20170317/3004063-20170317202945-TMGY0OGI3MjY2YTZkNWMwZjg3MDVmNGI4MDAxMDVmM2U=-01043977569-record-10.10.62.138-1489753785.191775.mp3</t>
  </si>
  <si>
    <t>20170317/3004063-20170317202751-TNGJjYTc1ZTkwMTY3OTg1YjEwNThiNWRiYTY5ZWQwNzA=-01043989718-record-10.10.62.138-1489753671.191541.mp3</t>
  </si>
  <si>
    <t>20170317/3004063-20170317202227-TZmZiMzYxODg4ZmIxMzM5ZDUxOGRhODFkNzA1MGEyMWQ=-01043989717-record-10.10.62.138-1489753347.190802.mp3</t>
  </si>
  <si>
    <t>20170317/3004063-20170317201436-TYWUxNDY2ZDUxMDE5NjgyNzQ2ODBhNzQzYTVkN2ZmMmI=-01043989718-record-10.10.62.138-1489752876.189564.mp3</t>
  </si>
  <si>
    <t>20170317/3004063-20170317195220-TOWM0YTVmMjM2MGQ2MmVmNGVkYjU0MjliOTdmNTNkMWE=-01043977569-record-10.10.62.138-1489751540.186140.mp3</t>
  </si>
  <si>
    <t>20170317/3004063-20170317193008-TYzBhMmY3NzE2YTg1ZDU3MjlkNzkxZGQxYTUxZWFmOGU=-01043977569-record-10.10.62.138-1489750208.182601.mp3</t>
  </si>
  <si>
    <t>20170317/3004063-20170317193000-TMmNiYzVlODMzYzU3NmI1YjJmZmFlZmNmNjU0MzI1YjE=-01043989719-record-10.10.62.138-1489750200.182583.mp3</t>
  </si>
  <si>
    <t>四川/绵阳</t>
  </si>
  <si>
    <t>20170317/3004063-20170317191536-TZDBjZWUwMWQwYjBmYTA0MjE3OTNmNzdkMTM0ZjQxMDk=-01043989719-record-10.10.62.138-1489749336.179957.mp3</t>
  </si>
  <si>
    <t>20170317/3004063-20170317184313-TMGU4MGE5NjVkNzI4NGRkN2FkNzhhZDYyZmUzZjI1N2E=-01043989717-record-10.10.62.138-1489747393.173978.mp3</t>
  </si>
  <si>
    <t>20170317/3004063-20170317183741-TMTk1ZTU5ZjQ4YmRlN2E0YmQyZTVlZjdlMGZiODQ2NmY=-01043977566-record-10.10.62.138-1489747061.172911.mp3</t>
  </si>
  <si>
    <t>20170317/3004063-20170317182829-TNjEzODE4Y2ZkYmE4YTliNjRlMzVjOWUwOTVlZTZlMDg=-01043977566-record-10.10.62.138-1489746509.171183.mp3</t>
  </si>
  <si>
    <t>20170317/3004063-20170317182747-TOTQ4ZTUxNzdmYmUyNjc3ZDM3N2Q2N2RhNTYwYzA3OGU=-01043989717-record-10.10.62.138-1489746467.171060.mp3</t>
  </si>
  <si>
    <t>20170317/3004063-20170317182049-TNjY2NmE1MjRiODI2NWI1NTYzNDIxYjVmNmZiNTVlMzk=-01043989717-record-10.10.62.138-1489746049.169713.mp3</t>
  </si>
  <si>
    <t>20170317/3004063-20170317180826-TMjlhOGY1NmNjZTYwOTU2ZTk2NDNlMTVmNWJjZjFiZWI=-01043977566-record-10.10.62.138-1489745306.167558.mp3</t>
  </si>
  <si>
    <t>20170317/3004063-20170317175900-TNGJhMzg0YTU0OGY5ZTY2OTYyMjE2Y2VlZGFjMzNjMGM=-01043989717-record-10.10.62.138-1489744740.165959.mp3</t>
  </si>
  <si>
    <t>20170317/3004063-20170317175215-TNWFhOTk2ODk3ZWFmOTI3MDIxZWE0MzRlYzkzOGI1NzA=-01043977566-record-10.10.62.138-1489744335.164624.mp3</t>
  </si>
  <si>
    <t>20170317/3004063-20170317174607-TOWRlYWRjZDRiNDM5YTUwMGZkMDIzMWM0YmE4ZmVjNTU=-01043989717-record-10.10.62.138-1489743967.163299.mp3</t>
  </si>
  <si>
    <t>20170317/3004063-20170317173243-TMTk1NmM5OTcwZGQ3MWNiNzA3ODE2M2MxZGU1NmNiMGY=-01000000000-record-10.10.62.138-1489743163.159948.mp3</t>
  </si>
  <si>
    <t>青海/海西</t>
  </si>
  <si>
    <t>20170317/3004063-20170317173013-TYjA0N2IwMGFhMGUzMGFiNDkyM2NmODY3MmUzZWE5MmU=-01043989717-record-10.10.62.138-1489743013.159420.mp3</t>
  </si>
  <si>
    <t>20170317/3004063-20170317172140-TNTY2NDE0N2Y4ZTUyZTg5ZjdiODJjYTA2NDFlM2YyNzY=-01043977566-record-10.10.62.138-1489742500.156662.mp3</t>
  </si>
  <si>
    <t>20170317/3004063-20170317170614-TMDRkMTgyMzk3ZTQxNzdiNjdmYzRiY2UyMzY4NWU1MmI=-01043989718-record-10.10.62.138-1489741574.151175.mp3</t>
  </si>
  <si>
    <t>20170317/3004063-20170317164045-TOTgyYjRiZjJmNzE1ODZkODA2Y2EwMjg4MjBmZGJjZDM=-01043989717-record-10.10.62.138-1489740045.141977.mp3</t>
  </si>
  <si>
    <t>20170317/3004063-20170317163739-TNTFiMDZiNGI1OWZkNzNlZjBkY2YwOGQwNWYyZmMzZjE=-01043977569-record-10.10.62.138-1489739859.140875.mp3</t>
  </si>
  <si>
    <t>20170317/3004063-20170317163629-TNjMzOTdhYmY1MTU5NGM0MzQ0OTRkYTg0MDAxNThiMGM=-01043977568-record-10.10.62.138-1489739789.140419.mp3</t>
  </si>
  <si>
    <t>20170317/3004063-20170317162741-TZGE1MjY0MDc4YTM0Zjc3MmJlYjc0MzcyNDNiZWRlYjA=-01043989718-record-10.10.62.138-1489739261.136984.mp3</t>
  </si>
  <si>
    <t>20170317/3004063-20170317161611-TNTViMzI4NmUzZGRmMzk2ZWI2ODBmOGU5MGI0MGYwMjA=-01043977569-record-10.10.62.138-1489738571.132216.mp3</t>
  </si>
  <si>
    <t>20170317/3004063-20170317161600-TNzA0ZDRlZDY5MGQ0NWVjMGNiMmU5ZmZkZDJiZDFmZDI=-01043977566-record-10.10.62.138-1489738560.132136.mp3</t>
  </si>
  <si>
    <t>20170317/3004063-20170317161202-TMzc4YmNjNzhjZDZjNDM2OWQ0MDAwZGE4Y2I1N2FiOWM=-01043989718-record-10.10.62.138-1489738322.130475.mp3</t>
  </si>
  <si>
    <t>20170317/3004063-20170317161147-TZWFlYmU5MjgwOGFhYjBiNjMyYTg1MWJhZDBiNTQyNmY=-01043989719-record-10.10.62.138-1489738307.130356.mp3</t>
  </si>
  <si>
    <t>20170317/3004063-20170317154244-TNzljMDUxZGE4YmRiM2E0NGNiOWNiZGY5MmFkODc5Yzg=-01043989719-record-10.10.62.138-1489736564.117866.mp3</t>
  </si>
  <si>
    <t>20170317/3004063-20170317153638-TZDUxMWY4YmM4OWI5YzU3ZDEyOGZiNDFkZWJhY2MxYmU=-01043989717-record-10.10.62.138-1489736198.115538.mp3</t>
  </si>
  <si>
    <t>20170317/3004063-20170317152458-TOWZkMGI3OWFkMDQzY2RmNTQyYjY5N2UyODkxMWM5NzViMmQ4MGM0NDhhMjIyODA4NjZkMzhkNzc5MzU5N2M1Mg==-01043989719-record-10.10.62.138-1489735498.110925.mp3</t>
  </si>
  <si>
    <t>20170317/3004063-20170317151938-TMjE0NmI0OWM2Y2IzZDlkZWZiZWY4NTRiZGRmZmRlZDU=-01043977567-record-10.10.62.138-1489735178.108611.mp3</t>
  </si>
  <si>
    <t>20170317/3004063-20170317151407-TNzA5NTJmYTVlY2Q1MzljMzliZmY3ZTQ3Yzg3NzYyMzE=-01043977567-record-10.10.62.138-1489734847.106393.mp3</t>
  </si>
  <si>
    <t>20170317/3004063-20170317151217-TYmQ4NjYyY2FiZmQwZDVlOThkYTJlMzFjNTJhODllYjM=-01043977568-record-10.10.62.138-1489734737.105643.mp3</t>
  </si>
  <si>
    <t>20170317/3004063-20170317151136-TM2I2MzM5MmI2YTkwYjcxNWM3YzNhNTBkNWQyMWZmNDI=-01043977569-record-10.10.62.138-1489734696.105372.mp3</t>
  </si>
  <si>
    <t>20170317/3004063-20170317150830-TZjk0OTJkYjA0YjQyOTFhZWZkZTA3MzE4ZGRlMTg4MmQ=-01043977566-record-10.10.62.138-1489734510.104087.mp3</t>
  </si>
  <si>
    <t>20170317/3004063-20170317150236-TNTVjZGRiZjAyNTUzODJjODhhZDc0Zjc0OTY3ZTdjNDY=-01043989717-record-10.10.62.138-1489734156.101915.mp3</t>
  </si>
  <si>
    <t>20170317/3004063-20170317145956-TZGJhOTVjNTkwNzAzN2FhYWZkNTJhZTVkZDNlZDM3Y2I=-01043989718-record-10.10.62.138-1489733996.100909.mp3</t>
  </si>
  <si>
    <t>20170317/3004063-20170317145039-TYzA5YzQyMzk1ODk4M2ZjMmZkY2E1OWQyNzcxNjNmOWQ=-01043977569-record-10.10.62.138-1489733439.97374.mp3</t>
  </si>
  <si>
    <t>20170317/3004063-20170317143818-TMTkxOGFlMzhjODZmYmFmMTg0MTAzZTA5MjBhNjYzNTI=-01043977569-record-10.10.62.138-1489732698.92947.mp3</t>
  </si>
  <si>
    <t>20170317/3004063-20170317143748-TNDNiYzhiZGM3NGEyNDRiNzczNGY5MjE1MDA2YjllNjc=-01043977565-record-10.10.62.138-1489732668.92746.mp3</t>
  </si>
  <si>
    <t>20170317/3004063-20170317143132-TZDYzZTNiMGZlZTE2OTc2MDhkNTA4NGU4NTVjODQ0ZTc=-01043977565-record-10.10.62.138-1489732292.90203.mp3</t>
  </si>
  <si>
    <t>20170317/3004063-20170317143028-TNGZlYjJiOWVjZjgxNmE1ZmM0ZjA5NTY0NmQzOGU0MWU=-01043989718-record-10.10.62.138-1489732228.89773.mp3</t>
  </si>
  <si>
    <t>20170317/3004063-20170317142357-TNGZlYjJiOWVjZjgxNmE1ZmM0ZjA5NTY0NmQzOGU0MWU=-01043989717-record-10.10.62.138-1489731837.87342.mp3</t>
  </si>
  <si>
    <t>20170317/3004063-20170317142249-TNDQzMGE2ZWU2OWIxNzI3OTMxZjM0ZDUxMzMzM2U3YzI=-01043977567-record-10.10.62.138-1489731769.86942.mp3</t>
  </si>
  <si>
    <t>20170317/3004063-20170317142038-TNGZlYjJiOWVjZjgxNmE1ZmM0ZjA5NTY0NmQzOGU0MWU=-01043977566-record-10.10.62.138-1489731638.86182.mp3</t>
  </si>
  <si>
    <t>20170317/3004063-20170317141602-TZDVlN2UyYTEyOTBjODVmYTI2ZjNkNGEzYWYwZDlmZWM=-01043977569-record-10.10.62.138-1489731362.84471.mp3</t>
  </si>
  <si>
    <t>20170317/3004063-20170317140430-TYjlkZTQ0ODM5NjYxMzFkN2ZjOGQ2YmYyOTc4MmQwODk=-01043977568-record-10.10.62.138-1489730670.80258.mp3</t>
  </si>
  <si>
    <t>20170317/3004063-20170317135601-TNjY3NjM0ZDg1Y2Q5ZTRiMDc1ZDU2NDc1YjlmNDE1YjI=-01043977568-record-10.10.62.138-1489730161.77651.mp3</t>
  </si>
  <si>
    <t>20170317/3004063-20170317134759-TMWU1MmVkZWNiOTk0ZTYwZjY3NGRmZTI5ZjdiMjMxYjc=-01043977568-record-10.10.62.138-1489729679.75582.mp3</t>
  </si>
  <si>
    <t>20170317/3004063-20170317134503-TNzlmNjAxNDk2ZDM3ZGVkZjljZjRhODY0YzFhOWNlMzQ=-01043977567-record-10.10.62.138-1489729503.74866.mp3</t>
  </si>
  <si>
    <t>20170317/3004063-20170317133332-TMThhNDBjMzE2ZDY5YzEwYzEwNWJjZDgyZWIyYmZhYmU=-01043989719-record-10.10.62.138-1489728812.72169.mp3</t>
  </si>
  <si>
    <t>20170317/3004063-20170317132931-TNGIwZDA0YzBhMTlmZmEzNjNjZDJjNDRiMjY1OTgzZTk=-01043989717-record-10.10.62.138-1489728571.71285.mp3</t>
  </si>
  <si>
    <t>20170317/3004063-20170317132339-TZTU4MTk4YmM1MzUxZDJjZjJkZDRlMGYwMWZhOTE3ZmU=-01043977566-record-10.10.62.138-1489728219.70122.mp3</t>
  </si>
  <si>
    <t>20170317/3004063-20170317131652-TNDMxYzUzMTQ0ZjdiODk2ZjRiZmMzZjliZGE3NTgwNGU=-01043989718-record-10.10.62.138-1489727812.68905.mp3</t>
  </si>
  <si>
    <t>20170317/3004063-20170317131103-TYTMxZTIyNDMxNWE1YjFhMGViOThhMjZhNzc1MTFlNWM=-01043977565-record-10.10.62.138-1489727463.67939.mp3</t>
  </si>
  <si>
    <t>20170317/3004063-20170317130705-TODVjNzlhZTkyNzlhYTE2NDE5YWQwNGYzZDE2YzkxNTc=-01043977568-record-10.10.62.138-1489727225.67307.mp3</t>
  </si>
  <si>
    <t>20170317/3004063-20170317124532-TMmFmZmExZTBiMzk2ZDNkZDgxODBiYWU4NjEyZTgxNWI=-01043977568-record-10.10.62.138-1489725932.64994.mp3</t>
  </si>
  <si>
    <t>20170317/3004063-20170317122729-TNTE5NWY2ZjI1NzE0NTU2ZTVjMzgwMDAzNDJiZDNjYjA=-01043977567-record-10.10.62.138-1489724849.63241.mp3</t>
  </si>
  <si>
    <t>20170317/3004063-20170317121459-TOWFjNWJiMGMyMzA1ZGIwZTk2YzhjZjc4YzdhMWJiOTQ=-01043977567-record-10.10.62.138-1489724099.61757.mp3</t>
  </si>
  <si>
    <t>20170317/3004063-20170317113409-TOTA2N2I1MzdhYmVkMzI3NWQxNGExNWU4MzBmYjE5NTI=-01043989717-record-10.10.62.138-1489721649.51916.mp3</t>
  </si>
  <si>
    <t>20170317/3004063-20170317113332-TYTEwNDMxNzViMGU4ZDM3YzQxNzExNDJhMDljZTk3ODc=-01043977566-record-10.10.62.138-1489721612.51700.mp3</t>
  </si>
  <si>
    <t>20170317/3004063-20170317113135-TMzc3YjA1YzkyMTE2MGNmMjczMjAxOWJmZTFlMGY5OWE=-01043977569-record-10.10.62.138-1489721495.51029.mp3</t>
  </si>
  <si>
    <t>20170317/3004063-20170317113005-TNWMyNGFlNmE1NTU1YTZkYWExNzY0MDA0MTVhY2U2MTI=-01043977565-record-10.10.62.138-1489721405.50516.mp3</t>
  </si>
  <si>
    <t>20170317/3004063-20170317112723-TZWFlNTAxYjZkYWM2NmZlOTNkOWM0YTcwNGNhYWJkOGY=-01043977567-record-10.10.62.138-1489721243.49549.mp3</t>
  </si>
  <si>
    <t>20170317/3004063-20170317105604-TZjE0MWZmMjA3NDc2YjMxNjIyOGY1ZDY1YzE1NTgwMjA=-01043977569-record-10.10.62.138-1489719364.37856.mp3</t>
  </si>
  <si>
    <t>20170317/3004063-20170317105258-TMGU5YTE1NjhkMTA2MTczM2NiNDliNDcxNWUyOGMzNTg=-01043977569-record-10.10.62.138-1489719178.36748.mp3</t>
  </si>
  <si>
    <t>20170317/3004063-20170317105045-TMGU3OTVmZWE2YTBkNThhMGM3ODk0Y2Q2MTIwMGQ1ZWM=-01043989718-record-10.10.62.138-1489719045.35993.mp3</t>
  </si>
  <si>
    <t>20170317/3004063-20170317104527-TMjE5MDY4NTU4ODM0NDk2ZTAzNmI1ZTBlZDg5Y2Y5YWI=-01043977568-record-10.10.62.138-1489718727.34115.mp3</t>
  </si>
  <si>
    <t>20170317/3004063-20170317102804-TMWQ4M2IyYjhlMWUzMjVkMWEzMDU1MmEwZGQxZjIzNmQ=-01043977569-record-10.10.62.138-1489717684.27958.mp3</t>
  </si>
  <si>
    <t>20170317/3004063-20170317102615-TMjE5MDY4NTU4ODM0NDk2ZTAzNmI1ZTBlZDg5Y2Y5YWI=-01043989717-record-10.10.62.138-1489717575.27316.mp3</t>
  </si>
  <si>
    <t>20170317/3004063-20170317102257-TODVkY2MyNjMwOTk3ZGRhYWE5OTI4NzUxYWRjOTY5NWQ=-01043977568-record-10.10.62.138-1489717377.26017.mp3</t>
  </si>
  <si>
    <t>20170317/3004063-20170317101215-TM2YwNGM4NTc3NTA3ODVlZGQ3Y2I0NDIxYmJkNWE4NTM=-01043977568-record-10.10.62.138-1489716735.22257.mp3</t>
  </si>
  <si>
    <t>20170317/3004063-20170317100343-TODE2NjlkNjFlMmNhMzgwZjVkMDI2NWM2MjVmZTdhZGI=-01043977567-record-10.10.62.138-1489716223.19795.mp3</t>
  </si>
  <si>
    <t>20170317/3004063-20170317095319-TN2U1ZWJiZmQ2M2M2YTUwOTI1YmFiOTcxYjAzYWMxN2I=-01043977568-record-10.10.62.138-1489715599.16720.mp3</t>
  </si>
  <si>
    <t>20170317/3004063-20170317095212-TZjMyMGIwMDBlOGEzMWE2ZjY0NWJiYWI0Nzg4MGI2NTM=-01043977567-record-10.10.62.138-1489715532.16409.mp3</t>
  </si>
  <si>
    <t>20170317/3004063-20170317093811-TZTUwOTY4YmZiN2JhMDYyNzIyOGZhMjI3MWNlNjY2YzU=-01043977569-record-10.10.62.138-1489714691.12630.mp3</t>
  </si>
  <si>
    <t>20170317/3004063-20170317093555-TZmM5M2I1NGM1MWY2ZjdiNzAwMmIzYWI5NDIzOWQzYTg=-01043989717-record-10.10.62.138-1489714555.12028.mp3</t>
  </si>
  <si>
    <t>20170317/3004063-20170317093353-TMmMxZWFmMGUzMzE4MGY0OGNmZGUzMjQ2Y2I2NjM5NjQ=-01043989718-record-10.10.62.138-1489714433.11514.mp3</t>
  </si>
  <si>
    <t>20170317/3004063-20170317092802-TM2EzYzQwN2NmYWVlZTBlY2Q4ZTExNTRkNWZkZTk2NDQ=-01043977568-record-10.10.62.138-1489714082.9989.mp3</t>
  </si>
  <si>
    <t>20170317/3004063-20170317091441-TNDBiOGE4ZjIxODk4MDJhMzQ5YTNmMDA2MjkzZmE0Yjc=-01043977568-record-10.10.62.138-1489713281.6743.mp3</t>
  </si>
  <si>
    <t>20170317/3004063-20170317090458-TYWUxNDY2ZDUxMDE5NjgyNzQ2ODBhNzQzYTVkN2ZmMmI=-01043977567-record-10.10.62.138-1489712698.4859.mp3</t>
  </si>
  <si>
    <t>20170317/3004063-20170317090010-TYmFlOWZlNWM3YjI2Y2U2MmI4MDBhMzdlNDQyY2VhYmQ=-01043989719-record-10.10.62.138-1489712410.4164.mp3</t>
  </si>
  <si>
    <t>20170317/3004063-20170317085349-TMDNiMTA3ZWIyMzZmZWMzYWViY2Q2NDRmMTNkYjRhY2U=-01043989717-record-10.10.62.138-1489712029.3633.mp3</t>
  </si>
  <si>
    <t>20170317/3004063-20170317085341-TMzFkYmJmMmUxZmMwMTc3YjYyODhkODQ1YzE0ZDZiMjM=-01043989718-record-10.10.62.138-1489712021.3623.mp3</t>
  </si>
  <si>
    <t>20170317/3004063-20170317085317-TNjk0ZDQ1NTQwMzZhYTVmYjBkMWRkMmVmNTQwMzcwMDE=-01043977565-record-10.10.62.138-1489711997.3599.mp3</t>
  </si>
  <si>
    <t>20170317/3004063-20170317085111-TMmY3YTkwMzA3YzMyNGNmZjBlNThjMDFkMzdiNTI3MzA=-01043989718-record-10.10.62.138-1489711871.3453.mp3</t>
  </si>
  <si>
    <t>20170317/3004063-20170317084912-TMGNiMTJhZGQyYWM2YmE0NmIwNTFmMDE4ZGNkZmNhY2I=-01043977565-record-10.10.62.138-1489711752.3326.mp3</t>
  </si>
  <si>
    <t>20170317/3004063-20170317084709-TNGU4Y2FjMWExZTU2ZWJhN2ZlNzc1YjVjZjE1NzIyYjE=-01043977565-record-10.10.62.138-1489711629.3190.mp3</t>
  </si>
  <si>
    <t>20170317/3004063-20170317084703-TZGU2Y2E2Njg1MTU2YWU4N2QyZWI1YWVkYzFiNjA1Nzg=-01043977567-record-10.10.62.138-1489711623.3180.mp3</t>
  </si>
  <si>
    <t>20170317/3004063-20170317083932-TYTk2M2YxM2ZjZjMzNzUxZGRmMDViOTQ5ZmQ4ZDYyYjQ=-01043989718-record-10.10.62.138-1489711172.2691.mp3</t>
  </si>
  <si>
    <t>20170317/3004063-20170317083831-TZGQ1OGUxN2VlMjg0MDg3MGRhZWY3YjA1MjdiMTIzZTY=-01043977567-record-10.10.62.138-1489711111.2634.mp3</t>
  </si>
  <si>
    <t>20170317/3004063-20170317083425-TZmY5NDU0ZWQzMzQ3NjU1ZTAxYWZlMDAyZDk1ODIxNDE=-01043989719-record-10.10.62.138-1489710865.2393.mp3</t>
  </si>
  <si>
    <t>20170317/3004063-20170317082522-TZGE3ZjJhNWY4ZTMxNzllY2VmYTIzNWE1NDhhMzllNjE=-01043989719-record-10.10.62.138-1489710322.1993.mp3</t>
  </si>
  <si>
    <t>20170317/3004063-20170317081120-TMTM4NGE0NjFjOTIxOTZiZWNjNDFjZTMyZThkMjExMWY=-01000000000-record-10.10.62.138-1489709480.1465.mp3</t>
  </si>
  <si>
    <t>20170317/3004063-20170317080908-TMTM4NGE0NjFjOTIxOTZiZWNjNDFjZTMyZThkMjExMWY=-01000000000-record-10.10.62.138-1489709348.1395.mp3</t>
  </si>
  <si>
    <t>20170317/3004063-20170317080011-TNDhjMmE4OGM0ZDZjOTNiMDJlYzdlNjQ4NDc1N2ExMGM=-01043977567-record-10.10.62.138-1489708811.1160.mp3</t>
  </si>
  <si>
    <t>20170316/3004063-20170316203821-TYmRkNWFhODk5MzNiMmI2YmM5OWI1NmM4MDJlMmU5ZGM=-01043977569-record-10.10.62.138-1489667901.139538.mp3</t>
  </si>
  <si>
    <t>20170316/3004063-20170316203112-TZmJjMjEwNmNjZTRlNDkwMDI5ZTFmYThhYzdiZTFkZTE=-01043989717-record-10.10.62.138-1489667472.138963.mp3</t>
  </si>
  <si>
    <t>20170316/3004063-20170316201826-TOWYyZmU4MDY2NjE2NWFiMTA5YTk0YTcyMDE0NmMyZmQ=-01043989718-record-10.10.62.138-1489666706.137920.mp3</t>
  </si>
  <si>
    <t>20170316/3004063-20170316200430-TODM4NTgwMWYxZWU4NTVkYWQyOWJjYmJjNWM1MDQxNzI=-01000000000-record-10.10.62.138-1489665870.136841.mp3</t>
  </si>
  <si>
    <t>20170316/3004063-20170316200408-TMWFhOTAyMTk4ODYxOGEyNzgyMDA1MGEwYTQxM2ZkMDY=-01043977569-record-10.10.62.138-1489665848.136813.mp3</t>
  </si>
  <si>
    <t>浙江/衢州</t>
  </si>
  <si>
    <t>20170316/3004063-20170316200213-TMWU5NjczM2JmMTkwNWFiZDhkZjdlY2YwMjVhMTAzNmU=-01043989718-record-10.10.62.138-1489665733.136621.mp3</t>
  </si>
  <si>
    <t>20170316/3004063-20170316195819-TYWI0ZTcxMjliYjIxMzczMWVmNmM5NjcyOTZhNzRiYzQ=-01043989717-record-10.10.62.138-1489665499.136312.mp3</t>
  </si>
  <si>
    <t>贵州/毕节</t>
  </si>
  <si>
    <t>20170316/3004063-20170316195453-TZDFjZjI3MzlmNTFjNWQzMzlhMjdlYTFlNDI1YzFkMDQ=-01043989718-record-10.10.62.138-1489665293.136037.mp3</t>
  </si>
  <si>
    <t>20170316/3004063-20170316191223-TYjJlYTUyNDk0MTU3OGM0MjU5N2I2YzY5ODMzNjRhZDI=-01043977566-record-10.10.62.138-1489662743.132519.mp3</t>
  </si>
  <si>
    <t>20170316/3004063-20170316185307-TZjI5YTUxODI4M2U0ZGEwNGY5ODNjYTJmMzIxMWQ5ODc=-01043989717-record-10.10.62.138-1489661587.130554.mp3</t>
  </si>
  <si>
    <t>20170316/3004063-20170316184618-TNjU1OThkMmIwNjViYmE0NjRjYmU3NzcwN2I4YmQxNzM=-01043989717-record-10.10.62.138-1489661178.129936.mp3</t>
  </si>
  <si>
    <t>20170316/3004063-20170316183552-TZTgyMTFmZjBhZWUwN2E5MjIwZTI4ZmUyNDU5YWY1ZmU=-01043977567-record-10.10.62.138-1489660552.128900.mp3</t>
  </si>
  <si>
    <t>20170316/3004063-20170316183517-TMmE5ZDVlZmQ4OWI3MjliZGJjYjhlYWQwMGE4YjQ3NTk=-01043977568-record-10.10.62.138-1489660517.128853.mp3</t>
  </si>
  <si>
    <t>20170316/3004063-20170316183224-TMzc3YjA1YzkyMTE2MGNmMjczMjAxOWJmZTFlMGY5OWE=-01043977567-record-10.10.62.138-1489660344.128526.mp3</t>
  </si>
  <si>
    <t>20170316/3004063-20170316180554-TNmQyMDU5NWE3OWMyNTNhMGZhMTRkN2NmODVjODA2MzE=-01043977568-record-10.10.62.138-1489658754.124967.mp3</t>
  </si>
  <si>
    <t>20170316/3004063-20170316175953-TMThiMDUyMmI5YjA2N2NkZmEzOGZhNzg1MGQ2YWFhNjc=-01043977567-record-10.10.62.138-1489658393.123955.mp3</t>
  </si>
  <si>
    <t>20170316/3004063-20170316175330-TYTZiMjE3NzJjNDJiMmJjMmE5ZDAyYzNiYWU2MmE0YTM=-01043989719-record-10.10.62.138-1489658010.122537.mp3</t>
  </si>
  <si>
    <t>20170316/3004063-20170316171652-TYjU4YzZjNTdmZjBjOGM2YTJlMDUxZGE0YmJiMTZjZmM=-01043989719-record-10.10.62.138-1489655812.115277.mp3</t>
  </si>
  <si>
    <t>20170316/3004063-20170316171334-TNzVhNWRkMjIwNTFlNGM2ZDUwMDAxZTVlMjQwOWM1MGQ=-01043977565-record-10.10.62.138-1489655614.114556.mp3</t>
  </si>
  <si>
    <t>20170316/3004063-20170316170912-TYTZkZWM3OGE0YTYzZTc2ODkzMTVkODIzMGFkMjU0NjY=-01043989719-record-10.10.62.138-1489655352.113334.mp3</t>
  </si>
  <si>
    <t>20170316/3004063-20170316170029-TMDhmZTkxYmY5ZDJhYjExZDY4NmQwNzAxOWRhYmQwNzc=-01043977568-record-10.10.62.138-1489654829.111155.mp3</t>
  </si>
  <si>
    <t>20170316/3004063-20170316165840-TNTg3ZTRjMjU4MzFmZjUwYjIyY2E3MWIyOTI2MTQwY2Q=-01043977567-record-10.10.62.138-1489654720.110644.mp3</t>
  </si>
  <si>
    <t>20170316/3004063-20170316165015-TYWYyMjYyZTYzMWY1MzkxMDBhNDdhODlkZTYzNjA2Nzc=-01043989719-record-10.10.62.138-1489654215.108494.mp3</t>
  </si>
  <si>
    <t>20170316/3004063-20170316164612-TOTFjYzNiYTYxYWYyYmJhYzA4N2VmMDIzY2ZkNDdiN2Q=-01043989719-record-10.10.62.138-1489653972.107401.mp3</t>
  </si>
  <si>
    <t>20170316/3004063-20170316164409-TZjY4YjJlY2M1NWE2MjVmYTg3OTU0NmY1N2YzZmEyODQ=-01043989720-record-10.10.62.138-1489653849.106781.mp3</t>
  </si>
  <si>
    <t>20170316/3004063-20170316164043-TNTVkZmU4Njk1MzVjYjViMjQ0NGE5MWVkOWQ0NTRhNTk=-01043977568-record-10.10.62.138-1489653643.105836.mp3</t>
  </si>
  <si>
    <t>20170316/3004063-20170316162848-TNzY2MTMyOTYyYmM5ZDAwYmQ4MjI3MGE2MDFmNGRiY2Q=-01043977568-record-10.10.62.138-1489652928.102730.mp3</t>
  </si>
  <si>
    <t>20170316/3004063-20170316162127-TZWIwNDZmNGJiZjA4ZDQ2OWIzMTA5NmU4OGE4MDA4YzA=-01043977568-record-10.10.62.138-1489652487.100851.mp3</t>
  </si>
  <si>
    <t>20170316/3004063-20170316161325-TYzQ5MWU0NjNjYTM4OWQ1MWRiYjRjZjRmYTc3YTVmNmQ=-01043989719-record-10.10.62.138-1489652005.98542.mp3</t>
  </si>
  <si>
    <t>20170316/3004063-20170316155637-TYWYwMGQwMGMxYWRhMjgxN2VmOGZiODFjNzdhY2RkODU=-01043989719-record-10.10.62.138-1489650997.93307.mp3</t>
  </si>
  <si>
    <t>20170316/3004063-20170316155450-TNDM4OTBmNDQwNGY3ZWUyZDFmOWY0ODEzNTU0MjZhZjk=-01043977565-record-10.10.62.138-1489650890.92732.mp3</t>
  </si>
  <si>
    <t>20170316/3004063-20170316155035-TNTQ5ODQ4ZTZmZjkwNzllNGY1NjE0NDI0MjcyZDg5MjY=-01043977567-record-10.10.62.138-1489650635.91434.mp3</t>
  </si>
  <si>
    <t>20170316/3004063-20170316154241-TNjhiMzFmZTJhYzQ2ZmJlNTZhY2U0YTU5OWU4YTRmODU=-01043977567-record-10.10.62.138-1489650161.89329.mp3</t>
  </si>
  <si>
    <t>20170316/3004063-20170316153443-TNzZmMGQ5NDg4MDY3Yzc4YTQyYmFkMzUyYmUyNGFiNWM=-01043989720-record-10.10.62.138-1489649683.87020.mp3</t>
  </si>
  <si>
    <t>20170316/3004063-20170316152159-TYWNjZGU4YTM3MWQ2NmVjMmY1MGUzMjkyOGY2NjNjMjE=-01043989719-record-10.10.62.138-1489648919.83428.mp3</t>
  </si>
  <si>
    <t>20170316/3004063-20170316151011-TYTZiMWNkN2YxM2NhNGEwNjg5NjliNDM1NjZiZTcxNjg=-01043977569-record-10.10.62.138-1489648211.79765.mp3</t>
  </si>
  <si>
    <t>20170316/3004063-20170316150923-TODJhNzY3ZGQwOGM2ZTI4NDQzM2ZlMWI1MjhkN2YwNmM=-01043989718-record-10.10.62.138-1489648163.79510.mp3</t>
  </si>
  <si>
    <t>20170316/3004063-20170316145646-TZjcxMmY0NTQ5ZmM0MTA0NThlNGNkYWQ2MmRhOWQ2M2U=-01043977568-record-10.10.62.138-1489647406.75744.mp3</t>
  </si>
  <si>
    <t>20170316/3004063-20170316144836-TMDU2NjA1NWQ4NjliOGNlOWNjMWQ3ZTg0NjVhMTI0MTI=-01043977568-record-10.10.62.138-1489646916.73533.mp3</t>
  </si>
  <si>
    <t>20170316/3004063-20170316144448-TM2FhMTg5Nzg5NjhlZmE0ZmM0MTU2MmUzYjkxMTBlNGQ=-01043977568-record-10.10.62.138-1489646688.72403.mp3</t>
  </si>
  <si>
    <t>芦文成</t>
  </si>
  <si>
    <t>20170316/3004063-20170316143456-TYTdiOWE0ODRhYjk0NDY4M2E3ZDQ5MTIyYWJlYWUyMmY=-18601060080-record-10.10.62.138-1489646096.69578.mp3</t>
  </si>
  <si>
    <t>20170316/3004063-20170316143423-TZDk5NGJhMGZmYmIxNGE5MjE3ZGU3YjI1ZmNhMzZhZjI=-01043989719-record-10.10.62.138-1489646063.69392.mp3</t>
  </si>
  <si>
    <t>20170316/3004063-20170316142213-TMDJlZDFhMzcyZDY1MzRjNTdlNGE1ZGY0MWE2NjMyMDk=-18601060080-record-10.10.62.138-1489645333.66172.mp3</t>
  </si>
  <si>
    <t>20170316/3004063-20170316142120-TNjdlNjlhN2I4YzRmODE2ZWE0M2Q0NDY0OGFjNTZkYmE=-01043989720-record-10.10.62.138-1489645280.65939.mp3</t>
  </si>
  <si>
    <t>20170316/3004063-20170316141318-TZjcxMmY0NTQ5ZmM0MTA0NThlNGNkYWQ2MmRhOWQ2M2U=-01043989720-record-10.10.62.138-1489644798.63504.mp3</t>
  </si>
  <si>
    <t>20170316/3004063-20170316140406-TMmNkMmQ1NzdkY2QyYmNkOGU0ZmNmOGZiZTIzMzgyMzk=-01043989720-record-10.10.62.138-1489644246.61050.mp3</t>
  </si>
  <si>
    <t>20170316/3004063-20170316135114-TN2ZlYTAxMzRiMzU0YWYxZTI2Yjk4YTU4Nzk4MTMxYjU=-18601060080-record-10.10.62.138-1489643474.57947.mp3</t>
  </si>
  <si>
    <t>20170316/3004063-20170316134654-TYzIwODFiN2Q3ZTM1ZmYzZGJiMmFlNDI5ZmEyMzM2ZjU=-01043989719-record-10.10.62.138-1489643214.56872.mp3</t>
  </si>
  <si>
    <t>20170316/3004063-20170316134303-TN2ZlYTAxMzRiMzU0YWYxZTI2Yjk4YTU4Nzk4MTMxYjU=-01043989719-record-10.10.62.138-1489642983.55937.mp3</t>
  </si>
  <si>
    <t>20170316/3004063-20170316134103-TNWUyZjMzZDg0ZWJjZjU3NjIxMjNhMWE0NDIwOGJkOWU=-01043989720-record-10.10.62.138-1489642863.55407.mp3</t>
  </si>
  <si>
    <t>20170316/3004063-20170316133216-TNGRhODFlZTBjODM0YTQ5NGI2M2U5NTAzNThkMDUxMTk=-18601060080-record-10.10.62.138-1489642336.53264.mp3</t>
  </si>
  <si>
    <t>20170316/3004063-20170316132619-TYWY3YjQ0ZTUwMWVlMjgwYjI1NTViYmE0N2NhYWE5Nzc=-01043989719-record-10.10.62.138-1489641979.51938.mp3</t>
  </si>
  <si>
    <t>20170316/3004063-20170316132046-TMWVkODRkYjU2OWUxMGYzZGIzNGY3ZWViN2Y2NjZmYmZiMmQ4MGM0NDhhMjIyODA4NjZkMzhkNzc5MzU5N2M1Mg==-01043989720-record-10.10.62.138-1489641646.50997.mp3</t>
  </si>
  <si>
    <t>20170316/3004063-20170316123655-TYjg5YzBiNjA4YWQyYTVmOWQ4ZWM1MmQ4ZWQ1ZGY5N2Q=-01043977568-record-10.10.62.138-1489639015.45946.mp3</t>
  </si>
  <si>
    <t>20170316/3004063-20170316120910-TYmJkZTkwZjk3MTBhY2I3YWUxOTc1M2I4ZmUxZDRlN2Q=-01043989719-record-10.10.62.138-1489637350.43044.mp3</t>
  </si>
  <si>
    <t>20170316/3004063-20170316115217-TYmM3ODE4Mjk2MDgyYTg0OWU2NWJkNGVhNGNlMmY1M2M=-01043977567-record-10.10.62.138-1489636337.40097.mp3</t>
  </si>
  <si>
    <t>20170316/3004063-20170316113436-TYjYxN2MwZGQ4MmVmYzkwOWRiZWYxODI3NzQzNGZhYjk=-01043977568-record-10.10.62.138-1489635276.36382.mp3</t>
  </si>
  <si>
    <t>20170316/3004063-20170316111245-TNjk1Y2Q4Njc0YTA2YTkyNGU0ZGE1MjM3MDMxMTBhZTI=-01043977567-record-10.10.62.138-1489633965.30814.mp3</t>
  </si>
  <si>
    <t>20170316/3004063-20170316105216-TMWEyYjQwZmE3M2UyZWNlNTgzMzllNDMyNGM1ZDUwMGE=-01043977567-record-10.10.62.138-1489632736.25342.mp3</t>
  </si>
  <si>
    <t>20170316/3004063-20170316105204-TMDA3MTQ4Y2UxMTcwNGRmMWFmZDZmOGQxZDk3ZmNiODE=-01043989719-record-10.10.62.138-1489632724.25293.mp3</t>
  </si>
  <si>
    <t>20170316/3004063-20170316104831-TYmE2MDNlMjAwMGNjMzBkNjE5N2ExZWQ5ZTY5NmU2NTI=-01043977568-record-10.10.62.138-1489632511.24425.mp3</t>
  </si>
  <si>
    <t>20170316/3004063-20170316104532-TMWEyYjQwZmE3M2UyZWNlNTgzMzllNDMyNGM1ZDUwMGE=-01043977568-record-10.10.62.138-1489632332.23675.mp3</t>
  </si>
  <si>
    <t>20170316/3004063-20170316103546-TYmVkZmM4ZjI3MDE2OGY2ZGMzMmEwNzU1OWIwMzU3MTY=-01043989719-record-10.10.62.138-1489631746.21180.mp3</t>
  </si>
  <si>
    <t>20170316/3004063-20170316103400-TMjA0MGI5Y2Y0MWIxMzhlNTJmMThjNmZiMjA1NDEzYjg=-01043977568-record-10.10.62.138-1489631640.20726.mp3</t>
  </si>
  <si>
    <t>20170316/3004063-20170316103239-TY2U4MjkyYzk3NDJkYTc0MWQ5MzFiZDM0MmYzMTVhNWE=-01043989719-record-10.10.62.138-1489631559.20393.mp3</t>
  </si>
  <si>
    <t>20170316/3004063-20170316102704-TZDZjNGVlOWIwNWFjMTkxZTIyYjcxYmZmZTJiZTc1NzE=-01043989720-record-10.10.62.138-1489631224.19146.mp3</t>
  </si>
  <si>
    <t>20170316/3004063-20170316102320-TMmE3MjhmZGY4NDUyNzc4OTI4ZDQ1OWNmZmQ4ODFkZDE=-01043989719-record-10.10.62.138-1489631000.18192.mp3</t>
  </si>
  <si>
    <t>20170316/3004063-20170316102220-TMDRkMTgyMzk3ZTQxNzdiNjdmYzRiY2UyMzY4NWU1MmI=-01043989720-record-10.10.62.138-1489630940.17941.mp3</t>
  </si>
  <si>
    <t>20170316/3004063-20170316101546-TZDZjNGVlOWIwNWFjMTkxZTIyYjcxYmZmZTJiZTc1NzE=-01043989719-record-10.10.62.138-1489630546.16319.mp3</t>
  </si>
  <si>
    <t>20170316/3004063-20170316100942-TZDZjNGVlOWIwNWFjMTkxZTIyYjcxYmZmZTJiZTc1NzE=-01043989719-record-10.10.62.138-1489630182.14971.mp3</t>
  </si>
  <si>
    <t>20170316/3004063-20170316100827-TMWEyYjQwZmE3M2UyZWNlNTgzMzllNDMyNGM1ZDUwMGE=-01043977567-record-10.10.62.138-1489630107.14690.mp3</t>
  </si>
  <si>
    <t>20170316/3004063-20170316095707-TYmQ1ZTNhNDk3YWE5NTBjN2I2OTc0ODVhOWNlMTBjMTU=-01043989719-record-10.10.62.138-1489629427.12383.mp3</t>
  </si>
  <si>
    <t>20170316/3004063-20170316093844-TOTYxNzBlOTZiYjQ1ZTU3OWUxYWU2MTgzNmZlYmIwN2I=-01043989719-record-10.10.62.138-1489628324.9166.mp3</t>
  </si>
  <si>
    <t>20170316/3004063-20170316092412-TZTY5ODQ1YThkMzA3N2FhYzllYWI0OTFkODViMjExMmU=-01043989719-record-10.10.62.138-1489627452.7030.mp3</t>
  </si>
  <si>
    <t>20170316/3004063-20170316092341-TYTIzOWM0M2EyNzMzOWEwZDRkMDZiNWI0MWVkMGY0Mjc=-01043977567-record-10.10.62.138-1489627421.6972.mp3</t>
  </si>
  <si>
    <t>20170316/3004063-20170316091823-TMGZjYzhhODYyZmNiM2I5MGUzZDlhM2E4OTg3MjIzYTc=-01043989720-record-10.10.62.138-1489627103.6241.mp3</t>
  </si>
  <si>
    <t>20170316/3004063-20170316091219-TNzM2OWM0YWQ5NWQ0NWFlZWMzNTAyN2JlMGEzMGY0ZGU=-01043989719-record-10.10.62.138-1489626739.5508.mp3</t>
  </si>
  <si>
    <t>20170316/3004063-20170316084203-TMDQ4MjAzYjE2MmU4ZTI4NzliMDBkZTg2ZWI1ZjYzMDI=-01043989720-record-10.10.62.138-1489624923.2728.mp3</t>
  </si>
  <si>
    <t>20170316/3004063-20170316083829-TZDZjNGVlOWIwNWFjMTkxZTIyYjcxYmZmZTJiZTc1NzE=-01043989719-record-10.10.62.138-1489624709.2553.mp3</t>
  </si>
  <si>
    <t>20170316/3004063-20170316082546-TYzFhMjE3ZTlkMDAxODY0ODUwMGZjNmMyZTdlN2MxM2E=-01043977567-record-10.10.62.138-1489623946.1998.mp3</t>
  </si>
  <si>
    <t>20170316/3004063-20170316082142-TMTAyMWRlNzk4ZTRkM2I4N2IyYzM3NjMxY2M0NWQ4NDM=-01043977567-record-10.10.62.138-1489623702.1833.mp3</t>
  </si>
  <si>
    <t>20170316/3004063-20170316081333-TNzA5NTJmYTVlY2Q1MzljMzliZmY3ZTQ3Yzg3NzYyMzE=-01043989720-record-10.10.62.138-1489623213.1521.mp3</t>
  </si>
  <si>
    <t>20170419/3004063-20170419213202-TYjc1MTRkMzVmNjk3MzQzZGQzN2Y1NTJkNzdjMDk5ODc=-10.10.62.138-1492608722.289712.mp3</t>
  </si>
  <si>
    <t>20170419/3004063-20170419205119-TYzhjMzliNTk3MmRlNjQ1MzM2ODY3YWZkNTMwZjg2NDY=-01043989717-record-10.10.62.138-1492606279.285120.mp3</t>
  </si>
  <si>
    <t>20170419/3004063-20170419204438-TMDJhMDM0ZDUyYzdiZmMxN2ViMmFkNDI4ZDk0N2Q2Mjc=-01043977569-record-10.10.62.138-1492605878.284154.mp3</t>
  </si>
  <si>
    <t>20170419/3004063-20170419203124-TNWExYzBmZDMzMWJmNzBiMzFhNDdlNTViMjEzM2E0Njc=-01043977569-record-10.10.62.138-1492605084.282237.mp3</t>
  </si>
  <si>
    <t>20170419/3004063-20170419201119-TY2Q5ZjJjODM5ZDFmYTdiNzRjZjRiZmQ2OGMzOWViMjI=-01043977572-record-10.10.62.138-1492603879.278929.mp3</t>
  </si>
  <si>
    <t>20170419/3004063-20170419194440-TZTFjNzUzNzY2YTBkMWZkODJlNjQ5N2YyYmRmZjAxZGI=-01043989717-record-10.10.62.138-1492602280.273960.mp3</t>
  </si>
  <si>
    <t>20170419/3004063-20170419191440-TZjA2OTcyYTMwNmQ5YWFlMzdmNzllMjBhOTIzZjgyZDQ=-01043989717-record-10.10.62.138-1492600480.267904.mp3</t>
  </si>
  <si>
    <t>20170419/3004063-20170419190219-TNDFkYTJkZTIwZjUyMjdkNjBmYzQ1NTFhNmMyZmZiYjc=-01043977569-record-10.10.62.138-1492599739.265093.mp3</t>
  </si>
  <si>
    <t>20170419/3004063-20170419180703-TZTMxMjFjYWRjYmNjZmQyMDEwOWViMjY1ZWU3OTVkNjY=-01043977567-record-10.10.62.138-1492596423.248312.mp3</t>
  </si>
  <si>
    <t>20170419/3004063-20170419175240-TMDM3YWY3ZTJjNjkwOTEzYjYzMzBlMmE4NTlmYzYwNTE=-01043977569-record-10.10.62.138-1492595560.243776.mp3</t>
  </si>
  <si>
    <t>20170419/3004063-20170419175005-TOWNmODg1ZDZhOTQ3ZWMxYTI0ODI3MWZiMTAzMDY2NjM=-01043989717-record-10.10.62.138-1492595405.242809.mp3</t>
  </si>
  <si>
    <t>20170419/3004063-20170419174423-TOGRhZDcyZjc4MGI2MzNjMDRkMTU5MmJkOTk1NzNhMDI=-01043977572-record-10.10.62.138-1492595063.240604.mp3</t>
  </si>
  <si>
    <t>20170419/3004063-20170419170305-TMTYwOGY1OWYzN2JmOTdmNmRkOWMyODIwNDUzMmMyNmI=-01043977569-record-10.10.62.138-1492592585.222343.mp3</t>
  </si>
  <si>
    <t>海南/海口|三亚</t>
  </si>
  <si>
    <t>20170419/3004063-20170419170013-TN2QzMDUwYWZmODI1YTkwZGZmMzViMWNiNjFhMDdmNDE=-01043977567-record-10.10.62.138-1492592413.220860.mp3</t>
  </si>
  <si>
    <t>20170419/3004063-20170419162438-TMDkxYmMzZDc1MWRhY2RmMGU1MWVhYWEzZGE2NjNmOTg=-01043977567-record-10.10.62.138-1492590278.202989.mp3</t>
  </si>
  <si>
    <t>20170419/3004063-20170419161105-TNGZiZmJkMjE1MjQxN2IyNjlkZjhlNzNlYTA5N2RiMjc=-01043977572-record-10.10.62.138-1492589465.195937.mp3</t>
  </si>
  <si>
    <t>20170419/3004063-20170419155832-TNmYzYzdiNDljYjYzYzgzYWU5ZGQwZTM0ZjNlNzRkNzA=-01043977567-record-10.10.62.138-1492588712.189138.mp3</t>
  </si>
  <si>
    <t>20170419/3004063-20170419155658-TZWJiYzdmMzQyMzY2M2QxZjZlMTgxYTE2MzRkNjMzYjE=-01043977568-record-10.10.62.138-1492588618.188191.mp3</t>
  </si>
  <si>
    <t>20170419/3004063-20170419155307-TYjgwNDM5YWUxNmIxN2ZlMzFkNWMxYWQwNWFhNzM4YzU=-13718091869-record-10.10.62.138-1492588387.185995.mp3</t>
  </si>
  <si>
    <t>20170419/3004063-20170419154156-TYzI0YjQ0ZDFhNDM4NWI1ZmNkYzNiZDU3ZDQzYzI4YmI=-01043977568-record-10.10.62.138-1492587716.180142.mp3</t>
  </si>
  <si>
    <t>20170419/3004063-20170419153935-TMDVhNWY1NmI5NWRjYjM2ZGFkNGQ0ZDg0OTNjYTBkNWU=-01043977569-record-10.10.62.138-1492587575.178894.mp3</t>
  </si>
  <si>
    <t>20170419/3004063-20170419153223-TYmMyYmZjOTVjYzE1Zjc1YzZiOWVhZjk3OGFjZTlhNGY=-01043977566-record-10.10.62.138-1492587143.175246.mp3</t>
  </si>
  <si>
    <t>20170419/3004063-20170419152948-TMDE3MDBiMzFmMzU1OGRhYjkwNWIyOWQ4OGViOTA5M2I=-01043977567-record-10.10.62.138-1492586988.173946.mp3</t>
  </si>
  <si>
    <t>20170419/3004063-20170419152216-TMmY1ZDgzOGZhZGE1ZGQ5YzVkN2NjY2JmNGNlMDFkYTQ=-13718091869-record-10.10.62.138-1492586536.169784.mp3</t>
  </si>
  <si>
    <t>20170419/3004063-20170419151404-TMzhlMmE4NDcxNDg5MmQxZmI4NTkxZjA0Y2ZjYTBmZDc=-01043977572-record-10.10.62.138-1492586044.165231.mp3</t>
  </si>
  <si>
    <t>20170419/3004063-20170419150743-TZjliYWI0YzMyNmJlZWQ0ZDhkM2U5MGEyODRhMWU0MDU=-01043977568-record-10.10.62.138-1492585663.161496.mp3</t>
  </si>
  <si>
    <t>20170419/3004063-20170419150104-TMzM4NGQ5YjNmMjE4ZWI4NGVhZjYzNTgxOGYxOTVmN2U=-01043977568-record-10.10.62.138-1492585264.157460.mp3</t>
  </si>
  <si>
    <t>20170419/3004063-20170419145157-TOWU1ZGE3NTc5ODEwZDM1N2U4OTVhNTE4OTJhNGM4ZTE=-01043977572-record-10.10.62.138-1492584717.152500.mp3</t>
  </si>
  <si>
    <t>20170419/3004063-20170419144503-TMmY1ZDgzOGZhZGE1ZGQ5YzVkN2NjY2JmNGNlMDFkYTQ=-01043977566-record-10.10.62.138-1492584303.148725.mp3</t>
  </si>
  <si>
    <t>20170419/3004063-20170419144222-TMDZhYTFmM2Y2MzMwYWFhOWM0ZGJjZWE2YmMwMzY3MDk=-01043977568-record-10.10.62.138-1492584142.147333.mp3</t>
  </si>
  <si>
    <t>20170419/3004063-20170419144109-TN2MyM2MyZmU1MDRiYmIwMmRmMzEzOGRiZGU0OTkzMjU=-01043977567-record-10.10.62.138-1492584069.146698.mp3</t>
  </si>
  <si>
    <t>20170419/3004063-20170419143435-TZjY4MzYxMWY2Y2NjZjA4N2Y3ZmJmZWU1ZWJlMDExYzM=-01043977572-record-10.10.62.138-1492583675.143104.mp3</t>
  </si>
  <si>
    <t>遇忙支撑</t>
  </si>
  <si>
    <t>20170419/3004063-20170419142805-TMWQ5ODk1YmJjYmViODUyMzhjMzc2OTE5ODVlMjRlNmQ=-13699138136-record-10.10.62.138-1492583285.139548.mp3</t>
  </si>
  <si>
    <t>20170419/3004063-20170419141504-TNTYyNzU2YTI4MzQ4YmY5OTM3YjU1YzQ5NmQwOTA4M2M=-01043977566-record-10.10.62.138-1492582504.132383.mp3</t>
  </si>
  <si>
    <t>转移:座席号-0010</t>
  </si>
  <si>
    <t>20170419/3004063-20170419141423-TYTgzOGEwZGJmZmY2ZTBiNzkzZTNmMjY1OWM1ZTg3ZDA=-01043977567-record-10.10.62.138-1492582463.131989.mp3</t>
  </si>
  <si>
    <t>转移:座席号-0035</t>
  </si>
  <si>
    <t>20170419/3004063-20170419141008-TYTgzOGEwZGJmZmY2ZTBiNzkzZTNmMjY1OWM1ZTg3ZDA=-01043977569-record-10.10.62.138-1492582208.129604.mp3</t>
  </si>
  <si>
    <t>20170419/3004063-20170419140639-TYTY1Njk1ZDczYjhiNzg0Y2RmZDBjMjQ3OGQ4M2NmZGU=-01043989717-record-10.10.62.138-1492581999.127687.mp3</t>
  </si>
  <si>
    <t>20170419/3004063-20170419135514-TMWQ5ODk1YmJjYmViODUyMzhjMzc2OTE5ODVlMjRlNmQ=-01043977572-record-10.10.62.138-1492581314.122241.mp3</t>
  </si>
  <si>
    <t>20170419/3004063-20170419131919-TMjAzNDFjMTNlYmNkMGExNmQ0NzRhYzdmZjRjYzAyNTM=-01043989717-record-10.10.62.138-1492579159.108993.mp3</t>
  </si>
  <si>
    <t>20170419/3004063-20170419115938-TOWIyYmExYTg0ZjFkOTAzNzNiMjRkODM2MmVhZjJhNDA=-01043977568-record-10.10.62.138-1492574378.88804.mp3</t>
  </si>
  <si>
    <t>20170419/3004063-20170419114039-TMjI3NjRmOGI2NTBjMWE5MDFkMDM4ZGIxNWZmMzk3OTQ=-01043977568-record-10.10.62.138-1492573239.79921.mp3</t>
  </si>
  <si>
    <t>20170419/3004063-20170419112813-TNDYyYmVkMDE5OTc4Y2JiZjhmZjZlZWZiZTBmYjgwNjk=-01043977567-record-10.10.62.138-1492572493.73599.mp3</t>
  </si>
  <si>
    <t>20170419/3004063-20170419111304-TYmNkNzZkNjgwNmEzMjc2MjU5YzAyZmVmYmMyZjlmZjU=-01043977566-record-10.10.62.138-1492571584.65162.mp3</t>
  </si>
  <si>
    <t>20170419/3004063-20170419111140-TMjA3ZTc5ODQyNTI3ZDEwYjRkNDFjNDJjN2Y4MGY1Yzc=-01043977572-record-10.10.62.138-1492571500.64453.mp3</t>
  </si>
  <si>
    <t>20170419/3004063-20170419105824-TMjQ2MDQwNGM3NjFjYzQ1NTg4ZGJjYmE5OTJkYmQyMjc=-01043989717-record-10.10.62.138-1492570704.57097.mp3</t>
  </si>
  <si>
    <t>20170419/3004063-20170419105815-TODQwYzgwOGZhZTQxNjlhNTAzMjQ2OTgzMzNlNDNkMDQ=-01043977566-record-10.10.62.138-1492570695.57019.mp3</t>
  </si>
  <si>
    <t>20170419/3004063-20170419105431-TNjAwNDI0NTg0YjNlZGE3MzdlMzM0ODdiMjgzZDUyZDg=-01043977568-record-10.10.62.138-1492570471.54913.mp3</t>
  </si>
  <si>
    <t>20170419/3004063-20170419105115-TOGFjN2Y3NzBjNzY1MWNlMmFjYWRmZmFhYzQxYWJmNjI=-01043977566-record-10.10.62.138-1492570275.53075.mp3</t>
  </si>
  <si>
    <t>20170419/3004063-20170419104616-TZjQzMDEwNGM2YzI3ZGMwMmRlYWEyYzQwMTVjM2Q0NmI=-01043977572-record-10.10.62.138-1492569976.50327.mp3</t>
  </si>
  <si>
    <t>20170419/3004063-20170419102432-TN2E5ZjA2MzE0MDY1YmQ5OWFiNDY2ZmViMGRmZDgyNjU=-01043977566-record-10.10.62.138-1492568672.38338.mp3</t>
  </si>
  <si>
    <t>20170419/3004063-20170419102322-TNjA1YTgzOTRjZDFjMWM0MmZiNjQ0NWYzODhhZGM1MmI=-01043977573-record-10.10.62.138-1492568602.37746.mp3</t>
  </si>
  <si>
    <t>20170419/3004063-20170419102201-TY2Y2OGE3ZTRlYTgwMmM1NTA5NjQ5OWMzMzIxOTk4YTM=-01043977566-record-10.10.62.138-1492568521.37044.mp3</t>
  </si>
  <si>
    <t>20170419/3004063-20170419101302-TYmFjNGVhOTI2ZWY2NjI4ZjdhYmMzNDMxYTEwYTE2Mjc=-01043977568-record-10.10.62.138-1492567982.32427.mp3</t>
  </si>
  <si>
    <t>20170419/3004063-20170419101051-TYmVhMzJlMDY0MDg1Mzc4NzhmNmM5M2I2MDc2NWQ4ZDY=-01043977566-record-10.10.62.138-1492567851.31325.mp3</t>
  </si>
  <si>
    <t>20170419/3004063-20170419095757-TMjNjZWFhNGJkOGM4OThkNmUyZjgwNmM1ZjNjZWQ5ZTQ=-01043977568-record-10.10.62.138-1492567077.24749.mp3</t>
  </si>
  <si>
    <t>20170419/3004063-20170419095506-TMDI1ZTBhYTg3M2YwMTVmNDg5ZTBmYTFlOTJjNTA5YzE=-01043977565-record-10.10.62.138-1492566906.23348.mp3</t>
  </si>
  <si>
    <t>20170419/3004063-20170419095318-TOGYwMGZhNDAyODQxN2M0MDU3NjNlMjE2NjNkYzhkZWI=-01043977568-record-10.10.62.138-1492566798.22485.mp3</t>
  </si>
  <si>
    <t>20170419/3004063-20170419094036-TODE1YTk1NmUxOTMzN2RlM2NiODYyMThiMDVmZjc1MjE=-01043977568-record-10.10.62.138-1492566036.16348.mp3</t>
  </si>
  <si>
    <t>20170419/3004063-20170419092949-TODUzOGZhOTM1ZGU5MjNkY2U1YTQ2ZjY3YmFhYTNjZmY=-01043977565-record-10.10.62.138-1492565389.11755.mp3</t>
  </si>
  <si>
    <t>20170419/3004063-20170419092823-TYzNkOTRhODQ4NDBiMDcwMjIxODlmNTIzODVkNjMyMzE=-18600169000-record-10.10.62.138-1492565303.11288.mp3</t>
  </si>
  <si>
    <t>20170419/3004063-20170419092443-TYzNkOTRhODQ4NDBiMDcwMjIxODlmNTIzODVkNjMyMzE=-18600169000-record-10.10.62.138-1492565083.10233.mp3</t>
  </si>
  <si>
    <t>20170419/3004063-20170419092325-TYzNkOTRhODQ4NDBiMDcwMjIxODlmNTIzODVkNjMyMzE=-18600169000-record-10.10.62.138-1492565005.9906.mp3</t>
  </si>
  <si>
    <t>20170419/3004063-20170419092147-TNjRjNzVhOTY4ZGM5NGUwYWRjMmQ3ZjQ0MjE0YzRhZGI=-01043977573-record-10.10.62.138-1492564907.9504.mp3</t>
  </si>
  <si>
    <t>20170419/3004063-20170419092129-TMWQ5ODk1YmJjYmViODUyMzhjMzc2OTE5ODVlMjRlNmQ=-01043977568-record-10.10.62.138-1492564889.9423.mp3</t>
  </si>
  <si>
    <t>20170419/3004063-20170419091929-TYzNkOTRhODQ4NDBiMDcwMjIxODlmNTIzODVkNjMyMzE=-18600169000-record-10.10.62.138-1492564769.8953.mp3</t>
  </si>
  <si>
    <t>20170419/3004063-20170419091416-TMzNmMGY1NDA0NzM5MTliYjEwZjNlOWNhMGYzZmUyYjU=-01043977568-record-10.10.62.138-1492564456.7826.mp3</t>
  </si>
  <si>
    <t>20170419/3004063-20170419085653-TMzRmMGZlMjVlY2UxZDhjNDFiM2ZmNzkzZjM4NWMwMTQ=-01043977573-record-10.10.62.138-1492563413.4893.mp3</t>
  </si>
  <si>
    <t>20170419/3004063-20170419083930-TZTRkZjUyNDRlZTgxODA0ZTk5YmRkY2EyYzNhOWI2OTc=-01043977573-record-10.10.62.138-1492562370.3499.mp3</t>
  </si>
  <si>
    <t>20170419/3004063-20170419083557-TMWYzODg2MjYwZDFiMzhiNGMxMjJhNmIyNmI2NmQyZWM=-01043977573-record-10.10.62.138-1492562157.3242.mp3</t>
  </si>
  <si>
    <t>20170419/3004063-20170419082954-TMzg0YjM2NzJlMzYwOWYwODU2YWNiNmUxNjkzNWI2YjI=-01043977568-record-10.10.62.138-1492561794.2864.mp3</t>
  </si>
  <si>
    <t>20170418/3004063-20170418203439-TYjIyNGYzM2ZjZjhjMWY3YTI1NWQyOGU0MmY3OTRlNzE=-01043977572-record-10.10.62.138-1492518879.292100.mp3</t>
  </si>
  <si>
    <t>20170418/3004063-20170418203251-TZmMxNzU1NWViMDJjMDAwNzg5MTllYWM1YjE0MDk3NDM=-01043977569-record-10.10.62.138-1492518771.291728.mp3</t>
  </si>
  <si>
    <t>20170418/3004063-20170418201927-TZWViN2RkNzliYjc4MDU4NDFiMjU3YTFiYmYzNjk4NTg=-01043977569-record-10.10.62.138-1492517967.289101.mp3</t>
  </si>
  <si>
    <t>20170418/3004063-20170418195018-TODc1MjkwYTJiZWVmZDAyM2Y0NTkyODExZWJkOGFiMTU=-01043977567-record-10.10.62.138-1492516218.284537.mp3</t>
  </si>
  <si>
    <t>20170418/3004063-20170418194408-TNWJmMGMwM2E2OWE2OWNmNzZlNzk3YjY0NjYxMmM3ZGU=-01043977567-record-10.10.62.138-1492515848.283643.mp3</t>
  </si>
  <si>
    <t>20170418/3004063-20170418193911-TYTNhM2I5Zjk3OTU4ZDgxNDQ4NGViMGJiOWEyY2RhYWE=-01043977572-record-10.10.62.138-1492515551.282881.mp3</t>
  </si>
  <si>
    <t>20170418/3004063-20170418193551-TM2Q3N2Q3ODZhMzk1YTFhNTIyYzgzZmNkZGIxMmE0MDI=-01043977569-record-10.10.62.138-1492515351.282311.mp3</t>
  </si>
  <si>
    <t>20170418/3004063-20170418190152-TMWNlZjNjMDA3NjBiNGJmN2YxYzAzNjg3NDQwOWRmNjE=-01043989717-record-10.10.62.138-1492513312.276839.mp3</t>
  </si>
  <si>
    <t>20170418/3004063-20170418180727-TODc5NzE2MzE2ZGU4MmM1OWFkYmE0NmFhYzhiMWY3YzY=-01043977567-record-10.10.62.138-1492510047.266089.mp3</t>
  </si>
  <si>
    <t>20170418/3004063-20170418172247-TYzcyZTExZGNjODMxMTY4MDIzNTJmZTAwNGE0ZDhiZjM=-01043977568-record-10.10.62.138-1492507367.252431.mp3</t>
  </si>
  <si>
    <t>20170418/3004063-20170418164639-TM2QzYzRhMWZmZjkxNzQyMDM5MjVhNjVhMDkwNmI2MDc=-01043977568-record-10.10.62.138-1492505199.234979.mp3</t>
  </si>
  <si>
    <t>20170418/3004063-20170418162910-TNGNmMjliMDE5MDhiZTI0NDk2OGY1MDJiMzNjYzE0OTk=-01043989717-record-10.10.62.138-1492504150.225095.mp3</t>
  </si>
  <si>
    <t>20170418/3004063-20170418160041-TNWVlMTIzNTc5NjcxZjdmNDMxYjRlMzkzMmIwMWUxYWY=-13718091869-record-10.10.62.138-1492502441.208170.mp3</t>
  </si>
  <si>
    <t>20170418/3004063-20170418153622-TMGQyM2RlNDVhNTQzMWE3NDg1ZTIwMWVjYzU5NjM2YjQ=-01043977568-record-10.10.62.138-1492500982.193823.mp3</t>
  </si>
  <si>
    <t>20170418/3004063-20170418145322-TODYwY2EyYWEwYTc0YjA5ZTFlNDM3MTU3NDJkMmRiNjI=-01043977568-record-10.10.62.138-1492498402.169691.mp3</t>
  </si>
  <si>
    <t>20170418/3004063-20170418143625-TY2RhNDU4ZGJlMTlhOTUxZWVmOWY0NDQ3NjIwYjE5MzM=-01043977572-record-10.10.62.138-1492497385.159606.mp3</t>
  </si>
  <si>
    <t>20170418/3004063-20170418143450-TMWFkZGZjMDIxODQ5MGJlMjIxMmNkNDZkYjIxOGI5NmU=-01043977567-record-10.10.62.138-1492497290.158691.mp3</t>
  </si>
  <si>
    <t>20170418/3004063-20170418143042-TMTQ0MmViZTA2YjY3MzZhMDExODI2OGU3NjY1ZDE1ZGQ=-01043977568-record-10.10.62.138-1492497042.156173.mp3</t>
  </si>
  <si>
    <t>20170418/3004063-20170418141401-TZGE3M2NiMDIxOWJiODIwNTE4YTlmMmM0YzBjODNiMjI=-01043977567-record-10.10.62.138-1492496041.146568.mp3</t>
  </si>
  <si>
    <t>20170418/3004063-20170418134240-TZDk2NzFkZDA4ZDNhZWFkM2U4NjJmMTA4ZGExY2NkNmM=-01043977569-record-10.10.62.138-1492494160.130912.mp3</t>
  </si>
  <si>
    <t>20170418/3004063-20170418134101-TMWMxNGRlODk2OTZiMGJmNjM0OWVhOWQzNWY3Zjg0NTU=-01043977572-record-10.10.62.138-1492494061.130211.mp3</t>
  </si>
  <si>
    <t>20170418/3004063-20170418133720-TNTc2OTIzMzRlMjU4YWRhZjRhMGU3ZDg2OWU0ZWEwYmM=-01043977567-record-10.10.62.138-1492493840.128673.mp3</t>
  </si>
  <si>
    <t>20170418/3004063-20170418132518-TMmRmZDMyOTQzOGRjZWE5OWIzMDMwMDM3ODNhOTc3NjA=-13718091869-record-10.10.62.138-1492493118.124343.mp3</t>
  </si>
  <si>
    <t>20170418/3004063-20170418131744-TNDczNGUyNzEwNDc2YzcxM2Y2MGRkZDAyZWJiMDg5Y2Y=-01043977567-record-10.10.62.138-1492492664.121933.mp3</t>
  </si>
  <si>
    <t>20170418/3004063-20170418130951-TZmUwOTI4MjY5M2Q1ZjE0N2M1MmUwZDc5MWI4ZjU4ODM=-01043977568-record-10.10.62.138-1492492191.119395.mp3</t>
  </si>
  <si>
    <t>20170418/3004063-20170418130220-TMmRmZDMyOTQzOGRjZWE5OWIzMDMwMDM3ODNhOTc3NjA=-01043989717-record-10.10.62.138-1492491740.117184.mp3</t>
  </si>
  <si>
    <t>20170418/3004063-20170418125530-TNjU3ZDRhN2E4ZGVlNTU3ZWZmOGQ3M2E1Y2E4NDNjOWU=-01043977565-record-10.10.62.138-1492491330.115314.mp3</t>
  </si>
  <si>
    <t>20170418/3004063-20170418125146-TMWNkOTU4M2IxZGE4NWQ1MWVkZDcwMjk4YzkxYzQ0OGI=-01043989717-record-10.10.62.138-1492491106.114356.mp3</t>
  </si>
  <si>
    <t>20170418/3004063-20170418124841-TMmQ4YmEwNzk4NTJhMTA5NWJiNDY0YWYzZGNiZmQ0OTY=-01043977568-record-10.10.62.138-1492490921.113521.mp3</t>
  </si>
  <si>
    <t>20170418/3004063-20170418124435-TYmZjYjgwZGRhZTc5ODM4NmI1OGNkYmZiZWQ3ZjE2YjU=-13718091869-record-10.10.62.138-1492490675.112415.mp3</t>
  </si>
  <si>
    <t>20170418/3004063-20170418122517-TOGFjNDljNDM3ODRmMzBkYzVjMTQ2YjYwMzg2MzBmMjk=-01043977566-record-10.10.62.138-1492489517.106962.mp3</t>
  </si>
  <si>
    <t>20170418/3004063-20170418114742-TMTc2NmU4N2VmZmI3MjA2MDEyMWZhZGE3MGM3NTI0ZGI=-01043977568-record-10.10.62.138-1492487262.94139.mp3</t>
  </si>
  <si>
    <t>20170418/3004063-20170418113144-TMDY2YjNlZTBkMTI0OWFkMmY1ODIzMDgxMjk1MDBkNDY=-01043977568-record-10.10.62.138-1492486304.85218.mp3</t>
  </si>
  <si>
    <t>20170418/3004063-20170418111515-TMDQ2MmQxNmIyNWM2ZjhmMDhiMGNlZjhjOThiYjJmZWU=-01043977568-record-10.10.62.138-1492485315.75413.mp3</t>
  </si>
  <si>
    <t>20170418/3004063-20170418111402-TYWEzMDI5YTJmODQwMDUxYTg2ZGYzNmM1NmYwNDJlNDE=-01043977573-record-10.10.62.138-1492485242.74663.mp3</t>
  </si>
  <si>
    <t>20170418/3004063-20170418110342-TODMyZWY3YWFhODNjYWUxZjMxMGJmNDQ1MTlkZGFjZGQ=-01043977573-record-10.10.62.138-1492484622.68739.mp3</t>
  </si>
  <si>
    <t>20170418/3004063-20170418104304-TZGQ4OWQyZjU5ZGE2YzI2ODFjMTg4YmNlZDM2YTViZGQ=-01043977572-record-10.10.62.138-1492483384.57026.mp3</t>
  </si>
  <si>
    <t>20170418/3004063-20170418103517-TOWQyOTkxNjFiOTBiMjlmOTUyNTYzMTE0MTYzZTc2Y2I=-01043977573-record-10.10.62.138-1492482917.52202.mp3</t>
  </si>
  <si>
    <t>20170418/3004063-20170418103405-TNzVlYWZkNWQxN2ZmOTdmNTRkMGNkZTI5OTgzNzlmMWI=-01043977568-record-10.10.62.138-1492482845.51512.mp3</t>
  </si>
  <si>
    <t>20170418/3004063-20170418101951-TYTQxN2JmY2Y0NDJkZmU0MmYzMDA5MzUxMmZjZWE0MzY=-01043977566-record-10.10.62.138-1492481991.43129.mp3</t>
  </si>
  <si>
    <t>20170418/3004063-20170418101816-TNGUyZmM0YTNhNGE2MThkYTQzMThmYjg4ZjM1MGFmNTQ=-01043977565-record-10.10.62.138-1492481896.42214.mp3</t>
  </si>
  <si>
    <t>20170418/3004063-20170418101445-TMjZkNzZiNzgxYzE2NDZmYzQwNWQ4NzA2NGFiODJmMTg=-01043977573-record-10.10.62.138-1492481685.40224.mp3</t>
  </si>
  <si>
    <t>20170418/3004063-20170418100115-TY2U3YmFkMTc1YWJhNmQ0ZGRmM2Q3NjRjZWY2NmVkMzg=-01043977571-record-10.10.62.138-1492480875.31936.mp3</t>
  </si>
  <si>
    <t>20170418/3004063-20170418095340-TZmNhMjQzMmZmZDk5Nzk0MjZiY2Q0NzkwYTQ0MmVjYzM=-01043977566-record-10.10.62.138-1492480420.27515.mp3</t>
  </si>
  <si>
    <t>20170418/3004063-20170418094744-TYzFjOTFiNjZkYjJmZmU1ZDA2OGI4N2Y3YWE3NGRhZDg=-01043977565-record-10.10.62.138-1492480064.24184.mp3</t>
  </si>
  <si>
    <t>20170418/3004063-20170418093927-TY2FlZmJkZGNlYjVhNGUyYjRlYmI2YWJkZDkxZmY4NTQ=-01043977568-record-10.10.62.138-1492479567.20206.mp3</t>
  </si>
  <si>
    <t>20170418/3004063-20170418093352-TY2FlZmJkZGNlYjVhNGUyYjRlYmI2YWJkZDkxZmY4NTQ=-01043977568-record-10.10.62.138-1492479232.17623.mp3</t>
  </si>
  <si>
    <t>20170418/3004063-20170418084015-TMmUwYWY2ZmUyMTIwZTkwNTA0NmUxNTQ4YmQ3MzczN2U=-01043977573-record-10.10.62.138-1492476015.4003.mp3</t>
  </si>
  <si>
    <t>20170418/3004063-20170418082700-TNDJkMTc3OGU3NTYwZDc4YWFlNjlhMmRmMzU3YzdmNWQ=-01043977568-record-10.10.62.138-1492475220.2998.mp3</t>
  </si>
  <si>
    <t>20170418/3004063-20170418080719-TZDRmMTJjZjhmZTBkOTMyZTJjMjg0NmQ4YjQ4NjEwOTA=-01043977573-record-10.10.62.138-1492474039.1998.mp3</t>
  </si>
  <si>
    <t>20170418/3004063-20170418080444-TMWE0YzMzMjQ3M2QwOTI0OWY4MzJiZWMyZTRkMmVhOTE=-01043977568-record-10.10.62.138-1492473884.1884.mp3</t>
  </si>
  <si>
    <t>20170417/3004063-20170417195410-TYWQ3NjgxNWFiZmFkM2JiMTNkMjA3MmMzNGRkNWE3MWM=-01043989717-record-10.10.62.138-1492430050.302204.mp3</t>
  </si>
  <si>
    <t>20170417/3004063-20170417194059-TNjk1NWFjM2JlM2RjMWJjYmEwOGNiZjIzNGFmY2ViYTI=-01043977567-record-10.10.62.138-1492429259.299467.mp3</t>
  </si>
  <si>
    <t>甘肃/酒泉|嘉峪关</t>
  </si>
  <si>
    <t>20170417/3004063-20170417193447-TMGExYTA0ZDFmYjY5OGM2NTFiNWM3ZDZjNGJhOWVhNTc=-13718091869-record-10.10.62.138-1492428887.298201.mp3</t>
  </si>
  <si>
    <t>20170417/3004063-20170417193026-TMGExYTA0ZDFmYjY5OGM2NTFiNWM3ZDZjNGJhOWVhNTc=-13718091869-record-10.10.62.138-1492428626.297263.mp3</t>
  </si>
  <si>
    <t>20170417/3004063-20170417184032-TZTUyYTI0YzIzMjM1MTEyNjlmOTBjYTY1YTJiYjhkNWI=-01043989717-record-10.10.62.138-1492425632.284370.mp3</t>
  </si>
  <si>
    <t>20170417/3004063-20170417174638-TNDk5ODM2NjIwZGNhMzYwN2I1MDdjNGJjYWM0NDllZjg=-01043977567-record-10.10.62.138-1492422398.266225.mp3</t>
  </si>
  <si>
    <t>20170417/3004063-20170417173543-TOWQ4NmE0YzkyZTBmMWViZmEwNTNlNTRjYzNhNTM4Nzg=-01043989717-record-10.10.62.138-1492421743.262063.mp3</t>
  </si>
  <si>
    <t>20170417/3004063-20170417173046-TMzgwMWFmOTg1YmM2ZTk2ZDUzMTBjMTkxZDk3YjQ1ZTg=-01043977569-record-10.10.62.138-1492421446.260123.mp3</t>
  </si>
  <si>
    <t>20170417/3004063-20170417172827-TOTFiMmNhN2VjYmU4N2UxNTdlZmE5YjMxMWVhZDBmMDM=-01043977566-record-10.10.62.138-1492421307.259060.mp3</t>
  </si>
  <si>
    <t>20170417/3004063-20170417171207-TMWU3MTlkZGEzZGVlNzYxNmMzMDA0OGE0MmVjYjk2YTQ=-01043977565-record-10.10.62.138-1492420327.250792.mp3</t>
  </si>
  <si>
    <t>20170417/3004063-20170417170521-TNGQ2MzNiOGMyMTI1OGE1MWYwZDNhNTAxYjg1ZTc3ZWI=-01043977567-record-10.10.62.138-1492419921.247451.mp3</t>
  </si>
  <si>
    <t>20170417/3004063-20170417165908-TZjA3MDYyZjhmOWU5MjI5ZDg0NjE2M2IwM2M2YmY2YWU=-01043977567-record-10.10.62.138-1492419548.244188.mp3</t>
  </si>
  <si>
    <t>20170417/3004063-20170417164753-TOGMyZmE5Y2IzMzU4MjA0NjYwOTE3ODMyMTQ1NmZjN2Q=-01043977572-record-10.10.62.138-1492418873.237710.mp3</t>
  </si>
  <si>
    <t>20170417/3004063-20170417162018-TZjIzNjQ2OTAxMWRmZmQwY2QzNTZiMWEwZDdhMjYwNzU=-01043977572-record-10.10.62.138-1492417218.221262.mp3</t>
  </si>
  <si>
    <t>20170417/3004063-20170417160345-TOGZmOGY0ZDk4NmFkNjM0NTRmZmZkYTRjMjA4NTU0MmQ=-01043989717-record-10.10.62.138-1492416225.211658.mp3</t>
  </si>
  <si>
    <t>江苏/镇江</t>
  </si>
  <si>
    <t>20170417/3004063-20170417153918-TOWFiYTM4MDVhM2IwZTJiODAwMGU3OTFiZjk1NjU1NGY=-01043977568-record-10.10.62.138-1492414758.197342.mp3</t>
  </si>
  <si>
    <t>20170417/3004063-20170417153405-TMmJlZTgzNTljYmZjY2I4Y2NjZWIyMWJmOTg1YTAxZDg=-01043977572-record-10.10.62.138-1492414445.194356.mp3</t>
  </si>
  <si>
    <t>20170417/3004063-20170417153227-TMzBiMTE1OWEyOTAzMjg2OGU3NDRiMjk5Zjc3NDQxZTI=-01043989717-record-10.10.62.138-1492414347.193462.mp3</t>
  </si>
  <si>
    <t>20170417/3004063-20170417151955-TOTZlZTZhYjAxZWM4ZWJiZDhiOGFhMjdjYzc5M2ZhMTA=-01043977572-record-10.10.62.138-1492413595.185895.mp3</t>
  </si>
  <si>
    <t>20170417/3004063-20170417150514-TOTZlZTZhYjAxZWM4ZWJiZDhiOGFhMjdjYzc5M2ZhMTA=-01043977569-record-10.10.62.138-1492412714.177420.mp3</t>
  </si>
  <si>
    <t>20170417/3004063-20170417150330-TZTA3MTM4ZDFjNWRiNzcxMGU2NDJlMzFjMjQ5NzkzYzk=-01043989717-record-10.10.62.138-1492412610.176436.mp3</t>
  </si>
  <si>
    <t>20170417/3004063-20170417145920-TYjg2ODQ3MmMxYmNjZDMzZGQ5YThmNzEzNWJiYjNjZmM=-13718091869-record-10.10.62.138-1492412360.174148.mp3</t>
  </si>
  <si>
    <t>20170417/3004063-20170417145048-TZDMzNDUzZTVkZjhhNDdiZTBkMjExYzdlMmVkOGE0ZGY=-01043977567-record-10.10.62.138-1492411848.169344.mp3</t>
  </si>
  <si>
    <t>20170417/3004063-20170417135659-TZjhhYzE5NjFjMmZjODNiODk3OWVjMTRjOTRmYmQ5MTM=-01043977572-record-10.10.62.138-1492408619.140545.mp3</t>
  </si>
  <si>
    <t>20170417/3004063-20170417133830-TODYxZTliY2JlZWRlMTMzYTFmYTc1ZWJhZTczMWVhOWY=-01043977572-record-10.10.62.138-1492407510.132257.mp3</t>
  </si>
  <si>
    <t>20170417/3004063-20170417132728-TY2Q0OTZlN2U2OTVmMDA4MzcxMjA2NzkzMjUxMTNhMGM=-01043977569-record-10.10.62.138-1492406848.127856.mp3</t>
  </si>
  <si>
    <t>20170417/3004063-20170417131456-TNDhlMzM5MmJmOWIxZmE4YzczZGYzMjg5NzkzNjkyOGE=-01043977572-record-10.10.62.138-1492406096.123788.mp3</t>
  </si>
  <si>
    <t>20170417/3004063-20170417125855-TYTNlNDlhZWZjMzI2Y2ZiYjUxNTAzMWU2MmUwZTE0Nzc=-01043977572-record-10.10.62.138-1492405135.118998.mp3</t>
  </si>
  <si>
    <t>20170417/3004063-20170417115825-TYTI5MzQ0N2Q4ZjNkNjNiMjg5MjdiYTNmMzU1MTc0YWY=-01043989717-record-10.10.62.138-1492401505.101108.mp3</t>
  </si>
  <si>
    <t>20170417/3004063-20170417114035-TOTQ0ZTlkOGI0MzA1NWQ0NTBhYWM2NWQ1YmM3NTA3NWU=-01043989717-record-10.10.62.138-1492400435.91731.mp3</t>
  </si>
  <si>
    <t>20170417/3004063-20170417113928-TYjczZjllMmI5NmRjNjRhZmU4OTJmODEwOWMwYTVlNWU=-01043977569-record-10.10.62.138-1492400368.91087.mp3</t>
  </si>
  <si>
    <t>20170417/3004063-20170417113604-TNjcxMTBiNDlmMDQzNzM2NzUwMzNmZGFjODAxNDY2NWE=-01043977568-record-10.10.62.138-1492400164.89182.mp3</t>
  </si>
  <si>
    <t>20170417/3004063-20170417113136-TYzE1NzFkYTkyNDMxYTQ5YzQzMWY2OGM2OTJjZjVhM2U=-01043977566-record-10.10.62.138-1492399896.86789.mp3</t>
  </si>
  <si>
    <t>20170417/3004063-20170417112433-TZjllN2RkZWMyMmU4YWE0MWYwNDM0OTJlMDIyOWUyNTA=-01043989717-record-10.10.62.138-1492399473.82673.mp3</t>
  </si>
  <si>
    <t>20170417/3004063-20170417112028-TNzkzNDExYTVjMzA5NDk4MjEzYzZjZWM4YjY3OTUyMzA=-01043977572-record-10.10.62.138-1492399228.80234.mp3</t>
  </si>
  <si>
    <t>20170417/3004063-20170417111718-TZDVhYjgzMTM0MThiMTE5ZTE5MDY4Mjk2NjU5YTUwM2I=-01043977567-record-10.10.62.138-1492399038.78268.mp3</t>
  </si>
  <si>
    <t>20170417/3004063-20170417111548-TZDdiMDA4OGM5ZGNjYTIzZDgwMmVlNWRiZjQwZjk3Zjg=-01043989717-record-10.10.62.138-1492398948.77318.mp3</t>
  </si>
  <si>
    <t>20170417/3004063-20170417111530-TZTU1MGIxMTVjNWFkZjE2YTY5YmJjMjQxNTI4YTFhN2E=-01043977569-record-10.10.62.138-1492398930.77156.mp3</t>
  </si>
  <si>
    <t>20170417/3004063-20170417110959-TYjhiYzYxZWNkNzg2MjNhNjI4ODY2MzI2NmRjNTA3YWE=-01043977565-record-10.10.62.138-1492398599.73730.mp3</t>
  </si>
  <si>
    <t>20170417/3004063-20170417110223-TNTgzNTdjZTM4YjFjMzA3MDE3MDU5MjI5YWZhMGY5MDU=-01043977566-record-10.10.62.138-1492398143.69175.mp3</t>
  </si>
  <si>
    <t>20170417/3004063-20170417110030-TZjhmNzJiOWQ5ZTcyZDI0N2Y5OWE1MmYxNDJmNmE2MDM=-01043977569-record-10.10.62.138-1492398030.68152.mp3</t>
  </si>
  <si>
    <t>黑龙江/七台河</t>
  </si>
  <si>
    <t>20170417/3004063-20170417105926-TYWVhODQ4YTdjMmJmNzI4ZTkzY2I2ODBlNDU3YTk5ZTk=-01043989717-record-10.10.62.138-1492397966.67616.mp3</t>
  </si>
  <si>
    <t>20170417/3004063-20170417104345-TMGExYTA0ZDFmYjY5OGM2NTFiNWM3ZDZjNGJhOWVhNTc=-13699138136-record-10.10.62.138-1492397025.58517.mp3</t>
  </si>
  <si>
    <t>20170417/3004063-20170417104013-TMzdlMDdjOTU0ZGI0MzU0N2RhMzY5ZmIwYzY3YWU3OTE=-01043977572-record-10.10.62.138-1492396813.56213.mp3</t>
  </si>
  <si>
    <t>20170417/3004063-20170417103943-TZjJhMjNjNDc2NWNmNzI0NzE1MGQwMDUwMWRmNmExZmI=-01043977566-record-10.10.62.138-1492396783.55940.mp3</t>
  </si>
  <si>
    <t>20170417/3004063-20170417103641-TODVmMzM3ZjM3MDE2YzAxMDc3NmZmNmUzYzE3YTQ2YTM=-01043977568-record-10.10.62.138-1492396601.54100.mp3</t>
  </si>
  <si>
    <t>20170417/3004063-20170417103201-TYmZjYjgwZGRhZTc5ODM4NmI1OGNkYmZiZWQ3ZjE2YjU=-01043977565-record-10.10.62.138-1492396321.51408.mp3</t>
  </si>
  <si>
    <t>20170417/3004063-20170417103109-TMTYzNTdjMjMyMDBmMDM3NDRmNGYyM2NlOGU3NTIyNjI=-13718091869-record-10.10.62.138-1492396269.50924.mp3</t>
  </si>
  <si>
    <t>20170417/3004063-20170417102702-TYTJhMzg2OGJhZDhiNzc1YWQyNzc3YTZkNTY0ZjJmZTk=-01043977568-record-10.10.62.138-1492396022.48396.mp3</t>
  </si>
  <si>
    <t>20170417/3004063-20170417102653-TYjFlZjJmMWZkMDkwZTJkMTNmYzIzZWRiOTUyNDk1OTc=-01043977565-record-10.10.62.138-1492396013.48305.mp3</t>
  </si>
  <si>
    <t>20170417/3004063-20170417101833-TMDc0MTJhOWMwNzY1YjVjZTIyOWJhOWQ3NTIzYTk1MjA=-01043977571-record-10.10.62.138-1492395513.43216.mp3</t>
  </si>
  <si>
    <t>20170417/3004063-20170417101124-TMTRlNGU4NThiMDYzZWE0NjBiNDZmY2FhOTQ5YWQ2ZTc=-01043977565-record-10.10.62.138-1492395084.38661.mp3</t>
  </si>
  <si>
    <t>20170417/3004063-20170417100658-TNjA1NjM5NzBkOTg5MGU2ZTQzZDJjNzk3MmEwMTNjM2M=-01043977568-record-10.10.62.138-1492394818.35821.mp3</t>
  </si>
  <si>
    <t>20170417/3004063-20170417095404-TOWY4MzdjZmNjODk5NDU0OTY4MTlkY2E5Y2M2N2Y4YmU=-01043977568-record-10.10.62.138-1492394044.28270.mp3</t>
  </si>
  <si>
    <t>20170417/3004063-20170417093538-TZTU0NmYwNjBhNzhmMDRiNGQ4OGMxNjY3ODE4OWM0NDY=-13718091869-record-10.10.62.138-1492392938.18210.mp3</t>
  </si>
  <si>
    <t>20170417/3004063-20170417093023-TYWE5MWFiMjFjMmI1MWM1YjgxMGU3NDBlMjg3YmFhY2M=-01043977566-record-10.10.62.138-1492392623.15579.mp3</t>
  </si>
  <si>
    <t>20170417/3004063-20170417093002-TNmNmMWQ0ZmRjZTI3NWJiZTE5N2IxZTljNzk2NTc4ZTU=-01043977565-record-10.10.62.138-1492392602.15439.mp3</t>
  </si>
  <si>
    <t>20170417/3004063-20170417092450-TNjg3MmQ3YTBlNmY5MDc5ZWY5ZDRkNjJkNjc4N2IzZWM=-01043977568-record-10.10.62.138-1492392290.13831.mp3</t>
  </si>
  <si>
    <t>20170417/3004063-20170417091310-TMGRjY2U0MDc5ZTJkZDE2MzMyZDk1MDYxOGRkNTAxZDc=-01043977565-record-10.10.62.138-1492391590.10035.mp3</t>
  </si>
  <si>
    <t>20170417/3004063-20170417085949-TZGI4YTI3YmVhZjQyZWZhZjQ3ZmY1MjFkMWQ2MmQ2NjU=-01043977565-record-10.10.62.138-1492390789.6086.mp3</t>
  </si>
  <si>
    <t>20170417/3004063-20170417085855-TMDQzZDc0ZDNkMWVmMGQ0ZTAxNTVjNDk1MzVlYmIwMzg=-01043977568-record-10.10.62.138-1492390735.5943.mp3</t>
  </si>
  <si>
    <t>20170417/3004063-20170417085607-TMmJhMWVjMmQ2ZjQ0NTA2NDlhNDE2NTJkNGYyYTk2NjQ=-01043977568-record-10.10.62.138-1492390567.5542.mp3</t>
  </si>
  <si>
    <t>20170417/3004063-20170417083802-TOGZlZDVmNjk3MGY2ZDIzMTMyOTU4ZDlmMmYzNWY4M2Y=-13718091869-record-10.10.62.138-1492389482.3768.mp3</t>
  </si>
  <si>
    <t>20170417/3004063-20170417083602-TNjJjMzQ0NDQ0NDE0NDUxYjM3YWQwYjNkMjBjZGEwNWE=-01043977568-record-10.10.62.138-1492389362.3592.mp3</t>
  </si>
  <si>
    <t>20170417/3004063-20170417082229-TZTU0NmYwNjBhNzhmMDRiNGQ4OGMxNjY3ODE4OWM0NDY=-01043977566-record-10.10.62.138-1492388549.2716.mp3</t>
  </si>
  <si>
    <t>20170416/3004063-20170416195842-TNGYxOTQwZjQ2YTA2MDU3YTU2ODhmNjM5YWU4NDA2M2Y=-01043977566-record-10.10.62.138-1492343922.175649.mp3</t>
  </si>
  <si>
    <t>20170416/3004063-20170416180325-TNmZhY2U1MmE3YmJlMzAyNjIzY2I5MTA3MGM0NTZmZGY=-01043989717-record-10.10.62.138-1492337005.151307.mp3</t>
  </si>
  <si>
    <t>20170416/3004063-20170416173028-TMzc3YjA1YzkyMTE2MGNmMjczMjAxOWJmZTFlMGY5OWE=-01043989717-record-10.10.62.138-1492335028.146622.mp3</t>
  </si>
  <si>
    <t>20170416/3004063-20170416165437-TMDg2MzA3YTE2MzIxY2EzYzFmODZhMmNkM2M4NDdiZTI=-01043989717-record-10.10.62.138-1492332877.136439.mp3</t>
  </si>
  <si>
    <t>20170416/3004063-20170416163528-TODEwMDVkMTVlOWM4NzFlNDJiYjJkYWI1MGM2YzUyNWM=-01043977565-record-10.10.62.138-1492331728.130142.mp3</t>
  </si>
  <si>
    <t>20170416/3004063-20170416160239-TMjIyODE1NjQyZjE2NDJmMzA4YmJmYmYyMjQ0ZGU2MWM=-01043977568-record-10.10.62.138-1492329759.119029.mp3</t>
  </si>
  <si>
    <t>20170416/3004063-20170416152320-TMjg3ZWFiN2QxZTk4ZDA0ZTMxMzNiYTg1MTU1ZDBhYmQ=-01043977566-record-10.10.62.138-1492327400.105572.mp3</t>
  </si>
  <si>
    <t>20170416/3004063-20170416152004-TZWJjY2M1MjI2YTBhMmM2MjQwOWEyOTM2OTdkNTg2ZjE=-01043977565-record-10.10.62.138-1492327204.104514.mp3</t>
  </si>
  <si>
    <t>20170416/3004063-20170416150758-TMTZiZWE0NTBlMDhiNDlkM2M3MWY2NDBiODljYTFlYTc=-01043989717-record-10.10.62.138-1492326478.100564.mp3</t>
  </si>
  <si>
    <t>20170416/3004063-20170416144524-TNzkzZmRmZjBhMTE4MWI2ZDI3NmZlMWYwMDQyOWM1NTg=-01043977566-record-10.10.62.138-1492325124.93213.mp3</t>
  </si>
  <si>
    <t>20170416/3004063-20170416144208-TNTI4ODczZGRlZjA4MGNiYmI1MWIxZWVjM2M0NDE4YzRiMmQ4MGM0NDhhMjIyODA4NjZkMzhkNzc5MzU5N2M1Mg==-01043989717-record-10.10.62.138-1492324928.92135.mp3</t>
  </si>
  <si>
    <t>20170416/3004063-20170416143941-TNWQyMDRmODVkNWE2MGY0MzliMDk2ZjE5NTI4MmNiMTU=-01043977568-record-10.10.62.138-1492324781.91292.mp3</t>
  </si>
  <si>
    <t>20170416/3004063-20170416141709-TYzhiZDNjODE1NzgzOWI0MjYxZGZkMGU5Nzk2YWQwMmNiMmQ4MGM0NDhhMjIyODA4NjZkMzhkNzc5MzU5N2M1Mg==-01043977568-record-10.10.62.138-1492323429.84331.mp3</t>
  </si>
  <si>
    <t>20170416/3004063-20170416140538-TZDEzZWYzZmU4Y2M0MjEyMTA5NGNlMTRiMzdkMjA3OWU=-01043989717-record-10.10.62.138-1492322738.81053.mp3</t>
  </si>
  <si>
    <t>20170416/3004063-20170416134412-TNjQ2ODdkNjY3MDRiMjg5MjM0MGQ5ZmY1MzVlMDIwMWU=-01043977565-record-10.10.62.138-1492321452.76574.mp3</t>
  </si>
  <si>
    <t>20170416/3004063-20170416133939-TMDE4NjU2ZDhhNTYxMWRlOWE3OGYwNjk1N2VhYzdhMTc=-01043977565-record-10.10.62.138-1492321179.75755.mp3</t>
  </si>
  <si>
    <t>20170416/3004063-20170416133329-TNzM4OWE0NDM2MzViMmVjOWNjYTE0ZGVhOWNjNmQxYTQ=-01043977566-record-10.10.62.138-1492320809.74594.mp3</t>
  </si>
  <si>
    <t>20170416/3004063-20170416133103-TNzM4OWE0NDM2MzViMmVjOWNjYTE0ZGVhOWNjNmQxYTQ=-01043989717-record-10.10.62.138-1492320663.74111.mp3</t>
  </si>
  <si>
    <t>20170416/3004063-20170416132350-TOGM1ZmI0YjM5NjFlNDk1ZTg0ZmU0ZTIxY2M1NzM2ZmU=-01043989717-record-10.10.62.138-1492320230.72631.mp3</t>
  </si>
  <si>
    <t>20170416/3004063-20170416130817-TY2Y4MjEzYjM1YWFkZDkxODZmOTdiN2Q2MzgzYzk2ZDI=-01043977568-record-10.10.62.138-1492319297.69447.mp3</t>
  </si>
  <si>
    <t>20170416/3004063-20170416122741-TMzllMWVlN2Y3Yzc4YjNmMjYxZDM4ZjdkY2RjNjdhZmY=-01043977565-record-10.10.62.138-1492316861.63364.mp3</t>
  </si>
  <si>
    <t>20170416/3004063-20170416121925-TNmE0YTI0Y2MzZTNjY2JmYmE5MmY2ZmUyYzU1NTc0NTE=-01043977568-record-10.10.62.138-1492316365.62192.mp3</t>
  </si>
  <si>
    <t>20170416/3004063-20170416120324-TOGQyMGFiMTA2MDFhZGE5MTRhMzdiYWQyM2FlNTUyNWM=-01043977568-record-10.10.62.138-1492315404.59852.mp3</t>
  </si>
  <si>
    <t>20170416/3004063-20170416115327-TNjMwMzFiYmVmMTIwYTlmYjJlMmIzNGRlNmNiMDIwM2U=-01043977568-record-10.10.62.138-1492314807.57326.mp3</t>
  </si>
  <si>
    <t>20170416/3004063-20170416113659-TNDE3MzU4MTk5ODU3ZDQ2OTM5M2MxMjk2NjBhODNiOWI=-01043989717-record-10.10.62.138-1492313819.52060.mp3</t>
  </si>
  <si>
    <t>20170416/3004063-20170416110309-TMzc3YjA1YzkyMTE2MGNmMjczMjAxOWJmZTFlMGY5OWE=-01043989717-record-10.10.62.138-1492311789.40596.mp3</t>
  </si>
  <si>
    <t>20170416/3004063-20170416104726-TM2Y5MTUyMGJmM2RlZDA1YjFjY2E0OWU5MDE0ZmViYmQ=-01043977566-record-10.10.62.138-1492310846.35211.mp3</t>
  </si>
  <si>
    <t>20170416/3004063-20170416102647-TMzgwOTU0MGUzZjU4OTBlMTM0NTFmNjNkZjE0MjgyMjc=-01043989717-record-10.10.62.138-1492309607.28562.mp3</t>
  </si>
  <si>
    <t>20170416/3004063-20170416102246-TYWQzNTljMWM4NDYxYjNkNjBjZGZhN2I4ZDNjMjIzNmQ=-01043977565-record-10.10.62.138-1492309366.27257.mp3</t>
  </si>
  <si>
    <t>20170416/3004063-20170416102111-TMzgwOTU0MGUzZjU4OTBlMTM0NTFmNjNkZjE0MjgyMjc=-01043989717-record-10.10.62.138-1492309271.26754.mp3</t>
  </si>
  <si>
    <t>20170416/3004063-20170416092133-TNTllNDFmNTM1OTk1NjQ0OWRiYTdmYmZmNDM1ZmViYjI=-01043977568-record-10.10.62.138-1492305693.10325.mp3</t>
  </si>
  <si>
    <t>20170416/3004063-20170416085828-TNjRjOTBhN2NkNWE3MjYxOGJmMzgwYTBlNDg2MTI3MjY=-01043977566-record-10.10.62.138-1492304308.5922.mp3</t>
  </si>
  <si>
    <t>20170416/3004063-20170416085443-TMDEzYTEzOWY2MjAwNDMwZWM1MzBiYWRmZjUxMjgwMjE=-01043977565-record-10.10.62.138-1492304083.5506.mp3</t>
  </si>
  <si>
    <t>20170416/3004063-20170416082838-TMjlkZTU0YzVjNzkxZjhkY2FjODEyNTkwYThlN2YwNzQ=-01043977567-record-10.10.62.138-1492302518.3362.mp3</t>
  </si>
  <si>
    <t>20170416/3004063-20170416081827-TY2ZmMjhjYzk5OTBmZWE4Y2M0MDljZTk3NWFiZmNmODc=-01043989717-record-10.10.62.138-1492301907.2766.mp3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</si>
</sst>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17"/>
  <sheetViews>
    <sheetView tabSelected="1" topLeftCell="A3393" workbookViewId="0">
      <selection activeCell="A3042" sqref="A3042:XFD3042"/>
    </sheetView>
  </sheetViews>
  <sheetFormatPr defaultRowHeight="13.5" x14ac:dyDescent="0.15"/>
  <cols>
    <col min="1" max="16384" width="9" style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15">
      <c r="B2" s="1" t="str">
        <f>"136****8559"</f>
        <v>136****8559</v>
      </c>
      <c r="C2" s="1" t="s">
        <v>23</v>
      </c>
      <c r="D2" s="1" t="str">
        <f t="shared" ref="D2:D16" si="0">"89177328"</f>
        <v>89177328</v>
      </c>
      <c r="E2" s="1" t="s">
        <v>24</v>
      </c>
      <c r="F2" s="1" t="str">
        <f t="shared" ref="F2:F16" si="1">"0010"</f>
        <v>0010</v>
      </c>
      <c r="G2" s="1" t="str">
        <f>""</f>
        <v/>
      </c>
      <c r="H2" s="1" t="str">
        <f>"0035"</f>
        <v>0035</v>
      </c>
      <c r="I2" s="1" t="s">
        <v>25</v>
      </c>
      <c r="J2" s="1" t="str">
        <f>"01043977569"</f>
        <v>01043977569</v>
      </c>
      <c r="K2" s="1" t="str">
        <f>"2017-04-15 20:41:40"</f>
        <v>2017-04-15 20:41:40</v>
      </c>
      <c r="L2" s="1" t="str">
        <f>"2017-04-15 20:41:50"</f>
        <v>2017-04-15 20:41:50</v>
      </c>
      <c r="M2" s="2">
        <v>9.4560185185185181E-3</v>
      </c>
      <c r="N2" s="1" t="s">
        <v>26</v>
      </c>
      <c r="O2" s="1" t="s">
        <v>27</v>
      </c>
      <c r="P2" s="2">
        <v>9.571759259259259E-3</v>
      </c>
      <c r="Q2" s="1" t="s">
        <v>28</v>
      </c>
      <c r="R2" s="1">
        <v>0</v>
      </c>
      <c r="S2" s="1" t="str">
        <f>""</f>
        <v/>
      </c>
      <c r="T2" s="1" t="s">
        <v>29</v>
      </c>
      <c r="U2" s="1" t="s">
        <v>30</v>
      </c>
      <c r="V2" s="1">
        <v>0</v>
      </c>
    </row>
    <row r="3" spans="1:23" x14ac:dyDescent="0.15">
      <c r="B3" s="1" t="str">
        <f>"159****6210"</f>
        <v>159****6210</v>
      </c>
      <c r="C3" s="1" t="s">
        <v>23</v>
      </c>
      <c r="D3" s="1" t="str">
        <f t="shared" si="0"/>
        <v>89177328</v>
      </c>
      <c r="E3" s="1" t="s">
        <v>24</v>
      </c>
      <c r="F3" s="1" t="str">
        <f t="shared" si="1"/>
        <v>0010</v>
      </c>
      <c r="G3" s="1" t="str">
        <f>""</f>
        <v/>
      </c>
      <c r="H3" s="1" t="str">
        <f>"0034"</f>
        <v>0034</v>
      </c>
      <c r="I3" s="1" t="s">
        <v>31</v>
      </c>
      <c r="J3" s="1" t="str">
        <f>"01043977568"</f>
        <v>01043977568</v>
      </c>
      <c r="K3" s="1" t="str">
        <f>"2017-04-15 20:09:37"</f>
        <v>2017-04-15 20:09:37</v>
      </c>
      <c r="L3" s="1" t="str">
        <f>"2017-04-15 20:09:46"</f>
        <v>2017-04-15 20:09:46</v>
      </c>
      <c r="M3" s="2">
        <v>5.6365740740740742E-3</v>
      </c>
      <c r="N3" s="1" t="s">
        <v>26</v>
      </c>
      <c r="O3" s="1" t="s">
        <v>27</v>
      </c>
      <c r="P3" s="2">
        <v>5.7407407407407416E-3</v>
      </c>
      <c r="Q3" s="1" t="s">
        <v>32</v>
      </c>
      <c r="R3" s="1">
        <v>0</v>
      </c>
      <c r="S3" s="1" t="str">
        <f>""</f>
        <v/>
      </c>
      <c r="T3" s="1" t="s">
        <v>29</v>
      </c>
      <c r="U3" s="1" t="s">
        <v>30</v>
      </c>
      <c r="V3" s="1">
        <v>0</v>
      </c>
    </row>
    <row r="4" spans="1:23" x14ac:dyDescent="0.15">
      <c r="B4" s="1" t="str">
        <f>"136****6742"</f>
        <v>136****6742</v>
      </c>
      <c r="C4" s="1" t="s">
        <v>23</v>
      </c>
      <c r="D4" s="1" t="str">
        <f t="shared" si="0"/>
        <v>89177328</v>
      </c>
      <c r="E4" s="1" t="s">
        <v>24</v>
      </c>
      <c r="F4" s="1" t="str">
        <f t="shared" si="1"/>
        <v>0010</v>
      </c>
      <c r="G4" s="1" t="str">
        <f>""</f>
        <v/>
      </c>
      <c r="H4" s="1" t="str">
        <f>"0034"</f>
        <v>0034</v>
      </c>
      <c r="I4" s="1" t="s">
        <v>31</v>
      </c>
      <c r="J4" s="1" t="str">
        <f>"01043977568"</f>
        <v>01043977568</v>
      </c>
      <c r="K4" s="1" t="str">
        <f>"2017-04-15 18:59:48"</f>
        <v>2017-04-15 18:59:48</v>
      </c>
      <c r="L4" s="1" t="str">
        <f>"-"</f>
        <v>-</v>
      </c>
      <c r="M4" s="2">
        <v>0</v>
      </c>
      <c r="N4" s="1" t="s">
        <v>33</v>
      </c>
      <c r="O4" s="1" t="s">
        <v>34</v>
      </c>
      <c r="P4" s="2">
        <v>2.3148148148148147E-5</v>
      </c>
      <c r="Q4" s="1" t="str">
        <f>""</f>
        <v/>
      </c>
      <c r="R4" s="1">
        <v>0</v>
      </c>
      <c r="S4" s="1" t="str">
        <f>""</f>
        <v/>
      </c>
      <c r="T4" s="1" t="s">
        <v>29</v>
      </c>
      <c r="U4" s="1" t="s">
        <v>30</v>
      </c>
      <c r="V4" s="1">
        <v>0</v>
      </c>
    </row>
    <row r="5" spans="1:23" x14ac:dyDescent="0.15">
      <c r="B5" s="1" t="str">
        <f>"186****3991"</f>
        <v>186****3991</v>
      </c>
      <c r="C5" s="1" t="s">
        <v>35</v>
      </c>
      <c r="D5" s="1" t="str">
        <f t="shared" si="0"/>
        <v>89177328</v>
      </c>
      <c r="E5" s="1" t="s">
        <v>24</v>
      </c>
      <c r="F5" s="1" t="str">
        <f t="shared" si="1"/>
        <v>0010</v>
      </c>
      <c r="G5" s="1" t="str">
        <f>""</f>
        <v/>
      </c>
      <c r="H5" s="1" t="str">
        <f>"0018"</f>
        <v>0018</v>
      </c>
      <c r="I5" s="1" t="s">
        <v>36</v>
      </c>
      <c r="J5" s="1" t="str">
        <f>"01043977572"</f>
        <v>01043977572</v>
      </c>
      <c r="K5" s="1" t="str">
        <f>"2017-04-15 18:40:27"</f>
        <v>2017-04-15 18:40:27</v>
      </c>
      <c r="L5" s="1" t="str">
        <f>"2017-04-15 18:40:40"</f>
        <v>2017-04-15 18:40:40</v>
      </c>
      <c r="M5" s="2">
        <v>8.8425925925925911E-3</v>
      </c>
      <c r="N5" s="1" t="s">
        <v>26</v>
      </c>
      <c r="O5" s="1" t="s">
        <v>34</v>
      </c>
      <c r="P5" s="2">
        <v>8.9930555555555545E-3</v>
      </c>
      <c r="Q5" s="1" t="s">
        <v>37</v>
      </c>
      <c r="R5" s="1">
        <v>0</v>
      </c>
      <c r="S5" s="1" t="str">
        <f>""</f>
        <v/>
      </c>
      <c r="T5" s="1" t="s">
        <v>29</v>
      </c>
      <c r="U5" s="1" t="s">
        <v>30</v>
      </c>
      <c r="V5" s="1">
        <v>0</v>
      </c>
    </row>
    <row r="6" spans="1:23" x14ac:dyDescent="0.15">
      <c r="B6" s="1" t="str">
        <f>"151****1458"</f>
        <v>151****1458</v>
      </c>
      <c r="C6" s="1" t="s">
        <v>38</v>
      </c>
      <c r="D6" s="1" t="str">
        <f t="shared" si="0"/>
        <v>89177328</v>
      </c>
      <c r="E6" s="1" t="s">
        <v>24</v>
      </c>
      <c r="F6" s="1" t="str">
        <f t="shared" si="1"/>
        <v>0010</v>
      </c>
      <c r="G6" s="1" t="str">
        <f>""</f>
        <v/>
      </c>
      <c r="H6" s="1" t="str">
        <f>"0034"</f>
        <v>0034</v>
      </c>
      <c r="I6" s="1" t="s">
        <v>31</v>
      </c>
      <c r="J6" s="1" t="str">
        <f>"01043977568"</f>
        <v>01043977568</v>
      </c>
      <c r="K6" s="1" t="str">
        <f>"2017-04-15 18:29:36"</f>
        <v>2017-04-15 18:29:36</v>
      </c>
      <c r="L6" s="1" t="str">
        <f>"2017-04-15 18:29:44"</f>
        <v>2017-04-15 18:29:44</v>
      </c>
      <c r="M6" s="2">
        <v>5.7638888888888887E-3</v>
      </c>
      <c r="N6" s="1" t="s">
        <v>26</v>
      </c>
      <c r="O6" s="1" t="s">
        <v>27</v>
      </c>
      <c r="P6" s="2">
        <v>5.8564814814814825E-3</v>
      </c>
      <c r="Q6" s="1" t="s">
        <v>39</v>
      </c>
      <c r="R6" s="1">
        <v>0</v>
      </c>
      <c r="S6" s="1" t="str">
        <f>""</f>
        <v/>
      </c>
      <c r="T6" s="1" t="s">
        <v>29</v>
      </c>
      <c r="U6" s="1" t="s">
        <v>30</v>
      </c>
      <c r="V6" s="1">
        <v>0</v>
      </c>
    </row>
    <row r="7" spans="1:23" x14ac:dyDescent="0.15">
      <c r="B7" s="1" t="str">
        <f>"188****8129"</f>
        <v>188****8129</v>
      </c>
      <c r="C7" s="1" t="s">
        <v>23</v>
      </c>
      <c r="D7" s="1" t="str">
        <f t="shared" si="0"/>
        <v>89177328</v>
      </c>
      <c r="E7" s="1" t="s">
        <v>24</v>
      </c>
      <c r="F7" s="1" t="str">
        <f t="shared" si="1"/>
        <v>0010</v>
      </c>
      <c r="G7" s="1" t="str">
        <f>""</f>
        <v/>
      </c>
      <c r="H7" s="1" t="str">
        <f>"0035"</f>
        <v>0035</v>
      </c>
      <c r="I7" s="1" t="s">
        <v>25</v>
      </c>
      <c r="J7" s="1" t="str">
        <f>"01043977569"</f>
        <v>01043977569</v>
      </c>
      <c r="K7" s="1" t="str">
        <f>"2017-04-15 17:19:48"</f>
        <v>2017-04-15 17:19:48</v>
      </c>
      <c r="L7" s="1" t="str">
        <f>"2017-04-15 17:19:58"</f>
        <v>2017-04-15 17:19:58</v>
      </c>
      <c r="M7" s="2">
        <v>5.3240740740740748E-3</v>
      </c>
      <c r="N7" s="1" t="s">
        <v>26</v>
      </c>
      <c r="O7" s="1" t="s">
        <v>27</v>
      </c>
      <c r="P7" s="2">
        <v>5.4398148148148149E-3</v>
      </c>
      <c r="Q7" s="1" t="s">
        <v>40</v>
      </c>
      <c r="R7" s="1">
        <v>0</v>
      </c>
      <c r="S7" s="1" t="str">
        <f>""</f>
        <v/>
      </c>
      <c r="T7" s="1" t="s">
        <v>29</v>
      </c>
      <c r="U7" s="1" t="s">
        <v>30</v>
      </c>
      <c r="V7" s="1">
        <v>0</v>
      </c>
    </row>
    <row r="8" spans="1:23" x14ac:dyDescent="0.15">
      <c r="B8" s="1" t="str">
        <f>"138****2606"</f>
        <v>138****2606</v>
      </c>
      <c r="C8" s="1" t="s">
        <v>41</v>
      </c>
      <c r="D8" s="1" t="str">
        <f t="shared" si="0"/>
        <v>89177328</v>
      </c>
      <c r="E8" s="1" t="s">
        <v>24</v>
      </c>
      <c r="F8" s="1" t="str">
        <f t="shared" si="1"/>
        <v>0010</v>
      </c>
      <c r="G8" s="1" t="str">
        <f>""</f>
        <v/>
      </c>
      <c r="H8" s="1" t="str">
        <f>"0018"</f>
        <v>0018</v>
      </c>
      <c r="I8" s="1" t="s">
        <v>36</v>
      </c>
      <c r="J8" s="1" t="str">
        <f>"01043977572"</f>
        <v>01043977572</v>
      </c>
      <c r="K8" s="1" t="str">
        <f>"2017-04-15 17:17:30"</f>
        <v>2017-04-15 17:17:30</v>
      </c>
      <c r="L8" s="1" t="str">
        <f>"2017-04-15 17:17:40"</f>
        <v>2017-04-15 17:17:40</v>
      </c>
      <c r="M8" s="2">
        <v>1.3888888888888888E-2</v>
      </c>
      <c r="N8" s="1" t="s">
        <v>26</v>
      </c>
      <c r="O8" s="1" t="s">
        <v>34</v>
      </c>
      <c r="P8" s="2">
        <v>1.4004629629629631E-2</v>
      </c>
      <c r="Q8" s="1" t="s">
        <v>42</v>
      </c>
      <c r="R8" s="1">
        <v>0</v>
      </c>
      <c r="S8" s="1" t="str">
        <f>""</f>
        <v/>
      </c>
      <c r="T8" s="1" t="s">
        <v>29</v>
      </c>
      <c r="U8" s="1" t="s">
        <v>30</v>
      </c>
      <c r="V8" s="1">
        <v>0</v>
      </c>
    </row>
    <row r="9" spans="1:23" x14ac:dyDescent="0.15">
      <c r="B9" s="1" t="str">
        <f>"135****0854"</f>
        <v>135****0854</v>
      </c>
      <c r="C9" s="1" t="s">
        <v>23</v>
      </c>
      <c r="D9" s="1" t="str">
        <f t="shared" si="0"/>
        <v>89177328</v>
      </c>
      <c r="E9" s="1" t="s">
        <v>24</v>
      </c>
      <c r="F9" s="1" t="str">
        <f t="shared" si="1"/>
        <v>0010</v>
      </c>
      <c r="G9" s="1" t="str">
        <f>""</f>
        <v/>
      </c>
      <c r="H9" s="1" t="str">
        <f>"0034"</f>
        <v>0034</v>
      </c>
      <c r="I9" s="1" t="s">
        <v>31</v>
      </c>
      <c r="J9" s="1" t="str">
        <f>"01043977568"</f>
        <v>01043977568</v>
      </c>
      <c r="K9" s="1" t="str">
        <f>"2017-04-15 16:18:03"</f>
        <v>2017-04-15 16:18:03</v>
      </c>
      <c r="L9" s="1" t="str">
        <f>"2017-04-15 16:18:11"</f>
        <v>2017-04-15 16:18:11</v>
      </c>
      <c r="M9" s="2">
        <v>5.1967592592592595E-3</v>
      </c>
      <c r="N9" s="1" t="s">
        <v>26</v>
      </c>
      <c r="O9" s="1" t="s">
        <v>34</v>
      </c>
      <c r="P9" s="2">
        <v>5.2893518518518515E-3</v>
      </c>
      <c r="Q9" s="1" t="s">
        <v>43</v>
      </c>
      <c r="R9" s="1">
        <v>0</v>
      </c>
      <c r="S9" s="1" t="str">
        <f>""</f>
        <v/>
      </c>
      <c r="T9" s="1" t="s">
        <v>29</v>
      </c>
      <c r="U9" s="1" t="s">
        <v>30</v>
      </c>
      <c r="V9" s="1">
        <v>0</v>
      </c>
    </row>
    <row r="10" spans="1:23" x14ac:dyDescent="0.15">
      <c r="B10" s="1" t="str">
        <f>"159****7388"</f>
        <v>159****7388</v>
      </c>
      <c r="C10" s="1" t="s">
        <v>44</v>
      </c>
      <c r="D10" s="1" t="str">
        <f t="shared" si="0"/>
        <v>89177328</v>
      </c>
      <c r="E10" s="1" t="s">
        <v>24</v>
      </c>
      <c r="F10" s="1" t="str">
        <f t="shared" si="1"/>
        <v>0010</v>
      </c>
      <c r="G10" s="1" t="str">
        <f>""</f>
        <v/>
      </c>
      <c r="H10" s="1" t="str">
        <f>"0018"</f>
        <v>0018</v>
      </c>
      <c r="I10" s="1" t="s">
        <v>36</v>
      </c>
      <c r="J10" s="1" t="str">
        <f>"01043977572"</f>
        <v>01043977572</v>
      </c>
      <c r="K10" s="1" t="str">
        <f>"2017-04-15 15:58:30"</f>
        <v>2017-04-15 15:58:30</v>
      </c>
      <c r="L10" s="1" t="str">
        <f>"2017-04-15 15:58:40"</f>
        <v>2017-04-15 15:58:40</v>
      </c>
      <c r="M10" s="2">
        <v>5.9490740740740745E-3</v>
      </c>
      <c r="N10" s="1" t="s">
        <v>26</v>
      </c>
      <c r="O10" s="1" t="s">
        <v>34</v>
      </c>
      <c r="P10" s="2">
        <v>6.0648148148148145E-3</v>
      </c>
      <c r="Q10" s="1" t="s">
        <v>45</v>
      </c>
      <c r="R10" s="1">
        <v>0</v>
      </c>
      <c r="S10" s="1" t="str">
        <f>""</f>
        <v/>
      </c>
      <c r="T10" s="1" t="s">
        <v>29</v>
      </c>
      <c r="U10" s="1" t="s">
        <v>30</v>
      </c>
      <c r="V10" s="1">
        <v>0</v>
      </c>
    </row>
    <row r="11" spans="1:23" x14ac:dyDescent="0.15">
      <c r="B11" s="1" t="str">
        <f>"031****2458"</f>
        <v>031****2458</v>
      </c>
      <c r="C11" s="1" t="s">
        <v>44</v>
      </c>
      <c r="D11" s="1" t="str">
        <f t="shared" si="0"/>
        <v>89177328</v>
      </c>
      <c r="E11" s="1" t="s">
        <v>24</v>
      </c>
      <c r="F11" s="1" t="str">
        <f t="shared" si="1"/>
        <v>0010</v>
      </c>
      <c r="G11" s="1" t="str">
        <f>""</f>
        <v/>
      </c>
      <c r="H11" s="1" t="str">
        <f>"0034"</f>
        <v>0034</v>
      </c>
      <c r="I11" s="1" t="s">
        <v>31</v>
      </c>
      <c r="J11" s="1" t="str">
        <f>"01043977568"</f>
        <v>01043977568</v>
      </c>
      <c r="K11" s="1" t="str">
        <f>"2017-04-15 15:37:47"</f>
        <v>2017-04-15 15:37:47</v>
      </c>
      <c r="L11" s="1" t="str">
        <f>"2017-04-15 15:37:59"</f>
        <v>2017-04-15 15:37:59</v>
      </c>
      <c r="M11" s="2">
        <v>9.7222222222222209E-4</v>
      </c>
      <c r="N11" s="1" t="s">
        <v>26</v>
      </c>
      <c r="O11" s="1" t="s">
        <v>27</v>
      </c>
      <c r="P11" s="2">
        <v>1.1111111111111111E-3</v>
      </c>
      <c r="Q11" s="1" t="s">
        <v>46</v>
      </c>
      <c r="R11" s="1">
        <v>0</v>
      </c>
      <c r="S11" s="1" t="str">
        <f>""</f>
        <v/>
      </c>
      <c r="T11" s="1" t="s">
        <v>29</v>
      </c>
      <c r="U11" s="1" t="s">
        <v>30</v>
      </c>
      <c r="V11" s="1">
        <v>0</v>
      </c>
    </row>
    <row r="12" spans="1:23" x14ac:dyDescent="0.15">
      <c r="B12" s="1" t="str">
        <f>"135****8945"</f>
        <v>135****8945</v>
      </c>
      <c r="C12" s="1" t="s">
        <v>23</v>
      </c>
      <c r="D12" s="1" t="str">
        <f t="shared" si="0"/>
        <v>89177328</v>
      </c>
      <c r="E12" s="1" t="s">
        <v>24</v>
      </c>
      <c r="F12" s="1" t="str">
        <f t="shared" si="1"/>
        <v>0010</v>
      </c>
      <c r="G12" s="1" t="str">
        <f>""</f>
        <v/>
      </c>
      <c r="H12" s="1" t="str">
        <f>"0018"</f>
        <v>0018</v>
      </c>
      <c r="I12" s="1" t="s">
        <v>36</v>
      </c>
      <c r="J12" s="1" t="str">
        <f>"01043977572"</f>
        <v>01043977572</v>
      </c>
      <c r="K12" s="1" t="str">
        <f>"2017-04-15 15:24:04"</f>
        <v>2017-04-15 15:24:04</v>
      </c>
      <c r="L12" s="1" t="str">
        <f>"2017-04-15 15:24:14"</f>
        <v>2017-04-15 15:24:14</v>
      </c>
      <c r="M12" s="2">
        <v>2.5578703703703705E-3</v>
      </c>
      <c r="N12" s="1" t="s">
        <v>26</v>
      </c>
      <c r="O12" s="1" t="s">
        <v>34</v>
      </c>
      <c r="P12" s="2">
        <v>2.673611111111111E-3</v>
      </c>
      <c r="Q12" s="1" t="s">
        <v>47</v>
      </c>
      <c r="R12" s="1">
        <v>0</v>
      </c>
      <c r="S12" s="1" t="str">
        <f>""</f>
        <v/>
      </c>
      <c r="T12" s="1" t="s">
        <v>29</v>
      </c>
      <c r="U12" s="1" t="s">
        <v>30</v>
      </c>
      <c r="V12" s="1">
        <v>0</v>
      </c>
    </row>
    <row r="13" spans="1:23" x14ac:dyDescent="0.15">
      <c r="B13" s="1" t="str">
        <f>"010****6066"</f>
        <v>010****6066</v>
      </c>
      <c r="C13" s="1" t="s">
        <v>23</v>
      </c>
      <c r="D13" s="1" t="str">
        <f t="shared" si="0"/>
        <v>89177328</v>
      </c>
      <c r="E13" s="1" t="s">
        <v>24</v>
      </c>
      <c r="F13" s="1" t="str">
        <f t="shared" si="1"/>
        <v>0010</v>
      </c>
      <c r="G13" s="1" t="str">
        <f>""</f>
        <v/>
      </c>
      <c r="H13" s="1" t="str">
        <f>"0034"</f>
        <v>0034</v>
      </c>
      <c r="I13" s="1" t="s">
        <v>31</v>
      </c>
      <c r="J13" s="1" t="str">
        <f>"01043977568"</f>
        <v>01043977568</v>
      </c>
      <c r="K13" s="1" t="str">
        <f>"2017-04-15 14:47:49"</f>
        <v>2017-04-15 14:47:49</v>
      </c>
      <c r="L13" s="1" t="str">
        <f>"2017-04-15 14:48:02"</f>
        <v>2017-04-15 14:48:02</v>
      </c>
      <c r="M13" s="2">
        <v>4.5254629629629629E-3</v>
      </c>
      <c r="N13" s="1" t="s">
        <v>26</v>
      </c>
      <c r="O13" s="1" t="s">
        <v>27</v>
      </c>
      <c r="P13" s="2">
        <v>4.6759259259259263E-3</v>
      </c>
      <c r="Q13" s="1" t="s">
        <v>48</v>
      </c>
      <c r="R13" s="1">
        <v>0</v>
      </c>
      <c r="S13" s="1" t="str">
        <f>""</f>
        <v/>
      </c>
      <c r="T13" s="1" t="s">
        <v>29</v>
      </c>
      <c r="U13" s="1" t="s">
        <v>30</v>
      </c>
      <c r="V13" s="1">
        <v>0</v>
      </c>
    </row>
    <row r="14" spans="1:23" x14ac:dyDescent="0.15">
      <c r="B14" s="1" t="str">
        <f>"138****5935"</f>
        <v>138****5935</v>
      </c>
      <c r="C14" s="1" t="s">
        <v>49</v>
      </c>
      <c r="D14" s="1" t="str">
        <f t="shared" si="0"/>
        <v>89177328</v>
      </c>
      <c r="E14" s="1" t="s">
        <v>24</v>
      </c>
      <c r="F14" s="1" t="str">
        <f t="shared" si="1"/>
        <v>0010</v>
      </c>
      <c r="G14" s="1" t="str">
        <f>""</f>
        <v/>
      </c>
      <c r="H14" s="1" t="str">
        <f>"0034"</f>
        <v>0034</v>
      </c>
      <c r="I14" s="1" t="s">
        <v>31</v>
      </c>
      <c r="J14" s="1" t="str">
        <f>"01043977568"</f>
        <v>01043977568</v>
      </c>
      <c r="K14" s="1" t="str">
        <f>"2017-04-15 14:38:01"</f>
        <v>2017-04-15 14:38:01</v>
      </c>
      <c r="L14" s="1" t="str">
        <f>"2017-04-15 14:38:15"</f>
        <v>2017-04-15 14:38:15</v>
      </c>
      <c r="M14" s="2">
        <v>3.7152777777777774E-3</v>
      </c>
      <c r="N14" s="1" t="s">
        <v>26</v>
      </c>
      <c r="O14" s="1" t="s">
        <v>34</v>
      </c>
      <c r="P14" s="2">
        <v>3.8773148148148143E-3</v>
      </c>
      <c r="Q14" s="1" t="s">
        <v>50</v>
      </c>
      <c r="R14" s="1">
        <v>0</v>
      </c>
      <c r="S14" s="1" t="str">
        <f>""</f>
        <v/>
      </c>
      <c r="T14" s="1" t="s">
        <v>29</v>
      </c>
      <c r="U14" s="1" t="s">
        <v>30</v>
      </c>
      <c r="V14" s="1">
        <v>0</v>
      </c>
    </row>
    <row r="15" spans="1:23" x14ac:dyDescent="0.15">
      <c r="B15" s="1" t="str">
        <f>"153****1271"</f>
        <v>153****1271</v>
      </c>
      <c r="C15" s="1" t="s">
        <v>51</v>
      </c>
      <c r="D15" s="1" t="str">
        <f t="shared" si="0"/>
        <v>89177328</v>
      </c>
      <c r="E15" s="1" t="s">
        <v>24</v>
      </c>
      <c r="F15" s="1" t="str">
        <f t="shared" si="1"/>
        <v>0010</v>
      </c>
      <c r="G15" s="1" t="str">
        <f>""</f>
        <v/>
      </c>
      <c r="H15" s="1" t="str">
        <f>"0034"</f>
        <v>0034</v>
      </c>
      <c r="I15" s="1" t="s">
        <v>31</v>
      </c>
      <c r="J15" s="1" t="str">
        <f>"01043977568"</f>
        <v>01043977568</v>
      </c>
      <c r="K15" s="1" t="str">
        <f>"2017-04-15 13:39:55"</f>
        <v>2017-04-15 13:39:55</v>
      </c>
      <c r="L15" s="1" t="str">
        <f>"-"</f>
        <v>-</v>
      </c>
      <c r="M15" s="2">
        <v>0</v>
      </c>
      <c r="N15" s="1" t="s">
        <v>33</v>
      </c>
      <c r="O15" s="1" t="s">
        <v>34</v>
      </c>
      <c r="P15" s="2">
        <v>2.3148148148148147E-5</v>
      </c>
      <c r="Q15" s="1" t="str">
        <f>""</f>
        <v/>
      </c>
      <c r="R15" s="1">
        <v>0</v>
      </c>
      <c r="S15" s="1" t="str">
        <f>""</f>
        <v/>
      </c>
      <c r="T15" s="1" t="s">
        <v>29</v>
      </c>
      <c r="U15" s="1" t="s">
        <v>30</v>
      </c>
      <c r="V15" s="1">
        <v>0</v>
      </c>
    </row>
    <row r="16" spans="1:23" x14ac:dyDescent="0.15">
      <c r="B16" s="1" t="str">
        <f>"135****9155"</f>
        <v>135****9155</v>
      </c>
      <c r="C16" s="1" t="s">
        <v>23</v>
      </c>
      <c r="D16" s="1" t="str">
        <f t="shared" si="0"/>
        <v>89177328</v>
      </c>
      <c r="E16" s="1" t="s">
        <v>24</v>
      </c>
      <c r="F16" s="1" t="str">
        <f t="shared" si="1"/>
        <v>0010</v>
      </c>
      <c r="G16" s="1" t="str">
        <f>""</f>
        <v/>
      </c>
      <c r="H16" s="1" t="str">
        <f>"0018"</f>
        <v>0018</v>
      </c>
      <c r="I16" s="1" t="s">
        <v>36</v>
      </c>
      <c r="J16" s="1" t="str">
        <f>"01043977572"</f>
        <v>01043977572</v>
      </c>
      <c r="K16" s="1" t="str">
        <f>"2017-04-15 13:04:08"</f>
        <v>2017-04-15 13:04:08</v>
      </c>
      <c r="L16" s="1" t="str">
        <f>"2017-04-15 13:04:17"</f>
        <v>2017-04-15 13:04:17</v>
      </c>
      <c r="M16" s="2">
        <v>2.1527777777777781E-2</v>
      </c>
      <c r="N16" s="1" t="s">
        <v>26</v>
      </c>
      <c r="O16" s="1" t="s">
        <v>34</v>
      </c>
      <c r="P16" s="2">
        <v>2.1631944444444443E-2</v>
      </c>
      <c r="Q16" s="1" t="s">
        <v>52</v>
      </c>
      <c r="R16" s="1">
        <v>0</v>
      </c>
      <c r="S16" s="1" t="str">
        <f>""</f>
        <v/>
      </c>
      <c r="T16" s="1" t="s">
        <v>29</v>
      </c>
      <c r="U16" s="1" t="s">
        <v>30</v>
      </c>
      <c r="V16" s="1">
        <v>0</v>
      </c>
    </row>
    <row r="17" spans="2:22" x14ac:dyDescent="0.15">
      <c r="B17" s="1" t="str">
        <f>"139****4978"</f>
        <v>139****4978</v>
      </c>
      <c r="C17" s="1" t="s">
        <v>23</v>
      </c>
      <c r="D17" s="1" t="str">
        <f>"4000108333"</f>
        <v>4000108333</v>
      </c>
      <c r="E17" s="1" t="s">
        <v>53</v>
      </c>
      <c r="F17" s="1" t="str">
        <f>"0000"</f>
        <v>0000</v>
      </c>
      <c r="G17" s="1" t="str">
        <f>""</f>
        <v/>
      </c>
      <c r="H17" s="1" t="str">
        <f>"1012"</f>
        <v>1012</v>
      </c>
      <c r="I17" s="1" t="s">
        <v>54</v>
      </c>
      <c r="J17" s="1" t="str">
        <f>"13611040764"</f>
        <v>13611040764</v>
      </c>
      <c r="K17" s="1" t="str">
        <f>"2017-04-15 12:16:41"</f>
        <v>2017-04-15 12:16:41</v>
      </c>
      <c r="L17" s="1" t="str">
        <f>"-"</f>
        <v>-</v>
      </c>
      <c r="M17" s="2">
        <v>0</v>
      </c>
      <c r="N17" s="1" t="s">
        <v>33</v>
      </c>
      <c r="O17" s="1" t="s">
        <v>34</v>
      </c>
      <c r="P17" s="2">
        <v>9.6064814814814808E-4</v>
      </c>
      <c r="Q17" s="1" t="str">
        <f>""</f>
        <v/>
      </c>
      <c r="R17" s="1">
        <v>0.24</v>
      </c>
      <c r="S17" s="1" t="str">
        <f>""</f>
        <v/>
      </c>
      <c r="T17" s="1" t="s">
        <v>29</v>
      </c>
      <c r="U17" s="1" t="s">
        <v>30</v>
      </c>
      <c r="V17" s="1">
        <v>0</v>
      </c>
    </row>
    <row r="18" spans="2:22" x14ac:dyDescent="0.15">
      <c r="B18" s="1" t="str">
        <f>"138****8034"</f>
        <v>138****8034</v>
      </c>
      <c r="C18" s="1" t="s">
        <v>23</v>
      </c>
      <c r="D18" s="1" t="str">
        <f t="shared" ref="D18:D27" si="2">"89177328"</f>
        <v>89177328</v>
      </c>
      <c r="E18" s="1" t="s">
        <v>24</v>
      </c>
      <c r="F18" s="1" t="str">
        <f t="shared" ref="F18:F27" si="3">"0010"</f>
        <v>0010</v>
      </c>
      <c r="G18" s="1" t="str">
        <f>""</f>
        <v/>
      </c>
      <c r="H18" s="1" t="str">
        <f>""</f>
        <v/>
      </c>
      <c r="I18" s="1" t="str">
        <f>""</f>
        <v/>
      </c>
      <c r="J18" s="1" t="str">
        <f>""</f>
        <v/>
      </c>
      <c r="K18" s="1" t="str">
        <f>"2017-04-15 11:53:02"</f>
        <v>2017-04-15 11:53:02</v>
      </c>
      <c r="L18" s="1" t="str">
        <f>"-"</f>
        <v>-</v>
      </c>
      <c r="M18" s="2">
        <v>0</v>
      </c>
      <c r="N18" s="1" t="s">
        <v>55</v>
      </c>
      <c r="O18" s="1" t="s">
        <v>27</v>
      </c>
      <c r="P18" s="2">
        <v>4.6296296296296294E-5</v>
      </c>
      <c r="Q18" s="1" t="str">
        <f>""</f>
        <v/>
      </c>
      <c r="R18" s="1">
        <v>0</v>
      </c>
      <c r="S18" s="1" t="str">
        <f>""</f>
        <v/>
      </c>
      <c r="T18" s="1" t="s">
        <v>29</v>
      </c>
      <c r="U18" s="1" t="s">
        <v>30</v>
      </c>
      <c r="V18" s="1">
        <v>0</v>
      </c>
    </row>
    <row r="19" spans="2:22" x14ac:dyDescent="0.15">
      <c r="B19" s="1" t="str">
        <f>"185****7665"</f>
        <v>185****7665</v>
      </c>
      <c r="C19" s="1" t="s">
        <v>23</v>
      </c>
      <c r="D19" s="1" t="str">
        <f t="shared" si="2"/>
        <v>89177328</v>
      </c>
      <c r="E19" s="1" t="s">
        <v>24</v>
      </c>
      <c r="F19" s="1" t="str">
        <f t="shared" si="3"/>
        <v>0010</v>
      </c>
      <c r="G19" s="1" t="str">
        <f>""</f>
        <v/>
      </c>
      <c r="H19" s="1" t="str">
        <f>"0034"</f>
        <v>0034</v>
      </c>
      <c r="I19" s="1" t="s">
        <v>31</v>
      </c>
      <c r="J19" s="1" t="str">
        <f>"01043977568"</f>
        <v>01043977568</v>
      </c>
      <c r="K19" s="1" t="str">
        <f>"2017-04-15 11:51:19"</f>
        <v>2017-04-15 11:51:19</v>
      </c>
      <c r="L19" s="1" t="str">
        <f>"2017-04-15 11:51:33"</f>
        <v>2017-04-15 11:51:33</v>
      </c>
      <c r="M19" s="2">
        <v>3.3101851851851851E-3</v>
      </c>
      <c r="N19" s="1" t="s">
        <v>26</v>
      </c>
      <c r="O19" s="1" t="s">
        <v>27</v>
      </c>
      <c r="P19" s="2">
        <v>3.472222222222222E-3</v>
      </c>
      <c r="Q19" s="1" t="s">
        <v>56</v>
      </c>
      <c r="R19" s="1">
        <v>0</v>
      </c>
      <c r="S19" s="1" t="str">
        <f>""</f>
        <v/>
      </c>
      <c r="T19" s="1" t="s">
        <v>29</v>
      </c>
      <c r="U19" s="1" t="s">
        <v>30</v>
      </c>
      <c r="V19" s="1">
        <v>0</v>
      </c>
    </row>
    <row r="20" spans="2:22" x14ac:dyDescent="0.15">
      <c r="B20" s="1" t="str">
        <f>"186****1701"</f>
        <v>186****1701</v>
      </c>
      <c r="C20" s="1" t="s">
        <v>23</v>
      </c>
      <c r="D20" s="1" t="str">
        <f t="shared" si="2"/>
        <v>89177328</v>
      </c>
      <c r="E20" s="1" t="s">
        <v>24</v>
      </c>
      <c r="F20" s="1" t="str">
        <f t="shared" si="3"/>
        <v>0010</v>
      </c>
      <c r="G20" s="1" t="str">
        <f>""</f>
        <v/>
      </c>
      <c r="H20" s="1" t="str">
        <f>""</f>
        <v/>
      </c>
      <c r="I20" s="1" t="str">
        <f>""</f>
        <v/>
      </c>
      <c r="J20" s="1" t="str">
        <f>""</f>
        <v/>
      </c>
      <c r="K20" s="1" t="str">
        <f>"2017-04-15 11:34:06"</f>
        <v>2017-04-15 11:34:06</v>
      </c>
      <c r="L20" s="1" t="str">
        <f>"-"</f>
        <v>-</v>
      </c>
      <c r="M20" s="2">
        <v>0</v>
      </c>
      <c r="N20" s="1" t="s">
        <v>55</v>
      </c>
      <c r="O20" s="1" t="s">
        <v>27</v>
      </c>
      <c r="P20" s="2">
        <v>4.6296296296296294E-5</v>
      </c>
      <c r="Q20" s="1" t="str">
        <f>""</f>
        <v/>
      </c>
      <c r="R20" s="1">
        <v>0</v>
      </c>
      <c r="S20" s="1" t="str">
        <f>""</f>
        <v/>
      </c>
      <c r="T20" s="1" t="s">
        <v>29</v>
      </c>
      <c r="U20" s="1" t="s">
        <v>30</v>
      </c>
      <c r="V20" s="1">
        <v>0</v>
      </c>
    </row>
    <row r="21" spans="2:22" x14ac:dyDescent="0.15">
      <c r="B21" s="1" t="str">
        <f>"182****8226"</f>
        <v>182****8226</v>
      </c>
      <c r="C21" s="1" t="s">
        <v>23</v>
      </c>
      <c r="D21" s="1" t="str">
        <f t="shared" si="2"/>
        <v>89177328</v>
      </c>
      <c r="E21" s="1" t="s">
        <v>24</v>
      </c>
      <c r="F21" s="1" t="str">
        <f t="shared" si="3"/>
        <v>0010</v>
      </c>
      <c r="G21" s="1" t="str">
        <f>""</f>
        <v/>
      </c>
      <c r="H21" s="1" t="str">
        <f>"0034"</f>
        <v>0034</v>
      </c>
      <c r="I21" s="1" t="s">
        <v>31</v>
      </c>
      <c r="J21" s="1" t="str">
        <f>"01043977568"</f>
        <v>01043977568</v>
      </c>
      <c r="K21" s="1" t="str">
        <f>"2017-04-15 11:30:18"</f>
        <v>2017-04-15 11:30:18</v>
      </c>
      <c r="L21" s="1" t="str">
        <f>"2017-04-15 11:30:29"</f>
        <v>2017-04-15 11:30:29</v>
      </c>
      <c r="M21" s="2">
        <v>6.7361111111111103E-3</v>
      </c>
      <c r="N21" s="1" t="s">
        <v>26</v>
      </c>
      <c r="O21" s="1" t="s">
        <v>34</v>
      </c>
      <c r="P21" s="2">
        <v>6.8634259259259256E-3</v>
      </c>
      <c r="Q21" s="1" t="s">
        <v>57</v>
      </c>
      <c r="R21" s="1">
        <v>0</v>
      </c>
      <c r="S21" s="1" t="str">
        <f>""</f>
        <v/>
      </c>
      <c r="T21" s="1" t="s">
        <v>29</v>
      </c>
      <c r="U21" s="1" t="s">
        <v>30</v>
      </c>
      <c r="V21" s="1">
        <v>0</v>
      </c>
    </row>
    <row r="22" spans="2:22" x14ac:dyDescent="0.15">
      <c r="B22" s="1" t="str">
        <f>"138****6820"</f>
        <v>138****6820</v>
      </c>
      <c r="C22" s="1" t="s">
        <v>23</v>
      </c>
      <c r="D22" s="1" t="str">
        <f t="shared" si="2"/>
        <v>89177328</v>
      </c>
      <c r="E22" s="1" t="s">
        <v>24</v>
      </c>
      <c r="F22" s="1" t="str">
        <f t="shared" si="3"/>
        <v>0010</v>
      </c>
      <c r="G22" s="1" t="str">
        <f>""</f>
        <v/>
      </c>
      <c r="H22" s="1" t="str">
        <f>"0035"</f>
        <v>0035</v>
      </c>
      <c r="I22" s="1" t="s">
        <v>25</v>
      </c>
      <c r="J22" s="1" t="str">
        <f>"01043977569"</f>
        <v>01043977569</v>
      </c>
      <c r="K22" s="1" t="str">
        <f>"2017-04-15 11:29:13"</f>
        <v>2017-04-15 11:29:13</v>
      </c>
      <c r="L22" s="1" t="str">
        <f>"2017-04-15 11:29:22"</f>
        <v>2017-04-15 11:29:22</v>
      </c>
      <c r="M22" s="2">
        <v>1.3310185185185187E-2</v>
      </c>
      <c r="N22" s="1" t="s">
        <v>26</v>
      </c>
      <c r="O22" s="1" t="s">
        <v>27</v>
      </c>
      <c r="P22" s="2">
        <v>1.3414351851851851E-2</v>
      </c>
      <c r="Q22" s="1" t="s">
        <v>58</v>
      </c>
      <c r="R22" s="1">
        <v>0</v>
      </c>
      <c r="S22" s="1" t="str">
        <f>""</f>
        <v/>
      </c>
      <c r="T22" s="1" t="s">
        <v>29</v>
      </c>
      <c r="U22" s="1" t="s">
        <v>30</v>
      </c>
      <c r="V22" s="1">
        <v>0</v>
      </c>
    </row>
    <row r="23" spans="2:22" x14ac:dyDescent="0.15">
      <c r="B23" s="1" t="str">
        <f>"0474047****4273"</f>
        <v>0474047****4273</v>
      </c>
      <c r="C23" s="1" t="s">
        <v>38</v>
      </c>
      <c r="D23" s="1" t="str">
        <f t="shared" si="2"/>
        <v>89177328</v>
      </c>
      <c r="E23" s="1" t="s">
        <v>24</v>
      </c>
      <c r="F23" s="1" t="str">
        <f t="shared" si="3"/>
        <v>0010</v>
      </c>
      <c r="G23" s="1" t="str">
        <f>""</f>
        <v/>
      </c>
      <c r="H23" s="1" t="str">
        <f>"0018"</f>
        <v>0018</v>
      </c>
      <c r="I23" s="1" t="s">
        <v>36</v>
      </c>
      <c r="J23" s="1" t="str">
        <f>"01043977572"</f>
        <v>01043977572</v>
      </c>
      <c r="K23" s="1" t="str">
        <f>"2017-04-15 11:22:00"</f>
        <v>2017-04-15 11:22:00</v>
      </c>
      <c r="L23" s="1" t="str">
        <f>"2017-04-15 11:22:09"</f>
        <v>2017-04-15 11:22:09</v>
      </c>
      <c r="M23" s="2">
        <v>1.2650462962962962E-2</v>
      </c>
      <c r="N23" s="1" t="s">
        <v>26</v>
      </c>
      <c r="O23" s="1" t="s">
        <v>34</v>
      </c>
      <c r="P23" s="2">
        <v>1.275462962962963E-2</v>
      </c>
      <c r="Q23" s="1" t="s">
        <v>59</v>
      </c>
      <c r="R23" s="1">
        <v>0</v>
      </c>
      <c r="S23" s="1" t="str">
        <f>""</f>
        <v/>
      </c>
      <c r="T23" s="1" t="s">
        <v>29</v>
      </c>
      <c r="U23" s="1" t="s">
        <v>30</v>
      </c>
      <c r="V23" s="1">
        <v>0</v>
      </c>
    </row>
    <row r="24" spans="2:22" x14ac:dyDescent="0.15">
      <c r="B24" s="1" t="str">
        <f>"185****4218"</f>
        <v>185****4218</v>
      </c>
      <c r="C24" s="1" t="s">
        <v>23</v>
      </c>
      <c r="D24" s="1" t="str">
        <f t="shared" si="2"/>
        <v>89177328</v>
      </c>
      <c r="E24" s="1" t="s">
        <v>24</v>
      </c>
      <c r="F24" s="1" t="str">
        <f t="shared" si="3"/>
        <v>0010</v>
      </c>
      <c r="G24" s="1" t="str">
        <f>""</f>
        <v/>
      </c>
      <c r="H24" s="1" t="str">
        <f>"0018"</f>
        <v>0018</v>
      </c>
      <c r="I24" s="1" t="s">
        <v>36</v>
      </c>
      <c r="J24" s="1" t="str">
        <f>"01043977572"</f>
        <v>01043977572</v>
      </c>
      <c r="K24" s="1" t="str">
        <f>"2017-04-15 11:13:39"</f>
        <v>2017-04-15 11:13:39</v>
      </c>
      <c r="L24" s="1" t="str">
        <f>"2017-04-15 11:13:49"</f>
        <v>2017-04-15 11:13:49</v>
      </c>
      <c r="M24" s="2">
        <v>3.5879629629629635E-4</v>
      </c>
      <c r="N24" s="1" t="s">
        <v>26</v>
      </c>
      <c r="O24" s="1" t="s">
        <v>34</v>
      </c>
      <c r="P24" s="2">
        <v>4.7453703703703704E-4</v>
      </c>
      <c r="Q24" s="1" t="s">
        <v>60</v>
      </c>
      <c r="R24" s="1">
        <v>0</v>
      </c>
      <c r="S24" s="1" t="str">
        <f>""</f>
        <v/>
      </c>
      <c r="T24" s="1" t="s">
        <v>29</v>
      </c>
      <c r="U24" s="1" t="s">
        <v>30</v>
      </c>
      <c r="V24" s="1">
        <v>0</v>
      </c>
    </row>
    <row r="25" spans="2:22" x14ac:dyDescent="0.15">
      <c r="B25" s="1" t="str">
        <f>"139****4978"</f>
        <v>139****4978</v>
      </c>
      <c r="C25" s="1" t="s">
        <v>23</v>
      </c>
      <c r="D25" s="1" t="str">
        <f t="shared" si="2"/>
        <v>89177328</v>
      </c>
      <c r="E25" s="1" t="s">
        <v>24</v>
      </c>
      <c r="F25" s="1" t="str">
        <f t="shared" si="3"/>
        <v>0010</v>
      </c>
      <c r="G25" s="1" t="str">
        <f>""</f>
        <v/>
      </c>
      <c r="H25" s="1" t="str">
        <f>"0034"</f>
        <v>0034</v>
      </c>
      <c r="I25" s="1" t="s">
        <v>31</v>
      </c>
      <c r="J25" s="1" t="str">
        <f>"01043977568"</f>
        <v>01043977568</v>
      </c>
      <c r="K25" s="1" t="str">
        <f>"2017-04-15 11:07:00"</f>
        <v>2017-04-15 11:07:00</v>
      </c>
      <c r="L25" s="1" t="str">
        <f>"2017-04-15 11:07:11"</f>
        <v>2017-04-15 11:07:11</v>
      </c>
      <c r="M25" s="2">
        <v>8.5300925925925926E-3</v>
      </c>
      <c r="N25" s="1" t="s">
        <v>26</v>
      </c>
      <c r="O25" s="1" t="s">
        <v>34</v>
      </c>
      <c r="P25" s="2">
        <v>8.6574074074074071E-3</v>
      </c>
      <c r="Q25" s="1" t="s">
        <v>61</v>
      </c>
      <c r="R25" s="1">
        <v>0</v>
      </c>
      <c r="S25" s="1" t="str">
        <f>""</f>
        <v/>
      </c>
      <c r="T25" s="1" t="s">
        <v>29</v>
      </c>
      <c r="U25" s="1" t="s">
        <v>30</v>
      </c>
      <c r="V25" s="1">
        <v>0</v>
      </c>
    </row>
    <row r="26" spans="2:22" x14ac:dyDescent="0.15">
      <c r="B26" s="1" t="str">
        <f>"186****4957"</f>
        <v>186****4957</v>
      </c>
      <c r="C26" s="1" t="s">
        <v>23</v>
      </c>
      <c r="D26" s="1" t="str">
        <f t="shared" si="2"/>
        <v>89177328</v>
      </c>
      <c r="E26" s="1" t="s">
        <v>24</v>
      </c>
      <c r="F26" s="1" t="str">
        <f t="shared" si="3"/>
        <v>0010</v>
      </c>
      <c r="G26" s="1" t="str">
        <f>""</f>
        <v/>
      </c>
      <c r="H26" s="1" t="str">
        <f>"0018"</f>
        <v>0018</v>
      </c>
      <c r="I26" s="1" t="s">
        <v>36</v>
      </c>
      <c r="J26" s="1" t="str">
        <f>"01043977572"</f>
        <v>01043977572</v>
      </c>
      <c r="K26" s="1" t="str">
        <f>"2017-04-15 10:48:07"</f>
        <v>2017-04-15 10:48:07</v>
      </c>
      <c r="L26" s="1" t="str">
        <f>"2017-04-15 10:48:14"</f>
        <v>2017-04-15 10:48:14</v>
      </c>
      <c r="M26" s="2">
        <v>9.6412037037037039E-3</v>
      </c>
      <c r="N26" s="1" t="s">
        <v>26</v>
      </c>
      <c r="O26" s="1" t="s">
        <v>34</v>
      </c>
      <c r="P26" s="2">
        <v>9.7222222222222224E-3</v>
      </c>
      <c r="Q26" s="1" t="s">
        <v>62</v>
      </c>
      <c r="R26" s="1">
        <v>0</v>
      </c>
      <c r="S26" s="1" t="str">
        <f>""</f>
        <v/>
      </c>
      <c r="T26" s="1" t="s">
        <v>29</v>
      </c>
      <c r="U26" s="1" t="s">
        <v>30</v>
      </c>
      <c r="V26" s="1">
        <v>0</v>
      </c>
    </row>
    <row r="27" spans="2:22" x14ac:dyDescent="0.15">
      <c r="B27" s="1" t="str">
        <f>"186****0312"</f>
        <v>186****0312</v>
      </c>
      <c r="C27" s="1" t="s">
        <v>23</v>
      </c>
      <c r="D27" s="1" t="str">
        <f t="shared" si="2"/>
        <v>89177328</v>
      </c>
      <c r="E27" s="1" t="s">
        <v>24</v>
      </c>
      <c r="F27" s="1" t="str">
        <f t="shared" si="3"/>
        <v>0010</v>
      </c>
      <c r="G27" s="1" t="str">
        <f>""</f>
        <v/>
      </c>
      <c r="H27" s="1" t="str">
        <f>"0034"</f>
        <v>0034</v>
      </c>
      <c r="I27" s="1" t="s">
        <v>31</v>
      </c>
      <c r="J27" s="1" t="str">
        <f>"01043977568"</f>
        <v>01043977568</v>
      </c>
      <c r="K27" s="1" t="str">
        <f>"2017-04-15 10:45:28"</f>
        <v>2017-04-15 10:45:28</v>
      </c>
      <c r="L27" s="1" t="str">
        <f>"2017-04-15 10:45:38"</f>
        <v>2017-04-15 10:45:38</v>
      </c>
      <c r="M27" s="2">
        <v>1.4120370370370368E-2</v>
      </c>
      <c r="N27" s="1" t="s">
        <v>26</v>
      </c>
      <c r="O27" s="1" t="s">
        <v>34</v>
      </c>
      <c r="P27" s="2">
        <v>1.4236111111111111E-2</v>
      </c>
      <c r="Q27" s="1" t="s">
        <v>63</v>
      </c>
      <c r="R27" s="1">
        <v>0</v>
      </c>
      <c r="S27" s="1" t="str">
        <f>""</f>
        <v/>
      </c>
      <c r="T27" s="1" t="s">
        <v>29</v>
      </c>
      <c r="U27" s="1" t="s">
        <v>30</v>
      </c>
      <c r="V27" s="1">
        <v>0</v>
      </c>
    </row>
    <row r="28" spans="2:22" x14ac:dyDescent="0.15">
      <c r="B28" s="1" t="str">
        <f>"159****5629"</f>
        <v>159****5629</v>
      </c>
      <c r="C28" s="1" t="s">
        <v>64</v>
      </c>
      <c r="D28" s="1" t="str">
        <f>"4000108333"</f>
        <v>4000108333</v>
      </c>
      <c r="E28" s="1" t="s">
        <v>53</v>
      </c>
      <c r="F28" s="1" t="str">
        <f>"0170"</f>
        <v>0170</v>
      </c>
      <c r="G28" s="1" t="s">
        <v>65</v>
      </c>
      <c r="H28" s="1" t="str">
        <f>""</f>
        <v/>
      </c>
      <c r="I28" s="1" t="str">
        <f>""</f>
        <v/>
      </c>
      <c r="J28" s="1" t="str">
        <f>"13718091869"</f>
        <v>13718091869</v>
      </c>
      <c r="K28" s="1" t="str">
        <f>"2017-04-15 10:45:18"</f>
        <v>2017-04-15 10:45:18</v>
      </c>
      <c r="L28" s="1" t="str">
        <f>"2017-04-15 10:46:34"</f>
        <v>2017-04-15 10:46:34</v>
      </c>
      <c r="M28" s="2">
        <v>1.7187499999999998E-2</v>
      </c>
      <c r="N28" s="1" t="s">
        <v>26</v>
      </c>
      <c r="O28" s="1" t="s">
        <v>27</v>
      </c>
      <c r="P28" s="2">
        <v>1.8067129629629631E-2</v>
      </c>
      <c r="Q28" s="1" t="s">
        <v>66</v>
      </c>
      <c r="R28" s="1">
        <v>3.12</v>
      </c>
      <c r="S28" s="1" t="str">
        <f>""</f>
        <v/>
      </c>
      <c r="T28" s="1" t="s">
        <v>29</v>
      </c>
      <c r="U28" s="1" t="s">
        <v>30</v>
      </c>
      <c r="V28" s="1">
        <v>0</v>
      </c>
    </row>
    <row r="29" spans="2:22" x14ac:dyDescent="0.15">
      <c r="B29" s="1" t="str">
        <f>"136****6823"</f>
        <v>136****6823</v>
      </c>
      <c r="C29" s="1" t="s">
        <v>67</v>
      </c>
      <c r="D29" s="1" t="str">
        <f>"89177328"</f>
        <v>89177328</v>
      </c>
      <c r="E29" s="1" t="s">
        <v>24</v>
      </c>
      <c r="F29" s="1" t="str">
        <f>"0010"</f>
        <v>0010</v>
      </c>
      <c r="G29" s="1" t="str">
        <f>""</f>
        <v/>
      </c>
      <c r="H29" s="1" t="str">
        <f>"0034"</f>
        <v>0034</v>
      </c>
      <c r="I29" s="1" t="s">
        <v>31</v>
      </c>
      <c r="J29" s="1" t="str">
        <f>"01043977568"</f>
        <v>01043977568</v>
      </c>
      <c r="K29" s="1" t="str">
        <f>"2017-04-15 10:40:39"</f>
        <v>2017-04-15 10:40:39</v>
      </c>
      <c r="L29" s="1" t="str">
        <f>"2017-04-15 10:40:48"</f>
        <v>2017-04-15 10:40:48</v>
      </c>
      <c r="M29" s="2">
        <v>3.5879629629629635E-4</v>
      </c>
      <c r="N29" s="1" t="s">
        <v>26</v>
      </c>
      <c r="O29" s="1" t="s">
        <v>27</v>
      </c>
      <c r="P29" s="2">
        <v>4.6296296296296293E-4</v>
      </c>
      <c r="Q29" s="1" t="s">
        <v>68</v>
      </c>
      <c r="R29" s="1">
        <v>0</v>
      </c>
      <c r="S29" s="1" t="str">
        <f>""</f>
        <v/>
      </c>
      <c r="T29" s="1" t="s">
        <v>29</v>
      </c>
      <c r="U29" s="1" t="s">
        <v>30</v>
      </c>
      <c r="V29" s="1">
        <v>0</v>
      </c>
    </row>
    <row r="30" spans="2:22" x14ac:dyDescent="0.15">
      <c r="B30" s="1" t="str">
        <f>"183****3827"</f>
        <v>183****3827</v>
      </c>
      <c r="C30" s="1" t="s">
        <v>69</v>
      </c>
      <c r="D30" s="1" t="str">
        <f>"89177328"</f>
        <v>89177328</v>
      </c>
      <c r="E30" s="1" t="s">
        <v>24</v>
      </c>
      <c r="F30" s="1" t="str">
        <f>"0010"</f>
        <v>0010</v>
      </c>
      <c r="G30" s="1" t="str">
        <f>""</f>
        <v/>
      </c>
      <c r="H30" s="1" t="str">
        <f>"0035"</f>
        <v>0035</v>
      </c>
      <c r="I30" s="1" t="s">
        <v>25</v>
      </c>
      <c r="J30" s="1" t="str">
        <f>"01043977569"</f>
        <v>01043977569</v>
      </c>
      <c r="K30" s="1" t="str">
        <f>"2017-04-15 10:30:39"</f>
        <v>2017-04-15 10:30:39</v>
      </c>
      <c r="L30" s="1" t="str">
        <f>"2017-04-15 10:30:48"</f>
        <v>2017-04-15 10:30:48</v>
      </c>
      <c r="M30" s="2">
        <v>1.8333333333333333E-2</v>
      </c>
      <c r="N30" s="1" t="s">
        <v>26</v>
      </c>
      <c r="O30" s="1" t="s">
        <v>27</v>
      </c>
      <c r="P30" s="2">
        <v>1.8437499999999999E-2</v>
      </c>
      <c r="Q30" s="1" t="s">
        <v>70</v>
      </c>
      <c r="R30" s="1">
        <v>0</v>
      </c>
      <c r="S30" s="1" t="str">
        <f>""</f>
        <v/>
      </c>
      <c r="T30" s="1" t="s">
        <v>29</v>
      </c>
      <c r="U30" s="1" t="s">
        <v>30</v>
      </c>
      <c r="V30" s="1">
        <v>0</v>
      </c>
    </row>
    <row r="31" spans="2:22" x14ac:dyDescent="0.15">
      <c r="B31" s="1" t="str">
        <f>"159****5629"</f>
        <v>159****5629</v>
      </c>
      <c r="C31" s="1" t="s">
        <v>64</v>
      </c>
      <c r="D31" s="1" t="str">
        <f>"4000108333"</f>
        <v>4000108333</v>
      </c>
      <c r="E31" s="1" t="s">
        <v>53</v>
      </c>
      <c r="F31" s="1" t="str">
        <f>"0170"</f>
        <v>0170</v>
      </c>
      <c r="G31" s="1" t="s">
        <v>65</v>
      </c>
      <c r="H31" s="1" t="str">
        <f>""</f>
        <v/>
      </c>
      <c r="I31" s="1" t="str">
        <f>""</f>
        <v/>
      </c>
      <c r="J31" s="1" t="str">
        <f>"13718091869"</f>
        <v>13718091869</v>
      </c>
      <c r="K31" s="1" t="str">
        <f>"2017-04-15 10:18:55"</f>
        <v>2017-04-15 10:18:55</v>
      </c>
      <c r="L31" s="1" t="str">
        <f>"-"</f>
        <v>-</v>
      </c>
      <c r="M31" s="2">
        <v>0</v>
      </c>
      <c r="N31" s="1" t="s">
        <v>33</v>
      </c>
      <c r="O31" s="1" t="s">
        <v>27</v>
      </c>
      <c r="P31" s="2">
        <v>1.8981481481481482E-3</v>
      </c>
      <c r="Q31" s="1" t="str">
        <f>""</f>
        <v/>
      </c>
      <c r="R31" s="1">
        <v>0.36</v>
      </c>
      <c r="S31" s="1" t="str">
        <f>""</f>
        <v/>
      </c>
      <c r="T31" s="1" t="s">
        <v>29</v>
      </c>
      <c r="U31" s="1" t="s">
        <v>30</v>
      </c>
      <c r="V31" s="1">
        <v>0</v>
      </c>
    </row>
    <row r="32" spans="2:22" x14ac:dyDescent="0.15">
      <c r="B32" s="1" t="str">
        <f>"153****0096"</f>
        <v>153****0096</v>
      </c>
      <c r="C32" s="1" t="s">
        <v>44</v>
      </c>
      <c r="D32" s="1" t="str">
        <f t="shared" ref="D32:D52" si="4">"89177328"</f>
        <v>89177328</v>
      </c>
      <c r="E32" s="1" t="s">
        <v>24</v>
      </c>
      <c r="F32" s="1" t="str">
        <f t="shared" ref="F32:F52" si="5">"0010"</f>
        <v>0010</v>
      </c>
      <c r="G32" s="1" t="str">
        <f>""</f>
        <v/>
      </c>
      <c r="H32" s="1" t="str">
        <f>""</f>
        <v/>
      </c>
      <c r="I32" s="1" t="str">
        <f>""</f>
        <v/>
      </c>
      <c r="J32" s="1" t="str">
        <f>""</f>
        <v/>
      </c>
      <c r="K32" s="1" t="str">
        <f>"2017-04-15 10:10:13"</f>
        <v>2017-04-15 10:10:13</v>
      </c>
      <c r="L32" s="1" t="str">
        <f>"-"</f>
        <v>-</v>
      </c>
      <c r="M32" s="2">
        <v>0</v>
      </c>
      <c r="N32" s="1" t="s">
        <v>55</v>
      </c>
      <c r="O32" s="1" t="s">
        <v>27</v>
      </c>
      <c r="P32" s="2">
        <v>4.6296296296296294E-5</v>
      </c>
      <c r="Q32" s="1" t="str">
        <f>""</f>
        <v/>
      </c>
      <c r="R32" s="1">
        <v>0</v>
      </c>
      <c r="S32" s="1" t="str">
        <f>""</f>
        <v/>
      </c>
      <c r="T32" s="1" t="s">
        <v>29</v>
      </c>
      <c r="U32" s="1" t="s">
        <v>30</v>
      </c>
      <c r="V32" s="1">
        <v>0</v>
      </c>
    </row>
    <row r="33" spans="2:22" x14ac:dyDescent="0.15">
      <c r="B33" s="1" t="str">
        <f>"010****1131"</f>
        <v>010****1131</v>
      </c>
      <c r="C33" s="1" t="s">
        <v>23</v>
      </c>
      <c r="D33" s="1" t="str">
        <f t="shared" si="4"/>
        <v>89177328</v>
      </c>
      <c r="E33" s="1" t="s">
        <v>24</v>
      </c>
      <c r="F33" s="1" t="str">
        <f t="shared" si="5"/>
        <v>0010</v>
      </c>
      <c r="G33" s="1" t="str">
        <f>""</f>
        <v/>
      </c>
      <c r="H33" s="1" t="str">
        <f>"0010"</f>
        <v>0010</v>
      </c>
      <c r="I33" s="1" t="s">
        <v>71</v>
      </c>
      <c r="J33" s="1" t="str">
        <f>"01043977571"</f>
        <v>01043977571</v>
      </c>
      <c r="K33" s="1" t="str">
        <f>"2017-04-15 10:08:24"</f>
        <v>2017-04-15 10:08:24</v>
      </c>
      <c r="L33" s="1" t="str">
        <f>"2017-04-15 10:08:34"</f>
        <v>2017-04-15 10:08:34</v>
      </c>
      <c r="M33" s="2">
        <v>9.1550925925925931E-3</v>
      </c>
      <c r="N33" s="1" t="s">
        <v>26</v>
      </c>
      <c r="O33" s="1" t="s">
        <v>27</v>
      </c>
      <c r="P33" s="2">
        <v>9.2708333333333341E-3</v>
      </c>
      <c r="Q33" s="1" t="s">
        <v>72</v>
      </c>
      <c r="R33" s="1">
        <v>0</v>
      </c>
      <c r="S33" s="1" t="str">
        <f>""</f>
        <v/>
      </c>
      <c r="T33" s="1" t="s">
        <v>29</v>
      </c>
      <c r="U33" s="1" t="s">
        <v>30</v>
      </c>
      <c r="V33" s="1">
        <v>0</v>
      </c>
    </row>
    <row r="34" spans="2:22" x14ac:dyDescent="0.15">
      <c r="B34" s="1" t="str">
        <f>"186****2767"</f>
        <v>186****2767</v>
      </c>
      <c r="C34" s="1" t="s">
        <v>23</v>
      </c>
      <c r="D34" s="1" t="str">
        <f t="shared" si="4"/>
        <v>89177328</v>
      </c>
      <c r="E34" s="1" t="s">
        <v>24</v>
      </c>
      <c r="F34" s="1" t="str">
        <f t="shared" si="5"/>
        <v>0010</v>
      </c>
      <c r="G34" s="1" t="str">
        <f>""</f>
        <v/>
      </c>
      <c r="H34" s="1" t="str">
        <f>"0018"</f>
        <v>0018</v>
      </c>
      <c r="I34" s="1" t="s">
        <v>36</v>
      </c>
      <c r="J34" s="1" t="str">
        <f>"01043977572"</f>
        <v>01043977572</v>
      </c>
      <c r="K34" s="1" t="str">
        <f>"2017-04-15 10:06:13"</f>
        <v>2017-04-15 10:06:13</v>
      </c>
      <c r="L34" s="1" t="str">
        <f>"2017-04-15 10:06:24"</f>
        <v>2017-04-15 10:06:24</v>
      </c>
      <c r="M34" s="2">
        <v>7.4074074074074068E-3</v>
      </c>
      <c r="N34" s="1" t="s">
        <v>26</v>
      </c>
      <c r="O34" s="1" t="s">
        <v>34</v>
      </c>
      <c r="P34" s="2">
        <v>7.5347222222222213E-3</v>
      </c>
      <c r="Q34" s="1" t="s">
        <v>73</v>
      </c>
      <c r="R34" s="1">
        <v>0</v>
      </c>
      <c r="S34" s="1" t="str">
        <f>""</f>
        <v/>
      </c>
      <c r="T34" s="1" t="s">
        <v>29</v>
      </c>
      <c r="U34" s="1" t="s">
        <v>30</v>
      </c>
      <c r="V34" s="1">
        <v>0</v>
      </c>
    </row>
    <row r="35" spans="2:22" x14ac:dyDescent="0.15">
      <c r="B35" s="1" t="str">
        <f>"185****1801"</f>
        <v>185****1801</v>
      </c>
      <c r="C35" s="1" t="s">
        <v>35</v>
      </c>
      <c r="D35" s="1" t="str">
        <f t="shared" si="4"/>
        <v>89177328</v>
      </c>
      <c r="E35" s="1" t="s">
        <v>24</v>
      </c>
      <c r="F35" s="1" t="str">
        <f t="shared" si="5"/>
        <v>0010</v>
      </c>
      <c r="G35" s="1" t="str">
        <f>""</f>
        <v/>
      </c>
      <c r="H35" s="1" t="str">
        <f>"0034"</f>
        <v>0034</v>
      </c>
      <c r="I35" s="1" t="s">
        <v>31</v>
      </c>
      <c r="J35" s="1" t="str">
        <f>"01043977568"</f>
        <v>01043977568</v>
      </c>
      <c r="K35" s="1" t="str">
        <f>"2017-04-15 09:56:54"</f>
        <v>2017-04-15 09:56:54</v>
      </c>
      <c r="L35" s="1" t="str">
        <f>"2017-04-15 09:57:03"</f>
        <v>2017-04-15 09:57:03</v>
      </c>
      <c r="M35" s="2">
        <v>9.0740740740740729E-3</v>
      </c>
      <c r="N35" s="1" t="s">
        <v>26</v>
      </c>
      <c r="O35" s="1" t="s">
        <v>34</v>
      </c>
      <c r="P35" s="2">
        <v>9.1782407407407403E-3</v>
      </c>
      <c r="Q35" s="1" t="s">
        <v>74</v>
      </c>
      <c r="R35" s="1">
        <v>0</v>
      </c>
      <c r="S35" s="1" t="str">
        <f>""</f>
        <v/>
      </c>
      <c r="T35" s="1" t="s">
        <v>29</v>
      </c>
      <c r="U35" s="1" t="s">
        <v>30</v>
      </c>
      <c r="V35" s="1">
        <v>0</v>
      </c>
    </row>
    <row r="36" spans="2:22" x14ac:dyDescent="0.15">
      <c r="B36" s="1" t="str">
        <f>"186****3456"</f>
        <v>186****3456</v>
      </c>
      <c r="C36" s="1" t="s">
        <v>23</v>
      </c>
      <c r="D36" s="1" t="str">
        <f t="shared" si="4"/>
        <v>89177328</v>
      </c>
      <c r="E36" s="1" t="s">
        <v>24</v>
      </c>
      <c r="F36" s="1" t="str">
        <f t="shared" si="5"/>
        <v>0010</v>
      </c>
      <c r="G36" s="1" t="str">
        <f>""</f>
        <v/>
      </c>
      <c r="H36" s="1" t="str">
        <f>""</f>
        <v/>
      </c>
      <c r="I36" s="1" t="str">
        <f>""</f>
        <v/>
      </c>
      <c r="J36" s="1" t="str">
        <f>""</f>
        <v/>
      </c>
      <c r="K36" s="1" t="str">
        <f>"2017-04-15 09:51:07"</f>
        <v>2017-04-15 09:51:07</v>
      </c>
      <c r="L36" s="1" t="str">
        <f>"-"</f>
        <v>-</v>
      </c>
      <c r="M36" s="2">
        <v>0</v>
      </c>
      <c r="N36" s="1" t="s">
        <v>55</v>
      </c>
      <c r="O36" s="1" t="s">
        <v>27</v>
      </c>
      <c r="P36" s="2">
        <v>4.6296296296296294E-5</v>
      </c>
      <c r="Q36" s="1" t="str">
        <f>""</f>
        <v/>
      </c>
      <c r="R36" s="1">
        <v>0</v>
      </c>
      <c r="S36" s="1" t="str">
        <f>""</f>
        <v/>
      </c>
      <c r="T36" s="1" t="s">
        <v>29</v>
      </c>
      <c r="U36" s="1" t="s">
        <v>30</v>
      </c>
      <c r="V36" s="1">
        <v>0</v>
      </c>
    </row>
    <row r="37" spans="2:22" x14ac:dyDescent="0.15">
      <c r="B37" s="1" t="str">
        <f>"186****3456"</f>
        <v>186****3456</v>
      </c>
      <c r="C37" s="1" t="s">
        <v>23</v>
      </c>
      <c r="D37" s="1" t="str">
        <f t="shared" si="4"/>
        <v>89177328</v>
      </c>
      <c r="E37" s="1" t="s">
        <v>24</v>
      </c>
      <c r="F37" s="1" t="str">
        <f t="shared" si="5"/>
        <v>0010</v>
      </c>
      <c r="G37" s="1" t="str">
        <f>""</f>
        <v/>
      </c>
      <c r="H37" s="1" t="str">
        <f>""</f>
        <v/>
      </c>
      <c r="I37" s="1" t="str">
        <f>""</f>
        <v/>
      </c>
      <c r="J37" s="1" t="str">
        <f>""</f>
        <v/>
      </c>
      <c r="K37" s="1" t="str">
        <f>"2017-04-15 09:50:55"</f>
        <v>2017-04-15 09:50:55</v>
      </c>
      <c r="L37" s="1" t="str">
        <f>"-"</f>
        <v>-</v>
      </c>
      <c r="M37" s="2">
        <v>0</v>
      </c>
      <c r="N37" s="1" t="s">
        <v>55</v>
      </c>
      <c r="O37" s="1" t="s">
        <v>27</v>
      </c>
      <c r="P37" s="2">
        <v>4.6296296296296294E-5</v>
      </c>
      <c r="Q37" s="1" t="str">
        <f>""</f>
        <v/>
      </c>
      <c r="R37" s="1">
        <v>0</v>
      </c>
      <c r="S37" s="1" t="str">
        <f>""</f>
        <v/>
      </c>
      <c r="T37" s="1" t="s">
        <v>29</v>
      </c>
      <c r="U37" s="1" t="s">
        <v>30</v>
      </c>
      <c r="V37" s="1">
        <v>0</v>
      </c>
    </row>
    <row r="38" spans="2:22" x14ac:dyDescent="0.15">
      <c r="B38" s="1" t="str">
        <f>"138****4909"</f>
        <v>138****4909</v>
      </c>
      <c r="C38" s="1" t="s">
        <v>23</v>
      </c>
      <c r="D38" s="1" t="str">
        <f t="shared" si="4"/>
        <v>89177328</v>
      </c>
      <c r="E38" s="1" t="s">
        <v>24</v>
      </c>
      <c r="F38" s="1" t="str">
        <f t="shared" si="5"/>
        <v>0010</v>
      </c>
      <c r="G38" s="1" t="str">
        <f>""</f>
        <v/>
      </c>
      <c r="H38" s="1" t="str">
        <f>"0035"</f>
        <v>0035</v>
      </c>
      <c r="I38" s="1" t="s">
        <v>25</v>
      </c>
      <c r="J38" s="1" t="str">
        <f>"01043977569"</f>
        <v>01043977569</v>
      </c>
      <c r="K38" s="1" t="str">
        <f>"2017-04-15 09:47:37"</f>
        <v>2017-04-15 09:47:37</v>
      </c>
      <c r="L38" s="1" t="str">
        <f>"2017-04-15 09:47:46"</f>
        <v>2017-04-15 09:47:46</v>
      </c>
      <c r="M38" s="2">
        <v>2.0868055555555556E-2</v>
      </c>
      <c r="N38" s="1" t="s">
        <v>26</v>
      </c>
      <c r="O38" s="1" t="s">
        <v>27</v>
      </c>
      <c r="P38" s="2">
        <v>2.0972222222222222E-2</v>
      </c>
      <c r="Q38" s="1" t="s">
        <v>75</v>
      </c>
      <c r="R38" s="1">
        <v>0</v>
      </c>
      <c r="S38" s="1" t="str">
        <f>""</f>
        <v/>
      </c>
      <c r="T38" s="1" t="s">
        <v>29</v>
      </c>
      <c r="U38" s="1" t="s">
        <v>30</v>
      </c>
      <c r="V38" s="1">
        <v>0</v>
      </c>
    </row>
    <row r="39" spans="2:22" x14ac:dyDescent="0.15">
      <c r="B39" s="1" t="str">
        <f>"158****3259"</f>
        <v>158****3259</v>
      </c>
      <c r="C39" s="1" t="s">
        <v>76</v>
      </c>
      <c r="D39" s="1" t="str">
        <f t="shared" si="4"/>
        <v>89177328</v>
      </c>
      <c r="E39" s="1" t="s">
        <v>24</v>
      </c>
      <c r="F39" s="1" t="str">
        <f t="shared" si="5"/>
        <v>0010</v>
      </c>
      <c r="G39" s="1" t="str">
        <f>""</f>
        <v/>
      </c>
      <c r="H39" s="1" t="str">
        <f>"0010"</f>
        <v>0010</v>
      </c>
      <c r="I39" s="1" t="s">
        <v>71</v>
      </c>
      <c r="J39" s="1" t="str">
        <f>"01043977571"</f>
        <v>01043977571</v>
      </c>
      <c r="K39" s="1" t="str">
        <f>"2017-04-15 09:43:56"</f>
        <v>2017-04-15 09:43:56</v>
      </c>
      <c r="L39" s="1" t="str">
        <f>"2017-04-15 09:44:07"</f>
        <v>2017-04-15 09:44:07</v>
      </c>
      <c r="M39" s="2">
        <v>8.6805555555555559E-3</v>
      </c>
      <c r="N39" s="1" t="s">
        <v>26</v>
      </c>
      <c r="O39" s="1" t="s">
        <v>27</v>
      </c>
      <c r="P39" s="2">
        <v>8.8078703703703704E-3</v>
      </c>
      <c r="Q39" s="1" t="s">
        <v>77</v>
      </c>
      <c r="R39" s="1">
        <v>0</v>
      </c>
      <c r="S39" s="1" t="str">
        <f>""</f>
        <v/>
      </c>
      <c r="T39" s="1" t="s">
        <v>29</v>
      </c>
      <c r="U39" s="1" t="s">
        <v>30</v>
      </c>
      <c r="V39" s="1">
        <v>0</v>
      </c>
    </row>
    <row r="40" spans="2:22" x14ac:dyDescent="0.15">
      <c r="B40" s="1" t="str">
        <f>"136****1452"</f>
        <v>136****1452</v>
      </c>
      <c r="C40" s="1" t="s">
        <v>23</v>
      </c>
      <c r="D40" s="1" t="str">
        <f t="shared" si="4"/>
        <v>89177328</v>
      </c>
      <c r="E40" s="1" t="s">
        <v>24</v>
      </c>
      <c r="F40" s="1" t="str">
        <f t="shared" si="5"/>
        <v>0010</v>
      </c>
      <c r="G40" s="1" t="str">
        <f>""</f>
        <v/>
      </c>
      <c r="H40" s="1" t="str">
        <f>""</f>
        <v/>
      </c>
      <c r="I40" s="1" t="str">
        <f>""</f>
        <v/>
      </c>
      <c r="J40" s="1" t="str">
        <f>""</f>
        <v/>
      </c>
      <c r="K40" s="1" t="str">
        <f>"2017-04-15 09:39:36"</f>
        <v>2017-04-15 09:39:36</v>
      </c>
      <c r="L40" s="1" t="str">
        <f>"-"</f>
        <v>-</v>
      </c>
      <c r="M40" s="2">
        <v>0</v>
      </c>
      <c r="N40" s="1" t="s">
        <v>55</v>
      </c>
      <c r="O40" s="1" t="s">
        <v>27</v>
      </c>
      <c r="P40" s="2">
        <v>4.6296296296296294E-5</v>
      </c>
      <c r="Q40" s="1" t="str">
        <f>""</f>
        <v/>
      </c>
      <c r="R40" s="1">
        <v>0</v>
      </c>
      <c r="S40" s="1" t="str">
        <f>""</f>
        <v/>
      </c>
      <c r="T40" s="1" t="s">
        <v>29</v>
      </c>
      <c r="U40" s="1" t="s">
        <v>30</v>
      </c>
      <c r="V40" s="1">
        <v>0</v>
      </c>
    </row>
    <row r="41" spans="2:22" x14ac:dyDescent="0.15">
      <c r="B41" s="1" t="str">
        <f>"137****9998"</f>
        <v>137****9998</v>
      </c>
      <c r="C41" s="1" t="s">
        <v>23</v>
      </c>
      <c r="D41" s="1" t="str">
        <f t="shared" si="4"/>
        <v>89177328</v>
      </c>
      <c r="E41" s="1" t="s">
        <v>24</v>
      </c>
      <c r="F41" s="1" t="str">
        <f t="shared" si="5"/>
        <v>0010</v>
      </c>
      <c r="G41" s="1" t="str">
        <f>""</f>
        <v/>
      </c>
      <c r="H41" s="1" t="str">
        <f>""</f>
        <v/>
      </c>
      <c r="I41" s="1" t="str">
        <f>""</f>
        <v/>
      </c>
      <c r="J41" s="1" t="str">
        <f>""</f>
        <v/>
      </c>
      <c r="K41" s="1" t="str">
        <f>"2017-04-15 09:39:11"</f>
        <v>2017-04-15 09:39:11</v>
      </c>
      <c r="L41" s="1" t="str">
        <f>"-"</f>
        <v>-</v>
      </c>
      <c r="M41" s="2">
        <v>0</v>
      </c>
      <c r="N41" s="1" t="s">
        <v>55</v>
      </c>
      <c r="O41" s="1" t="s">
        <v>27</v>
      </c>
      <c r="P41" s="2">
        <v>5.7870370370370366E-5</v>
      </c>
      <c r="Q41" s="1" t="str">
        <f>""</f>
        <v/>
      </c>
      <c r="R41" s="1">
        <v>0</v>
      </c>
      <c r="S41" s="1" t="str">
        <f>""</f>
        <v/>
      </c>
      <c r="T41" s="1" t="s">
        <v>29</v>
      </c>
      <c r="U41" s="1" t="s">
        <v>30</v>
      </c>
      <c r="V41" s="1">
        <v>0</v>
      </c>
    </row>
    <row r="42" spans="2:22" x14ac:dyDescent="0.15">
      <c r="B42" s="1" t="str">
        <f>"139****0256"</f>
        <v>139****0256</v>
      </c>
      <c r="C42" s="1" t="s">
        <v>78</v>
      </c>
      <c r="D42" s="1" t="str">
        <f t="shared" si="4"/>
        <v>89177328</v>
      </c>
      <c r="E42" s="1" t="s">
        <v>24</v>
      </c>
      <c r="F42" s="1" t="str">
        <f t="shared" si="5"/>
        <v>0010</v>
      </c>
      <c r="G42" s="1" t="str">
        <f>""</f>
        <v/>
      </c>
      <c r="H42" s="1" t="str">
        <f>"0018"</f>
        <v>0018</v>
      </c>
      <c r="I42" s="1" t="s">
        <v>36</v>
      </c>
      <c r="J42" s="1" t="str">
        <f>"01043977572"</f>
        <v>01043977572</v>
      </c>
      <c r="K42" s="1" t="str">
        <f>"2017-04-15 09:33:48"</f>
        <v>2017-04-15 09:33:48</v>
      </c>
      <c r="L42" s="1" t="str">
        <f>"2017-04-15 09:33:57"</f>
        <v>2017-04-15 09:33:57</v>
      </c>
      <c r="M42" s="2">
        <v>2.1342592592592594E-2</v>
      </c>
      <c r="N42" s="1" t="s">
        <v>26</v>
      </c>
      <c r="O42" s="1" t="s">
        <v>34</v>
      </c>
      <c r="P42" s="2">
        <v>2.1446759259259259E-2</v>
      </c>
      <c r="Q42" s="1" t="s">
        <v>79</v>
      </c>
      <c r="R42" s="1">
        <v>0</v>
      </c>
      <c r="S42" s="1" t="str">
        <f>""</f>
        <v/>
      </c>
      <c r="T42" s="1" t="s">
        <v>29</v>
      </c>
      <c r="U42" s="1" t="s">
        <v>30</v>
      </c>
      <c r="V42" s="1">
        <v>0</v>
      </c>
    </row>
    <row r="43" spans="2:22" x14ac:dyDescent="0.15">
      <c r="B43" s="1" t="str">
        <f>"188****6423"</f>
        <v>188****6423</v>
      </c>
      <c r="C43" s="1" t="s">
        <v>23</v>
      </c>
      <c r="D43" s="1" t="str">
        <f t="shared" si="4"/>
        <v>89177328</v>
      </c>
      <c r="E43" s="1" t="s">
        <v>24</v>
      </c>
      <c r="F43" s="1" t="str">
        <f t="shared" si="5"/>
        <v>0010</v>
      </c>
      <c r="G43" s="1" t="str">
        <f>""</f>
        <v/>
      </c>
      <c r="H43" s="1" t="str">
        <f>""</f>
        <v/>
      </c>
      <c r="I43" s="1" t="str">
        <f>""</f>
        <v/>
      </c>
      <c r="J43" s="1" t="str">
        <f>""</f>
        <v/>
      </c>
      <c r="K43" s="1" t="str">
        <f>"2017-04-15 09:30:16"</f>
        <v>2017-04-15 09:30:16</v>
      </c>
      <c r="L43" s="1" t="str">
        <f>"-"</f>
        <v>-</v>
      </c>
      <c r="M43" s="2">
        <v>0</v>
      </c>
      <c r="N43" s="1" t="s">
        <v>55</v>
      </c>
      <c r="O43" s="1" t="s">
        <v>27</v>
      </c>
      <c r="P43" s="2">
        <v>4.6296296296296294E-5</v>
      </c>
      <c r="Q43" s="1" t="str">
        <f>""</f>
        <v/>
      </c>
      <c r="R43" s="1">
        <v>0</v>
      </c>
      <c r="S43" s="1" t="str">
        <f>""</f>
        <v/>
      </c>
      <c r="T43" s="1" t="s">
        <v>29</v>
      </c>
      <c r="U43" s="1" t="s">
        <v>30</v>
      </c>
      <c r="V43" s="1">
        <v>0</v>
      </c>
    </row>
    <row r="44" spans="2:22" x14ac:dyDescent="0.15">
      <c r="B44" s="1" t="str">
        <f>"130****2216"</f>
        <v>130****2216</v>
      </c>
      <c r="C44" s="1" t="s">
        <v>23</v>
      </c>
      <c r="D44" s="1" t="str">
        <f t="shared" si="4"/>
        <v>89177328</v>
      </c>
      <c r="E44" s="1" t="s">
        <v>24</v>
      </c>
      <c r="F44" s="1" t="str">
        <f t="shared" si="5"/>
        <v>0010</v>
      </c>
      <c r="G44" s="1" t="str">
        <f>""</f>
        <v/>
      </c>
      <c r="H44" s="1" t="str">
        <f>""</f>
        <v/>
      </c>
      <c r="I44" s="1" t="str">
        <f>""</f>
        <v/>
      </c>
      <c r="J44" s="1" t="str">
        <f>""</f>
        <v/>
      </c>
      <c r="K44" s="1" t="str">
        <f>"2017-04-15 09:26:12"</f>
        <v>2017-04-15 09:26:12</v>
      </c>
      <c r="L44" s="1" t="str">
        <f>"-"</f>
        <v>-</v>
      </c>
      <c r="M44" s="2">
        <v>0</v>
      </c>
      <c r="N44" s="1" t="s">
        <v>55</v>
      </c>
      <c r="O44" s="1" t="s">
        <v>27</v>
      </c>
      <c r="P44" s="2">
        <v>4.6296296296296294E-5</v>
      </c>
      <c r="Q44" s="1" t="str">
        <f>""</f>
        <v/>
      </c>
      <c r="R44" s="1">
        <v>0</v>
      </c>
      <c r="S44" s="1" t="str">
        <f>""</f>
        <v/>
      </c>
      <c r="T44" s="1" t="s">
        <v>29</v>
      </c>
      <c r="U44" s="1" t="s">
        <v>30</v>
      </c>
      <c r="V44" s="1">
        <v>0</v>
      </c>
    </row>
    <row r="45" spans="2:22" x14ac:dyDescent="0.15">
      <c r="B45" s="1" t="str">
        <f>"150****0786"</f>
        <v>150****0786</v>
      </c>
      <c r="C45" s="1" t="s">
        <v>80</v>
      </c>
      <c r="D45" s="1" t="str">
        <f t="shared" si="4"/>
        <v>89177328</v>
      </c>
      <c r="E45" s="1" t="s">
        <v>24</v>
      </c>
      <c r="F45" s="1" t="str">
        <f t="shared" si="5"/>
        <v>0010</v>
      </c>
      <c r="G45" s="1" t="str">
        <f>""</f>
        <v/>
      </c>
      <c r="H45" s="1" t="str">
        <f>""</f>
        <v/>
      </c>
      <c r="I45" s="1" t="str">
        <f>""</f>
        <v/>
      </c>
      <c r="J45" s="1" t="str">
        <f>""</f>
        <v/>
      </c>
      <c r="K45" s="1" t="str">
        <f>"2017-04-15 09:22:08"</f>
        <v>2017-04-15 09:22:08</v>
      </c>
      <c r="L45" s="1" t="str">
        <f>"-"</f>
        <v>-</v>
      </c>
      <c r="M45" s="2">
        <v>0</v>
      </c>
      <c r="N45" s="1" t="s">
        <v>55</v>
      </c>
      <c r="O45" s="1" t="s">
        <v>27</v>
      </c>
      <c r="P45" s="2">
        <v>4.6296296296296294E-5</v>
      </c>
      <c r="Q45" s="1" t="str">
        <f>""</f>
        <v/>
      </c>
      <c r="R45" s="1">
        <v>0</v>
      </c>
      <c r="S45" s="1" t="str">
        <f>""</f>
        <v/>
      </c>
      <c r="T45" s="1" t="s">
        <v>29</v>
      </c>
      <c r="U45" s="1" t="s">
        <v>30</v>
      </c>
      <c r="V45" s="1">
        <v>0</v>
      </c>
    </row>
    <row r="46" spans="2:22" x14ac:dyDescent="0.15">
      <c r="B46" s="1" t="str">
        <f>"157****5785"</f>
        <v>157****5785</v>
      </c>
      <c r="C46" s="1" t="s">
        <v>81</v>
      </c>
      <c r="D46" s="1" t="str">
        <f t="shared" si="4"/>
        <v>89177328</v>
      </c>
      <c r="E46" s="1" t="s">
        <v>24</v>
      </c>
      <c r="F46" s="1" t="str">
        <f t="shared" si="5"/>
        <v>0010</v>
      </c>
      <c r="G46" s="1" t="str">
        <f>""</f>
        <v/>
      </c>
      <c r="H46" s="1" t="str">
        <f>"0035"</f>
        <v>0035</v>
      </c>
      <c r="I46" s="1" t="s">
        <v>25</v>
      </c>
      <c r="J46" s="1" t="str">
        <f>"01043977569"</f>
        <v>01043977569</v>
      </c>
      <c r="K46" s="1" t="str">
        <f>"2017-04-15 09:21:34"</f>
        <v>2017-04-15 09:21:34</v>
      </c>
      <c r="L46" s="1" t="str">
        <f>"2017-04-15 09:21:45"</f>
        <v>2017-04-15 09:21:45</v>
      </c>
      <c r="M46" s="2">
        <v>9.7569444444444448E-3</v>
      </c>
      <c r="N46" s="1" t="s">
        <v>26</v>
      </c>
      <c r="O46" s="1" t="s">
        <v>27</v>
      </c>
      <c r="P46" s="2">
        <v>9.8842592592592576E-3</v>
      </c>
      <c r="Q46" s="1" t="s">
        <v>82</v>
      </c>
      <c r="R46" s="1">
        <v>0</v>
      </c>
      <c r="S46" s="1" t="str">
        <f>""</f>
        <v/>
      </c>
      <c r="T46" s="1" t="s">
        <v>29</v>
      </c>
      <c r="U46" s="1" t="s">
        <v>30</v>
      </c>
      <c r="V46" s="1">
        <v>0</v>
      </c>
    </row>
    <row r="47" spans="2:22" x14ac:dyDescent="0.15">
      <c r="B47" s="1" t="str">
        <f>"158****2684"</f>
        <v>158****2684</v>
      </c>
      <c r="C47" s="1" t="s">
        <v>83</v>
      </c>
      <c r="D47" s="1" t="str">
        <f t="shared" si="4"/>
        <v>89177328</v>
      </c>
      <c r="E47" s="1" t="s">
        <v>24</v>
      </c>
      <c r="F47" s="1" t="str">
        <f t="shared" si="5"/>
        <v>0010</v>
      </c>
      <c r="G47" s="1" t="str">
        <f>""</f>
        <v/>
      </c>
      <c r="H47" s="1" t="str">
        <f>"0018"</f>
        <v>0018</v>
      </c>
      <c r="I47" s="1" t="s">
        <v>36</v>
      </c>
      <c r="J47" s="1" t="str">
        <f>"01043977572"</f>
        <v>01043977572</v>
      </c>
      <c r="K47" s="1" t="str">
        <f>"2017-04-15 09:09:48"</f>
        <v>2017-04-15 09:09:48</v>
      </c>
      <c r="L47" s="1" t="str">
        <f>"2017-04-15 09:09:57"</f>
        <v>2017-04-15 09:09:57</v>
      </c>
      <c r="M47" s="2">
        <v>1.4085648148148151E-2</v>
      </c>
      <c r="N47" s="1" t="s">
        <v>26</v>
      </c>
      <c r="O47" s="1" t="s">
        <v>34</v>
      </c>
      <c r="P47" s="2">
        <v>1.4189814814814815E-2</v>
      </c>
      <c r="Q47" s="1" t="s">
        <v>84</v>
      </c>
      <c r="R47" s="1">
        <v>0</v>
      </c>
      <c r="S47" s="1" t="str">
        <f>""</f>
        <v/>
      </c>
      <c r="T47" s="1" t="s">
        <v>29</v>
      </c>
      <c r="U47" s="1" t="s">
        <v>30</v>
      </c>
      <c r="V47" s="1">
        <v>0</v>
      </c>
    </row>
    <row r="48" spans="2:22" x14ac:dyDescent="0.15">
      <c r="B48" s="1" t="str">
        <f>"041****8999"</f>
        <v>041****8999</v>
      </c>
      <c r="C48" s="1" t="s">
        <v>85</v>
      </c>
      <c r="D48" s="1" t="str">
        <f t="shared" si="4"/>
        <v>89177328</v>
      </c>
      <c r="E48" s="1" t="s">
        <v>24</v>
      </c>
      <c r="F48" s="1" t="str">
        <f t="shared" si="5"/>
        <v>0010</v>
      </c>
      <c r="G48" s="1" t="str">
        <f>""</f>
        <v/>
      </c>
      <c r="H48" s="1" t="str">
        <f>"0035"</f>
        <v>0035</v>
      </c>
      <c r="I48" s="1" t="s">
        <v>25</v>
      </c>
      <c r="J48" s="1" t="str">
        <f>"01043977569"</f>
        <v>01043977569</v>
      </c>
      <c r="K48" s="1" t="str">
        <f>"2017-04-15 09:08:24"</f>
        <v>2017-04-15 09:08:24</v>
      </c>
      <c r="L48" s="1" t="str">
        <f>"2017-04-15 09:08:32"</f>
        <v>2017-04-15 09:08:32</v>
      </c>
      <c r="M48" s="2">
        <v>7.69675925925926E-3</v>
      </c>
      <c r="N48" s="1" t="s">
        <v>26</v>
      </c>
      <c r="O48" s="1" t="s">
        <v>27</v>
      </c>
      <c r="P48" s="2">
        <v>7.789351851851852E-3</v>
      </c>
      <c r="Q48" s="1" t="s">
        <v>86</v>
      </c>
      <c r="R48" s="1">
        <v>0</v>
      </c>
      <c r="S48" s="1" t="str">
        <f>""</f>
        <v/>
      </c>
      <c r="T48" s="1" t="s">
        <v>29</v>
      </c>
      <c r="U48" s="1" t="s">
        <v>30</v>
      </c>
      <c r="V48" s="1">
        <v>0</v>
      </c>
    </row>
    <row r="49" spans="2:22" x14ac:dyDescent="0.15">
      <c r="B49" s="1" t="str">
        <f>"159****6168"</f>
        <v>159****6168</v>
      </c>
      <c r="C49" s="1" t="s">
        <v>87</v>
      </c>
      <c r="D49" s="1" t="str">
        <f t="shared" si="4"/>
        <v>89177328</v>
      </c>
      <c r="E49" s="1" t="s">
        <v>24</v>
      </c>
      <c r="F49" s="1" t="str">
        <f t="shared" si="5"/>
        <v>0010</v>
      </c>
      <c r="G49" s="1" t="str">
        <f>""</f>
        <v/>
      </c>
      <c r="H49" s="1" t="str">
        <f>"0018"</f>
        <v>0018</v>
      </c>
      <c r="I49" s="1" t="s">
        <v>36</v>
      </c>
      <c r="J49" s="1" t="str">
        <f>"01043977572"</f>
        <v>01043977572</v>
      </c>
      <c r="K49" s="1" t="str">
        <f>"2017-04-15 08:54:29"</f>
        <v>2017-04-15 08:54:29</v>
      </c>
      <c r="L49" s="1" t="str">
        <f>"2017-04-15 08:54:37"</f>
        <v>2017-04-15 08:54:37</v>
      </c>
      <c r="M49" s="2">
        <v>6.0648148148148145E-3</v>
      </c>
      <c r="N49" s="1" t="s">
        <v>26</v>
      </c>
      <c r="O49" s="1" t="s">
        <v>34</v>
      </c>
      <c r="P49" s="2">
        <v>6.1574074074074074E-3</v>
      </c>
      <c r="Q49" s="1" t="s">
        <v>88</v>
      </c>
      <c r="R49" s="1">
        <v>0</v>
      </c>
      <c r="S49" s="1" t="str">
        <f>""</f>
        <v/>
      </c>
      <c r="T49" s="1" t="s">
        <v>29</v>
      </c>
      <c r="U49" s="1" t="s">
        <v>30</v>
      </c>
      <c r="V49" s="1">
        <v>0</v>
      </c>
    </row>
    <row r="50" spans="2:22" x14ac:dyDescent="0.15">
      <c r="B50" s="1" t="str">
        <f>"010****8807"</f>
        <v>010****8807</v>
      </c>
      <c r="C50" s="1" t="s">
        <v>23</v>
      </c>
      <c r="D50" s="1" t="str">
        <f t="shared" si="4"/>
        <v>89177328</v>
      </c>
      <c r="E50" s="1" t="s">
        <v>24</v>
      </c>
      <c r="F50" s="1" t="str">
        <f t="shared" si="5"/>
        <v>0010</v>
      </c>
      <c r="G50" s="1" t="str">
        <f>""</f>
        <v/>
      </c>
      <c r="H50" s="1" t="str">
        <f>"0035"</f>
        <v>0035</v>
      </c>
      <c r="I50" s="1" t="s">
        <v>25</v>
      </c>
      <c r="J50" s="1" t="str">
        <f>"01043977569"</f>
        <v>01043977569</v>
      </c>
      <c r="K50" s="1" t="str">
        <f>"2017-04-15 08:45:27"</f>
        <v>2017-04-15 08:45:27</v>
      </c>
      <c r="L50" s="1" t="str">
        <f>"2017-04-15 08:45:35"</f>
        <v>2017-04-15 08:45:35</v>
      </c>
      <c r="M50" s="2">
        <v>5.9722222222222225E-3</v>
      </c>
      <c r="N50" s="1" t="s">
        <v>26</v>
      </c>
      <c r="O50" s="1" t="s">
        <v>27</v>
      </c>
      <c r="P50" s="2">
        <v>6.0648148148148145E-3</v>
      </c>
      <c r="Q50" s="1" t="s">
        <v>89</v>
      </c>
      <c r="R50" s="1">
        <v>0</v>
      </c>
      <c r="S50" s="1" t="str">
        <f>""</f>
        <v/>
      </c>
      <c r="T50" s="1" t="s">
        <v>29</v>
      </c>
      <c r="U50" s="1" t="s">
        <v>30</v>
      </c>
      <c r="V50" s="1">
        <v>0</v>
      </c>
    </row>
    <row r="51" spans="2:22" x14ac:dyDescent="0.15">
      <c r="B51" s="1" t="str">
        <f>"138****8034"</f>
        <v>138****8034</v>
      </c>
      <c r="C51" s="1" t="s">
        <v>23</v>
      </c>
      <c r="D51" s="1" t="str">
        <f t="shared" si="4"/>
        <v>89177328</v>
      </c>
      <c r="E51" s="1" t="s">
        <v>24</v>
      </c>
      <c r="F51" s="1" t="str">
        <f t="shared" si="5"/>
        <v>0010</v>
      </c>
      <c r="G51" s="1" t="str">
        <f>""</f>
        <v/>
      </c>
      <c r="H51" s="1" t="str">
        <f>"0018"</f>
        <v>0018</v>
      </c>
      <c r="I51" s="1" t="s">
        <v>36</v>
      </c>
      <c r="J51" s="1" t="str">
        <f>"01043977572"</f>
        <v>01043977572</v>
      </c>
      <c r="K51" s="1" t="str">
        <f>"2017-04-15 08:44:04"</f>
        <v>2017-04-15 08:44:04</v>
      </c>
      <c r="L51" s="1" t="str">
        <f>"2017-04-15 08:44:14"</f>
        <v>2017-04-15 08:44:14</v>
      </c>
      <c r="M51" s="2">
        <v>6.4236111111111117E-3</v>
      </c>
      <c r="N51" s="1" t="s">
        <v>26</v>
      </c>
      <c r="O51" s="1" t="s">
        <v>34</v>
      </c>
      <c r="P51" s="2">
        <v>6.5393518518518517E-3</v>
      </c>
      <c r="Q51" s="1" t="s">
        <v>90</v>
      </c>
      <c r="R51" s="1">
        <v>0</v>
      </c>
      <c r="S51" s="1" t="str">
        <f>""</f>
        <v/>
      </c>
      <c r="T51" s="1" t="s">
        <v>29</v>
      </c>
      <c r="U51" s="1" t="s">
        <v>30</v>
      </c>
      <c r="V51" s="1">
        <v>0</v>
      </c>
    </row>
    <row r="52" spans="2:22" x14ac:dyDescent="0.15">
      <c r="B52" s="1" t="str">
        <f>"133****4896"</f>
        <v>133****4896</v>
      </c>
      <c r="C52" s="1" t="s">
        <v>91</v>
      </c>
      <c r="D52" s="1" t="str">
        <f t="shared" si="4"/>
        <v>89177328</v>
      </c>
      <c r="E52" s="1" t="s">
        <v>24</v>
      </c>
      <c r="F52" s="1" t="str">
        <f t="shared" si="5"/>
        <v>0010</v>
      </c>
      <c r="G52" s="1" t="str">
        <f>""</f>
        <v/>
      </c>
      <c r="H52" s="1" t="str">
        <f>"0018"</f>
        <v>0018</v>
      </c>
      <c r="I52" s="1" t="s">
        <v>36</v>
      </c>
      <c r="J52" s="1" t="str">
        <f>"01043977572"</f>
        <v>01043977572</v>
      </c>
      <c r="K52" s="1" t="str">
        <f>"2017-04-15 08:12:13"</f>
        <v>2017-04-15 08:12:13</v>
      </c>
      <c r="L52" s="1" t="str">
        <f>"-"</f>
        <v>-</v>
      </c>
      <c r="M52" s="2">
        <v>0</v>
      </c>
      <c r="N52" s="1" t="s">
        <v>33</v>
      </c>
      <c r="O52" s="1" t="s">
        <v>34</v>
      </c>
      <c r="P52" s="2">
        <v>6.9444444444444444E-5</v>
      </c>
      <c r="Q52" s="1" t="str">
        <f>""</f>
        <v/>
      </c>
      <c r="R52" s="1">
        <v>0</v>
      </c>
      <c r="S52" s="1" t="str">
        <f>""</f>
        <v/>
      </c>
      <c r="T52" s="1" t="s">
        <v>29</v>
      </c>
      <c r="U52" s="1" t="s">
        <v>30</v>
      </c>
      <c r="V52" s="1">
        <v>0</v>
      </c>
    </row>
    <row r="53" spans="2:22" x14ac:dyDescent="0.15">
      <c r="B53" s="1" t="str">
        <f>"138****7726"</f>
        <v>138****7726</v>
      </c>
      <c r="C53" s="1" t="s">
        <v>92</v>
      </c>
      <c r="D53" s="1" t="str">
        <f>"4000108333"</f>
        <v>4000108333</v>
      </c>
      <c r="E53" s="1" t="s">
        <v>53</v>
      </c>
      <c r="F53" s="1" t="str">
        <f>""</f>
        <v/>
      </c>
      <c r="G53" s="1" t="str">
        <f>""</f>
        <v/>
      </c>
      <c r="H53" s="1" t="str">
        <f>""</f>
        <v/>
      </c>
      <c r="I53" s="1" t="str">
        <f>""</f>
        <v/>
      </c>
      <c r="J53" s="1" t="str">
        <f>""</f>
        <v/>
      </c>
      <c r="K53" s="1" t="str">
        <f>"2017-04-15 08:08:59"</f>
        <v>2017-04-15 08:08:59</v>
      </c>
      <c r="L53" s="1" t="str">
        <f>"-"</f>
        <v>-</v>
      </c>
      <c r="M53" s="2">
        <v>0</v>
      </c>
      <c r="N53" s="1" t="s">
        <v>55</v>
      </c>
      <c r="O53" s="1" t="s">
        <v>34</v>
      </c>
      <c r="P53" s="2">
        <v>1.5046296296296297E-4</v>
      </c>
      <c r="Q53" s="1" t="str">
        <f>""</f>
        <v/>
      </c>
      <c r="R53" s="1">
        <v>0.12</v>
      </c>
      <c r="S53" s="1" t="str">
        <f>""</f>
        <v/>
      </c>
      <c r="T53" s="1" t="s">
        <v>29</v>
      </c>
      <c r="U53" s="1" t="s">
        <v>30</v>
      </c>
      <c r="V53" s="1">
        <v>0</v>
      </c>
    </row>
    <row r="54" spans="2:22" x14ac:dyDescent="0.15">
      <c r="B54" s="1" t="str">
        <f>"136****6677"</f>
        <v>136****6677</v>
      </c>
      <c r="C54" s="1" t="s">
        <v>23</v>
      </c>
      <c r="D54" s="1" t="str">
        <f t="shared" ref="D54:D82" si="6">"89177328"</f>
        <v>89177328</v>
      </c>
      <c r="E54" s="1" t="s">
        <v>24</v>
      </c>
      <c r="F54" s="1" t="str">
        <f t="shared" ref="F54:F82" si="7">"0010"</f>
        <v>0010</v>
      </c>
      <c r="G54" s="1" t="str">
        <f>""</f>
        <v/>
      </c>
      <c r="H54" s="1" t="str">
        <f>"0018"</f>
        <v>0018</v>
      </c>
      <c r="I54" s="1" t="s">
        <v>36</v>
      </c>
      <c r="J54" s="1" t="str">
        <f>"01043977572"</f>
        <v>01043977572</v>
      </c>
      <c r="K54" s="1" t="str">
        <f>"2017-04-15 08:00:38"</f>
        <v>2017-04-15 08:00:38</v>
      </c>
      <c r="L54" s="1" t="str">
        <f>"2017-04-15 08:00:49"</f>
        <v>2017-04-15 08:00:49</v>
      </c>
      <c r="M54" s="2">
        <v>8.2175925925925917E-4</v>
      </c>
      <c r="N54" s="1" t="s">
        <v>26</v>
      </c>
      <c r="O54" s="1" t="s">
        <v>34</v>
      </c>
      <c r="P54" s="2">
        <v>9.4907407407407408E-4</v>
      </c>
      <c r="Q54" s="1" t="s">
        <v>93</v>
      </c>
      <c r="R54" s="1">
        <v>0</v>
      </c>
      <c r="S54" s="1" t="str">
        <f>""</f>
        <v/>
      </c>
      <c r="T54" s="1" t="s">
        <v>29</v>
      </c>
      <c r="U54" s="1" t="s">
        <v>30</v>
      </c>
      <c r="V54" s="1">
        <v>0</v>
      </c>
    </row>
    <row r="55" spans="2:22" x14ac:dyDescent="0.15">
      <c r="B55" s="1" t="str">
        <f>"159****1971"</f>
        <v>159****1971</v>
      </c>
      <c r="C55" s="1" t="s">
        <v>94</v>
      </c>
      <c r="D55" s="1" t="str">
        <f t="shared" si="6"/>
        <v>89177328</v>
      </c>
      <c r="E55" s="1" t="s">
        <v>24</v>
      </c>
      <c r="F55" s="1" t="str">
        <f t="shared" si="7"/>
        <v>0010</v>
      </c>
      <c r="G55" s="1" t="str">
        <f>""</f>
        <v/>
      </c>
      <c r="H55" s="1" t="str">
        <f>"0031"</f>
        <v>0031</v>
      </c>
      <c r="I55" s="1" t="s">
        <v>95</v>
      </c>
      <c r="J55" s="1" t="str">
        <f>"01043977565"</f>
        <v>01043977565</v>
      </c>
      <c r="K55" s="1" t="str">
        <f>"2017-04-14 19:47:41"</f>
        <v>2017-04-14 19:47:41</v>
      </c>
      <c r="L55" s="1" t="str">
        <f>"2017-04-14 19:47:50"</f>
        <v>2017-04-14 19:47:50</v>
      </c>
      <c r="M55" s="2">
        <v>9.5949074074074079E-3</v>
      </c>
      <c r="N55" s="1" t="s">
        <v>26</v>
      </c>
      <c r="O55" s="1" t="s">
        <v>27</v>
      </c>
      <c r="P55" s="2">
        <v>9.6990740740740735E-3</v>
      </c>
      <c r="Q55" s="1" t="s">
        <v>96</v>
      </c>
      <c r="R55" s="1">
        <v>0</v>
      </c>
      <c r="S55" s="1" t="str">
        <f>""</f>
        <v/>
      </c>
      <c r="T55" s="1" t="s">
        <v>29</v>
      </c>
      <c r="U55" s="1" t="s">
        <v>30</v>
      </c>
      <c r="V55" s="1">
        <v>0</v>
      </c>
    </row>
    <row r="56" spans="2:22" x14ac:dyDescent="0.15">
      <c r="B56" s="1" t="str">
        <f>"139****0232"</f>
        <v>139****0232</v>
      </c>
      <c r="C56" s="1" t="s">
        <v>97</v>
      </c>
      <c r="D56" s="1" t="str">
        <f t="shared" si="6"/>
        <v>89177328</v>
      </c>
      <c r="E56" s="1" t="s">
        <v>24</v>
      </c>
      <c r="F56" s="1" t="str">
        <f t="shared" si="7"/>
        <v>0010</v>
      </c>
      <c r="G56" s="1" t="str">
        <f>""</f>
        <v/>
      </c>
      <c r="H56" s="1" t="str">
        <f>"0031"</f>
        <v>0031</v>
      </c>
      <c r="I56" s="1" t="s">
        <v>95</v>
      </c>
      <c r="J56" s="1" t="str">
        <f>"01043977565"</f>
        <v>01043977565</v>
      </c>
      <c r="K56" s="1" t="str">
        <f>"2017-04-14 19:14:51"</f>
        <v>2017-04-14 19:14:51</v>
      </c>
      <c r="L56" s="1" t="str">
        <f>"2017-04-14 19:15:03"</f>
        <v>2017-04-14 19:15:03</v>
      </c>
      <c r="M56" s="2">
        <v>1.6377314814814813E-2</v>
      </c>
      <c r="N56" s="1" t="s">
        <v>26</v>
      </c>
      <c r="O56" s="1" t="s">
        <v>27</v>
      </c>
      <c r="P56" s="2">
        <v>1.6516203703703703E-2</v>
      </c>
      <c r="Q56" s="1" t="s">
        <v>98</v>
      </c>
      <c r="R56" s="1">
        <v>0</v>
      </c>
      <c r="S56" s="1" t="str">
        <f>""</f>
        <v/>
      </c>
      <c r="T56" s="1" t="s">
        <v>29</v>
      </c>
      <c r="U56" s="1" t="s">
        <v>30</v>
      </c>
      <c r="V56" s="1">
        <v>0</v>
      </c>
    </row>
    <row r="57" spans="2:22" x14ac:dyDescent="0.15">
      <c r="B57" s="1" t="str">
        <f>"156****2913"</f>
        <v>156****2913</v>
      </c>
      <c r="C57" s="1" t="s">
        <v>99</v>
      </c>
      <c r="D57" s="1" t="str">
        <f t="shared" si="6"/>
        <v>89177328</v>
      </c>
      <c r="E57" s="1" t="s">
        <v>24</v>
      </c>
      <c r="F57" s="1" t="str">
        <f t="shared" si="7"/>
        <v>0010</v>
      </c>
      <c r="G57" s="1" t="str">
        <f>""</f>
        <v/>
      </c>
      <c r="H57" s="1" t="str">
        <f>"0031"</f>
        <v>0031</v>
      </c>
      <c r="I57" s="1" t="s">
        <v>95</v>
      </c>
      <c r="J57" s="1" t="str">
        <f>"01043977565"</f>
        <v>01043977565</v>
      </c>
      <c r="K57" s="1" t="str">
        <f>"2017-04-14 19:07:57"</f>
        <v>2017-04-14 19:07:57</v>
      </c>
      <c r="L57" s="1" t="str">
        <f>"-"</f>
        <v>-</v>
      </c>
      <c r="M57" s="2">
        <v>0</v>
      </c>
      <c r="N57" s="1" t="s">
        <v>33</v>
      </c>
      <c r="O57" s="1" t="s">
        <v>34</v>
      </c>
      <c r="P57" s="2">
        <v>2.3148148148148147E-5</v>
      </c>
      <c r="Q57" s="1" t="str">
        <f>""</f>
        <v/>
      </c>
      <c r="R57" s="1">
        <v>0</v>
      </c>
      <c r="S57" s="1" t="str">
        <f>""</f>
        <v/>
      </c>
      <c r="T57" s="1" t="s">
        <v>29</v>
      </c>
      <c r="U57" s="1" t="s">
        <v>30</v>
      </c>
      <c r="V57" s="1">
        <v>0</v>
      </c>
    </row>
    <row r="58" spans="2:22" x14ac:dyDescent="0.15">
      <c r="B58" s="1" t="str">
        <f>"189****9785"</f>
        <v>189****9785</v>
      </c>
      <c r="C58" s="1" t="s">
        <v>23</v>
      </c>
      <c r="D58" s="1" t="str">
        <f t="shared" si="6"/>
        <v>89177328</v>
      </c>
      <c r="E58" s="1" t="s">
        <v>24</v>
      </c>
      <c r="F58" s="1" t="str">
        <f t="shared" si="7"/>
        <v>0010</v>
      </c>
      <c r="G58" s="1" t="str">
        <f>""</f>
        <v/>
      </c>
      <c r="H58" s="1" t="str">
        <f>"0034"</f>
        <v>0034</v>
      </c>
      <c r="I58" s="1" t="s">
        <v>31</v>
      </c>
      <c r="J58" s="1" t="str">
        <f>"01043977568"</f>
        <v>01043977568</v>
      </c>
      <c r="K58" s="1" t="str">
        <f>"2017-04-14 18:40:18"</f>
        <v>2017-04-14 18:40:18</v>
      </c>
      <c r="L58" s="1" t="str">
        <f>"2017-04-14 18:40:28"</f>
        <v>2017-04-14 18:40:28</v>
      </c>
      <c r="M58" s="2">
        <v>1.074074074074074E-2</v>
      </c>
      <c r="N58" s="1" t="s">
        <v>26</v>
      </c>
      <c r="O58" s="1" t="s">
        <v>27</v>
      </c>
      <c r="P58" s="2">
        <v>1.0856481481481481E-2</v>
      </c>
      <c r="Q58" s="1" t="s">
        <v>100</v>
      </c>
      <c r="R58" s="1">
        <v>0</v>
      </c>
      <c r="S58" s="1" t="str">
        <f>""</f>
        <v/>
      </c>
      <c r="T58" s="1" t="s">
        <v>29</v>
      </c>
      <c r="U58" s="1" t="s">
        <v>30</v>
      </c>
      <c r="V58" s="1">
        <v>0</v>
      </c>
    </row>
    <row r="59" spans="2:22" x14ac:dyDescent="0.15">
      <c r="B59" s="1" t="str">
        <f>"139****7734"</f>
        <v>139****7734</v>
      </c>
      <c r="C59" s="1" t="s">
        <v>23</v>
      </c>
      <c r="D59" s="1" t="str">
        <f t="shared" si="6"/>
        <v>89177328</v>
      </c>
      <c r="E59" s="1" t="s">
        <v>24</v>
      </c>
      <c r="F59" s="1" t="str">
        <f t="shared" si="7"/>
        <v>0010</v>
      </c>
      <c r="G59" s="1" t="str">
        <f>""</f>
        <v/>
      </c>
      <c r="H59" s="1" t="str">
        <f>"0010"</f>
        <v>0010</v>
      </c>
      <c r="I59" s="1" t="s">
        <v>71</v>
      </c>
      <c r="J59" s="1" t="str">
        <f>"01043977571"</f>
        <v>01043977571</v>
      </c>
      <c r="K59" s="1" t="str">
        <f>"2017-04-14 17:35:23"</f>
        <v>2017-04-14 17:35:23</v>
      </c>
      <c r="L59" s="1" t="str">
        <f>"2017-04-14 17:35:43"</f>
        <v>2017-04-14 17:35:43</v>
      </c>
      <c r="M59" s="2">
        <v>1.4027777777777778E-2</v>
      </c>
      <c r="N59" s="1" t="s">
        <v>26</v>
      </c>
      <c r="O59" s="1" t="s">
        <v>34</v>
      </c>
      <c r="P59" s="2">
        <v>1.4259259259259261E-2</v>
      </c>
      <c r="Q59" s="1" t="s">
        <v>101</v>
      </c>
      <c r="R59" s="1">
        <v>0</v>
      </c>
      <c r="S59" s="1" t="str">
        <f>""</f>
        <v/>
      </c>
      <c r="T59" s="1" t="s">
        <v>29</v>
      </c>
      <c r="U59" s="1" t="s">
        <v>30</v>
      </c>
      <c r="V59" s="1">
        <v>0</v>
      </c>
    </row>
    <row r="60" spans="2:22" x14ac:dyDescent="0.15">
      <c r="B60" s="1" t="str">
        <f>"139****4494"</f>
        <v>139****4494</v>
      </c>
      <c r="C60" s="1" t="s">
        <v>102</v>
      </c>
      <c r="D60" s="1" t="str">
        <f t="shared" si="6"/>
        <v>89177328</v>
      </c>
      <c r="E60" s="1" t="s">
        <v>24</v>
      </c>
      <c r="F60" s="1" t="str">
        <f t="shared" si="7"/>
        <v>0010</v>
      </c>
      <c r="G60" s="1" t="str">
        <f>""</f>
        <v/>
      </c>
      <c r="H60" s="1" t="str">
        <f>"0018"</f>
        <v>0018</v>
      </c>
      <c r="I60" s="1" t="s">
        <v>36</v>
      </c>
      <c r="J60" s="1" t="str">
        <f>"01043977572"</f>
        <v>01043977572</v>
      </c>
      <c r="K60" s="1" t="str">
        <f>"2017-04-14 17:19:28"</f>
        <v>2017-04-14 17:19:28</v>
      </c>
      <c r="L60" s="1" t="str">
        <f>"2017-04-14 17:19:38"</f>
        <v>2017-04-14 17:19:38</v>
      </c>
      <c r="M60" s="2">
        <v>9.1666666666666667E-3</v>
      </c>
      <c r="N60" s="1" t="s">
        <v>26</v>
      </c>
      <c r="O60" s="1" t="s">
        <v>34</v>
      </c>
      <c r="P60" s="2">
        <v>9.2824074074074076E-3</v>
      </c>
      <c r="Q60" s="1" t="s">
        <v>103</v>
      </c>
      <c r="R60" s="1">
        <v>0</v>
      </c>
      <c r="S60" s="1" t="str">
        <f>""</f>
        <v/>
      </c>
      <c r="T60" s="1" t="s">
        <v>29</v>
      </c>
      <c r="U60" s="1" t="s">
        <v>30</v>
      </c>
      <c r="V60" s="1">
        <v>0</v>
      </c>
    </row>
    <row r="61" spans="2:22" x14ac:dyDescent="0.15">
      <c r="B61" s="1" t="str">
        <f>"031****2360"</f>
        <v>031****2360</v>
      </c>
      <c r="C61" s="1" t="s">
        <v>76</v>
      </c>
      <c r="D61" s="1" t="str">
        <f t="shared" si="6"/>
        <v>89177328</v>
      </c>
      <c r="E61" s="1" t="s">
        <v>24</v>
      </c>
      <c r="F61" s="1" t="str">
        <f t="shared" si="7"/>
        <v>0010</v>
      </c>
      <c r="G61" s="1" t="str">
        <f>""</f>
        <v/>
      </c>
      <c r="H61" s="1" t="str">
        <f>"0031"</f>
        <v>0031</v>
      </c>
      <c r="I61" s="1" t="s">
        <v>95</v>
      </c>
      <c r="J61" s="1" t="str">
        <f>"01043977565"</f>
        <v>01043977565</v>
      </c>
      <c r="K61" s="1" t="str">
        <f>"2017-04-14 16:44:07"</f>
        <v>2017-04-14 16:44:07</v>
      </c>
      <c r="L61" s="1" t="str">
        <f>"2017-04-14 16:44:16"</f>
        <v>2017-04-14 16:44:16</v>
      </c>
      <c r="M61" s="2">
        <v>1.8634259259259261E-3</v>
      </c>
      <c r="N61" s="1" t="s">
        <v>26</v>
      </c>
      <c r="O61" s="1" t="s">
        <v>27</v>
      </c>
      <c r="P61" s="2">
        <v>1.9675925925925928E-3</v>
      </c>
      <c r="Q61" s="1" t="s">
        <v>104</v>
      </c>
      <c r="R61" s="1">
        <v>0</v>
      </c>
      <c r="S61" s="1" t="str">
        <f>""</f>
        <v/>
      </c>
      <c r="T61" s="1" t="s">
        <v>29</v>
      </c>
      <c r="U61" s="1" t="s">
        <v>30</v>
      </c>
      <c r="V61" s="1">
        <v>0</v>
      </c>
    </row>
    <row r="62" spans="2:22" x14ac:dyDescent="0.15">
      <c r="B62" s="1" t="str">
        <f>"139****1783"</f>
        <v>139****1783</v>
      </c>
      <c r="C62" s="1" t="s">
        <v>105</v>
      </c>
      <c r="D62" s="1" t="str">
        <f t="shared" si="6"/>
        <v>89177328</v>
      </c>
      <c r="E62" s="1" t="s">
        <v>24</v>
      </c>
      <c r="F62" s="1" t="str">
        <f t="shared" si="7"/>
        <v>0010</v>
      </c>
      <c r="G62" s="1" t="str">
        <f>""</f>
        <v/>
      </c>
      <c r="H62" s="1" t="str">
        <f>"0033"</f>
        <v>0033</v>
      </c>
      <c r="I62" s="1" t="s">
        <v>106</v>
      </c>
      <c r="J62" s="1" t="str">
        <f>"01043977567"</f>
        <v>01043977567</v>
      </c>
      <c r="K62" s="1" t="str">
        <f>"2017-04-14 16:37:45"</f>
        <v>2017-04-14 16:37:45</v>
      </c>
      <c r="L62" s="1" t="str">
        <f>"2017-04-14 16:37:55"</f>
        <v>2017-04-14 16:37:55</v>
      </c>
      <c r="M62" s="2">
        <v>1.0532407407407407E-2</v>
      </c>
      <c r="N62" s="1" t="s">
        <v>26</v>
      </c>
      <c r="O62" s="1" t="s">
        <v>27</v>
      </c>
      <c r="P62" s="2">
        <v>1.064814814814815E-2</v>
      </c>
      <c r="Q62" s="1" t="s">
        <v>107</v>
      </c>
      <c r="R62" s="1">
        <v>0</v>
      </c>
      <c r="S62" s="1" t="str">
        <f>""</f>
        <v/>
      </c>
      <c r="T62" s="1" t="s">
        <v>29</v>
      </c>
      <c r="U62" s="1" t="s">
        <v>30</v>
      </c>
      <c r="V62" s="1">
        <v>0</v>
      </c>
    </row>
    <row r="63" spans="2:22" x14ac:dyDescent="0.15">
      <c r="B63" s="1" t="str">
        <f>"136****9514"</f>
        <v>136****9514</v>
      </c>
      <c r="C63" s="1" t="s">
        <v>23</v>
      </c>
      <c r="D63" s="1" t="str">
        <f t="shared" si="6"/>
        <v>89177328</v>
      </c>
      <c r="E63" s="1" t="s">
        <v>24</v>
      </c>
      <c r="F63" s="1" t="str">
        <f t="shared" si="7"/>
        <v>0010</v>
      </c>
      <c r="G63" s="1" t="str">
        <f>""</f>
        <v/>
      </c>
      <c r="H63" s="1" t="str">
        <f>"0010"</f>
        <v>0010</v>
      </c>
      <c r="I63" s="1" t="s">
        <v>71</v>
      </c>
      <c r="J63" s="1" t="str">
        <f>"01043977571"</f>
        <v>01043977571</v>
      </c>
      <c r="K63" s="1" t="str">
        <f>"2017-04-14 16:34:24"</f>
        <v>2017-04-14 16:34:24</v>
      </c>
      <c r="L63" s="1" t="str">
        <f>"2017-04-14 16:34:41"</f>
        <v>2017-04-14 16:34:41</v>
      </c>
      <c r="M63" s="2">
        <v>5.3009259259259251E-3</v>
      </c>
      <c r="N63" s="1" t="s">
        <v>26</v>
      </c>
      <c r="O63" s="1" t="s">
        <v>34</v>
      </c>
      <c r="P63" s="2">
        <v>5.4976851851851853E-3</v>
      </c>
      <c r="Q63" s="1" t="s">
        <v>108</v>
      </c>
      <c r="R63" s="1">
        <v>0</v>
      </c>
      <c r="S63" s="1" t="str">
        <f>""</f>
        <v/>
      </c>
      <c r="T63" s="1" t="s">
        <v>29</v>
      </c>
      <c r="U63" s="1" t="s">
        <v>30</v>
      </c>
      <c r="V63" s="1">
        <v>0</v>
      </c>
    </row>
    <row r="64" spans="2:22" x14ac:dyDescent="0.15">
      <c r="B64" s="1" t="str">
        <f>"131****9521"</f>
        <v>131****9521</v>
      </c>
      <c r="C64" s="1" t="s">
        <v>109</v>
      </c>
      <c r="D64" s="1" t="str">
        <f t="shared" si="6"/>
        <v>89177328</v>
      </c>
      <c r="E64" s="1" t="s">
        <v>24</v>
      </c>
      <c r="F64" s="1" t="str">
        <f t="shared" si="7"/>
        <v>0010</v>
      </c>
      <c r="G64" s="1" t="str">
        <f>""</f>
        <v/>
      </c>
      <c r="H64" s="1" t="str">
        <f>"0034"</f>
        <v>0034</v>
      </c>
      <c r="I64" s="1" t="s">
        <v>31</v>
      </c>
      <c r="J64" s="1" t="str">
        <f>"01043977568"</f>
        <v>01043977568</v>
      </c>
      <c r="K64" s="1" t="str">
        <f>"2017-04-14 16:28:30"</f>
        <v>2017-04-14 16:28:30</v>
      </c>
      <c r="L64" s="1" t="str">
        <f>"2017-04-14 16:28:40"</f>
        <v>2017-04-14 16:28:40</v>
      </c>
      <c r="M64" s="2">
        <v>1.4143518518518519E-2</v>
      </c>
      <c r="N64" s="1" t="s">
        <v>26</v>
      </c>
      <c r="O64" s="1" t="s">
        <v>34</v>
      </c>
      <c r="P64" s="2">
        <v>1.4259259259259261E-2</v>
      </c>
      <c r="Q64" s="1" t="s">
        <v>110</v>
      </c>
      <c r="R64" s="1">
        <v>0</v>
      </c>
      <c r="S64" s="1" t="str">
        <f>""</f>
        <v/>
      </c>
      <c r="T64" s="1" t="s">
        <v>29</v>
      </c>
      <c r="U64" s="1" t="s">
        <v>30</v>
      </c>
      <c r="V64" s="1">
        <v>0</v>
      </c>
    </row>
    <row r="65" spans="2:22" x14ac:dyDescent="0.15">
      <c r="B65" s="1" t="str">
        <f>"135****1597"</f>
        <v>135****1597</v>
      </c>
      <c r="C65" s="1" t="s">
        <v>23</v>
      </c>
      <c r="D65" s="1" t="str">
        <f t="shared" si="6"/>
        <v>89177328</v>
      </c>
      <c r="E65" s="1" t="s">
        <v>24</v>
      </c>
      <c r="F65" s="1" t="str">
        <f t="shared" si="7"/>
        <v>0010</v>
      </c>
      <c r="G65" s="1" t="str">
        <f>""</f>
        <v/>
      </c>
      <c r="H65" s="1" t="str">
        <f>"0031"</f>
        <v>0031</v>
      </c>
      <c r="I65" s="1" t="s">
        <v>95</v>
      </c>
      <c r="J65" s="1" t="str">
        <f>"01043977565"</f>
        <v>01043977565</v>
      </c>
      <c r="K65" s="1" t="str">
        <f>"2017-04-14 16:07:44"</f>
        <v>2017-04-14 16:07:44</v>
      </c>
      <c r="L65" s="1" t="str">
        <f>"2017-04-14 16:07:56"</f>
        <v>2017-04-14 16:07:56</v>
      </c>
      <c r="M65" s="2">
        <v>1.9085648148148147E-2</v>
      </c>
      <c r="N65" s="1" t="s">
        <v>26</v>
      </c>
      <c r="O65" s="1" t="s">
        <v>27</v>
      </c>
      <c r="P65" s="2">
        <v>1.9224537037037037E-2</v>
      </c>
      <c r="Q65" s="1" t="s">
        <v>111</v>
      </c>
      <c r="R65" s="1">
        <v>0</v>
      </c>
      <c r="S65" s="1" t="str">
        <f>""</f>
        <v/>
      </c>
      <c r="T65" s="1" t="s">
        <v>29</v>
      </c>
      <c r="U65" s="1" t="s">
        <v>30</v>
      </c>
      <c r="V65" s="1">
        <v>0</v>
      </c>
    </row>
    <row r="66" spans="2:22" x14ac:dyDescent="0.15">
      <c r="B66" s="1" t="str">
        <f>"133****9597"</f>
        <v>133****9597</v>
      </c>
      <c r="C66" s="1" t="s">
        <v>23</v>
      </c>
      <c r="D66" s="1" t="str">
        <f t="shared" si="6"/>
        <v>89177328</v>
      </c>
      <c r="E66" s="1" t="s">
        <v>24</v>
      </c>
      <c r="F66" s="1" t="str">
        <f t="shared" si="7"/>
        <v>0010</v>
      </c>
      <c r="G66" s="1" t="str">
        <f>""</f>
        <v/>
      </c>
      <c r="H66" s="1" t="str">
        <f>"0031"</f>
        <v>0031</v>
      </c>
      <c r="I66" s="1" t="s">
        <v>95</v>
      </c>
      <c r="J66" s="1" t="str">
        <f>"01043977565"</f>
        <v>01043977565</v>
      </c>
      <c r="K66" s="1" t="str">
        <f>"2017-04-14 16:06:00"</f>
        <v>2017-04-14 16:06:00</v>
      </c>
      <c r="L66" s="1" t="str">
        <f>"-"</f>
        <v>-</v>
      </c>
      <c r="M66" s="2">
        <v>0</v>
      </c>
      <c r="N66" s="1" t="s">
        <v>33</v>
      </c>
      <c r="O66" s="1" t="s">
        <v>34</v>
      </c>
      <c r="P66" s="2">
        <v>4.6296296296296294E-5</v>
      </c>
      <c r="Q66" s="1" t="str">
        <f>""</f>
        <v/>
      </c>
      <c r="R66" s="1">
        <v>0</v>
      </c>
      <c r="S66" s="1" t="str">
        <f>""</f>
        <v/>
      </c>
      <c r="T66" s="1" t="s">
        <v>29</v>
      </c>
      <c r="U66" s="1" t="s">
        <v>30</v>
      </c>
      <c r="V66" s="1">
        <v>0</v>
      </c>
    </row>
    <row r="67" spans="2:22" x14ac:dyDescent="0.15">
      <c r="B67" s="1" t="str">
        <f>"133****9597"</f>
        <v>133****9597</v>
      </c>
      <c r="C67" s="1" t="s">
        <v>23</v>
      </c>
      <c r="D67" s="1" t="str">
        <f t="shared" si="6"/>
        <v>89177328</v>
      </c>
      <c r="E67" s="1" t="s">
        <v>24</v>
      </c>
      <c r="F67" s="1" t="str">
        <f t="shared" si="7"/>
        <v>0010</v>
      </c>
      <c r="G67" s="1" t="str">
        <f>""</f>
        <v/>
      </c>
      <c r="H67" s="1" t="str">
        <f>"0031"</f>
        <v>0031</v>
      </c>
      <c r="I67" s="1" t="s">
        <v>95</v>
      </c>
      <c r="J67" s="1" t="str">
        <f>"01043977565"</f>
        <v>01043977565</v>
      </c>
      <c r="K67" s="1" t="str">
        <f>"2017-04-14 16:03:57"</f>
        <v>2017-04-14 16:03:57</v>
      </c>
      <c r="L67" s="1" t="str">
        <f>"-"</f>
        <v>-</v>
      </c>
      <c r="M67" s="2">
        <v>0</v>
      </c>
      <c r="N67" s="1" t="s">
        <v>33</v>
      </c>
      <c r="O67" s="1" t="s">
        <v>34</v>
      </c>
      <c r="P67" s="2">
        <v>4.6296296296296294E-5</v>
      </c>
      <c r="Q67" s="1" t="str">
        <f>""</f>
        <v/>
      </c>
      <c r="R67" s="1">
        <v>0</v>
      </c>
      <c r="S67" s="1" t="str">
        <f>""</f>
        <v/>
      </c>
      <c r="T67" s="1" t="s">
        <v>29</v>
      </c>
      <c r="U67" s="1" t="s">
        <v>30</v>
      </c>
      <c r="V67" s="1">
        <v>0</v>
      </c>
    </row>
    <row r="68" spans="2:22" x14ac:dyDescent="0.15">
      <c r="B68" s="1" t="str">
        <f>"136****3647"</f>
        <v>136****3647</v>
      </c>
      <c r="C68" s="1" t="s">
        <v>23</v>
      </c>
      <c r="D68" s="1" t="str">
        <f t="shared" si="6"/>
        <v>89177328</v>
      </c>
      <c r="E68" s="1" t="s">
        <v>24</v>
      </c>
      <c r="F68" s="1" t="str">
        <f t="shared" si="7"/>
        <v>0010</v>
      </c>
      <c r="G68" s="1" t="str">
        <f>""</f>
        <v/>
      </c>
      <c r="H68" s="1" t="str">
        <f>"0018"</f>
        <v>0018</v>
      </c>
      <c r="I68" s="1" t="s">
        <v>36</v>
      </c>
      <c r="J68" s="1" t="str">
        <f>"01043977572"</f>
        <v>01043977572</v>
      </c>
      <c r="K68" s="1" t="str">
        <f>"2017-04-14 15:48:03"</f>
        <v>2017-04-14 15:48:03</v>
      </c>
      <c r="L68" s="1" t="str">
        <f>"2017-04-14 15:48:14"</f>
        <v>2017-04-14 15:48:14</v>
      </c>
      <c r="M68" s="2">
        <v>1.1574074074074073E-5</v>
      </c>
      <c r="N68" s="1" t="s">
        <v>26</v>
      </c>
      <c r="O68" s="1" t="s">
        <v>34</v>
      </c>
      <c r="P68" s="2">
        <v>1.3888888888888889E-4</v>
      </c>
      <c r="Q68" s="1" t="str">
        <f>""</f>
        <v/>
      </c>
      <c r="R68" s="1">
        <v>0</v>
      </c>
      <c r="S68" s="1" t="str">
        <f>""</f>
        <v/>
      </c>
      <c r="T68" s="1" t="s">
        <v>29</v>
      </c>
      <c r="U68" s="1" t="s">
        <v>30</v>
      </c>
      <c r="V68" s="1">
        <v>0</v>
      </c>
    </row>
    <row r="69" spans="2:22" x14ac:dyDescent="0.15">
      <c r="B69" s="1" t="str">
        <f>"130****5656"</f>
        <v>130****5656</v>
      </c>
      <c r="C69" s="1" t="s">
        <v>112</v>
      </c>
      <c r="D69" s="1" t="str">
        <f t="shared" si="6"/>
        <v>89177328</v>
      </c>
      <c r="E69" s="1" t="s">
        <v>24</v>
      </c>
      <c r="F69" s="1" t="str">
        <f t="shared" si="7"/>
        <v>0010</v>
      </c>
      <c r="G69" s="1" t="str">
        <f>""</f>
        <v/>
      </c>
      <c r="H69" s="1" t="str">
        <f>"0018"</f>
        <v>0018</v>
      </c>
      <c r="I69" s="1" t="s">
        <v>36</v>
      </c>
      <c r="J69" s="1" t="str">
        <f>"01043977572"</f>
        <v>01043977572</v>
      </c>
      <c r="K69" s="1" t="str">
        <f>"2017-04-14 15:38:16"</f>
        <v>2017-04-14 15:38:16</v>
      </c>
      <c r="L69" s="1" t="str">
        <f>"-"</f>
        <v>-</v>
      </c>
      <c r="M69" s="2">
        <v>0</v>
      </c>
      <c r="N69" s="1" t="s">
        <v>33</v>
      </c>
      <c r="O69" s="1" t="s">
        <v>34</v>
      </c>
      <c r="P69" s="2">
        <v>3.4722222222222222E-5</v>
      </c>
      <c r="Q69" s="1" t="str">
        <f>""</f>
        <v/>
      </c>
      <c r="R69" s="1">
        <v>0</v>
      </c>
      <c r="S69" s="1" t="str">
        <f>""</f>
        <v/>
      </c>
      <c r="T69" s="1" t="s">
        <v>29</v>
      </c>
      <c r="U69" s="1" t="s">
        <v>30</v>
      </c>
      <c r="V69" s="1">
        <v>0</v>
      </c>
    </row>
    <row r="70" spans="2:22" x14ac:dyDescent="0.15">
      <c r="B70" s="1" t="str">
        <f>"130****5656"</f>
        <v>130****5656</v>
      </c>
      <c r="C70" s="1" t="s">
        <v>112</v>
      </c>
      <c r="D70" s="1" t="str">
        <f t="shared" si="6"/>
        <v>89177328</v>
      </c>
      <c r="E70" s="1" t="s">
        <v>24</v>
      </c>
      <c r="F70" s="1" t="str">
        <f t="shared" si="7"/>
        <v>0010</v>
      </c>
      <c r="G70" s="1" t="str">
        <f>""</f>
        <v/>
      </c>
      <c r="H70" s="1" t="str">
        <f>"0018"</f>
        <v>0018</v>
      </c>
      <c r="I70" s="1" t="s">
        <v>36</v>
      </c>
      <c r="J70" s="1" t="str">
        <f>"01043977572"</f>
        <v>01043977572</v>
      </c>
      <c r="K70" s="1" t="str">
        <f>"2017-04-14 15:29:37"</f>
        <v>2017-04-14 15:29:37</v>
      </c>
      <c r="L70" s="1" t="str">
        <f>"-"</f>
        <v>-</v>
      </c>
      <c r="M70" s="2">
        <v>0</v>
      </c>
      <c r="N70" s="1" t="s">
        <v>33</v>
      </c>
      <c r="O70" s="1" t="s">
        <v>34</v>
      </c>
      <c r="P70" s="2">
        <v>4.6296296296296294E-5</v>
      </c>
      <c r="Q70" s="1" t="str">
        <f>""</f>
        <v/>
      </c>
      <c r="R70" s="1">
        <v>0</v>
      </c>
      <c r="S70" s="1" t="str">
        <f>""</f>
        <v/>
      </c>
      <c r="T70" s="1" t="s">
        <v>29</v>
      </c>
      <c r="U70" s="1" t="s">
        <v>30</v>
      </c>
      <c r="V70" s="1">
        <v>0</v>
      </c>
    </row>
    <row r="71" spans="2:22" x14ac:dyDescent="0.15">
      <c r="B71" s="1" t="str">
        <f>"130****5656"</f>
        <v>130****5656</v>
      </c>
      <c r="C71" s="1" t="s">
        <v>112</v>
      </c>
      <c r="D71" s="1" t="str">
        <f t="shared" si="6"/>
        <v>89177328</v>
      </c>
      <c r="E71" s="1" t="s">
        <v>24</v>
      </c>
      <c r="F71" s="1" t="str">
        <f t="shared" si="7"/>
        <v>0010</v>
      </c>
      <c r="G71" s="1" t="str">
        <f>""</f>
        <v/>
      </c>
      <c r="H71" s="1" t="str">
        <f>"0018"</f>
        <v>0018</v>
      </c>
      <c r="I71" s="1" t="s">
        <v>36</v>
      </c>
      <c r="J71" s="1" t="str">
        <f>"01043977572"</f>
        <v>01043977572</v>
      </c>
      <c r="K71" s="1" t="str">
        <f>"2017-04-14 15:26:49"</f>
        <v>2017-04-14 15:26:49</v>
      </c>
      <c r="L71" s="1" t="str">
        <f>"-"</f>
        <v>-</v>
      </c>
      <c r="M71" s="2">
        <v>0</v>
      </c>
      <c r="N71" s="1" t="s">
        <v>33</v>
      </c>
      <c r="O71" s="1" t="s">
        <v>34</v>
      </c>
      <c r="P71" s="2">
        <v>2.3148148148148147E-5</v>
      </c>
      <c r="Q71" s="1" t="str">
        <f>""</f>
        <v/>
      </c>
      <c r="R71" s="1">
        <v>0</v>
      </c>
      <c r="S71" s="1" t="str">
        <f>""</f>
        <v/>
      </c>
      <c r="T71" s="1" t="s">
        <v>29</v>
      </c>
      <c r="U71" s="1" t="s">
        <v>30</v>
      </c>
      <c r="V71" s="1">
        <v>0</v>
      </c>
    </row>
    <row r="72" spans="2:22" x14ac:dyDescent="0.15">
      <c r="B72" s="1" t="str">
        <f>"189****1560"</f>
        <v>189****1560</v>
      </c>
      <c r="C72" s="1" t="s">
        <v>113</v>
      </c>
      <c r="D72" s="1" t="str">
        <f t="shared" si="6"/>
        <v>89177328</v>
      </c>
      <c r="E72" s="1" t="s">
        <v>24</v>
      </c>
      <c r="F72" s="1" t="str">
        <f t="shared" si="7"/>
        <v>0010</v>
      </c>
      <c r="G72" s="1" t="str">
        <f>""</f>
        <v/>
      </c>
      <c r="H72" s="1" t="str">
        <f>"0034"</f>
        <v>0034</v>
      </c>
      <c r="I72" s="1" t="s">
        <v>31</v>
      </c>
      <c r="J72" s="1" t="str">
        <f>"01043977568"</f>
        <v>01043977568</v>
      </c>
      <c r="K72" s="1" t="str">
        <f>"2017-04-14 15:24:38"</f>
        <v>2017-04-14 15:24:38</v>
      </c>
      <c r="L72" s="1" t="str">
        <f>"2017-04-14 15:24:49"</f>
        <v>2017-04-14 15:24:49</v>
      </c>
      <c r="M72" s="2">
        <v>3.4953703703703705E-3</v>
      </c>
      <c r="N72" s="1" t="s">
        <v>26</v>
      </c>
      <c r="O72" s="1" t="s">
        <v>27</v>
      </c>
      <c r="P72" s="2">
        <v>3.6226851851851854E-3</v>
      </c>
      <c r="Q72" s="1" t="s">
        <v>114</v>
      </c>
      <c r="R72" s="1">
        <v>0</v>
      </c>
      <c r="S72" s="1" t="str">
        <f>""</f>
        <v/>
      </c>
      <c r="T72" s="1" t="s">
        <v>29</v>
      </c>
      <c r="U72" s="1" t="s">
        <v>30</v>
      </c>
      <c r="V72" s="1">
        <v>0</v>
      </c>
    </row>
    <row r="73" spans="2:22" x14ac:dyDescent="0.15">
      <c r="B73" s="1" t="str">
        <f>"010****4842"</f>
        <v>010****4842</v>
      </c>
      <c r="C73" s="1" t="s">
        <v>23</v>
      </c>
      <c r="D73" s="1" t="str">
        <f t="shared" si="6"/>
        <v>89177328</v>
      </c>
      <c r="E73" s="1" t="s">
        <v>24</v>
      </c>
      <c r="F73" s="1" t="str">
        <f t="shared" si="7"/>
        <v>0010</v>
      </c>
      <c r="G73" s="1" t="str">
        <f>""</f>
        <v/>
      </c>
      <c r="H73" s="1" t="str">
        <f>"0034"</f>
        <v>0034</v>
      </c>
      <c r="I73" s="1" t="s">
        <v>31</v>
      </c>
      <c r="J73" s="1" t="str">
        <f>"01043977568"</f>
        <v>01043977568</v>
      </c>
      <c r="K73" s="1" t="str">
        <f>"2017-04-14 15:06:12"</f>
        <v>2017-04-14 15:06:12</v>
      </c>
      <c r="L73" s="1" t="str">
        <f>"2017-04-14 15:06:23"</f>
        <v>2017-04-14 15:06:23</v>
      </c>
      <c r="M73" s="2">
        <v>6.5509259259259262E-3</v>
      </c>
      <c r="N73" s="1" t="s">
        <v>26</v>
      </c>
      <c r="O73" s="1" t="s">
        <v>34</v>
      </c>
      <c r="P73" s="2">
        <v>6.6782407407407415E-3</v>
      </c>
      <c r="Q73" s="1" t="s">
        <v>115</v>
      </c>
      <c r="R73" s="1">
        <v>0</v>
      </c>
      <c r="S73" s="1" t="str">
        <f>""</f>
        <v/>
      </c>
      <c r="T73" s="1" t="s">
        <v>29</v>
      </c>
      <c r="U73" s="1" t="s">
        <v>30</v>
      </c>
      <c r="V73" s="1">
        <v>0</v>
      </c>
    </row>
    <row r="74" spans="2:22" x14ac:dyDescent="0.15">
      <c r="B74" s="1" t="str">
        <f>"135****8896"</f>
        <v>135****8896</v>
      </c>
      <c r="C74" s="1" t="s">
        <v>116</v>
      </c>
      <c r="D74" s="1" t="str">
        <f t="shared" si="6"/>
        <v>89177328</v>
      </c>
      <c r="E74" s="1" t="s">
        <v>24</v>
      </c>
      <c r="F74" s="1" t="str">
        <f t="shared" si="7"/>
        <v>0010</v>
      </c>
      <c r="G74" s="1" t="str">
        <f>""</f>
        <v/>
      </c>
      <c r="H74" s="1" t="str">
        <f>"0033"</f>
        <v>0033</v>
      </c>
      <c r="I74" s="1" t="s">
        <v>106</v>
      </c>
      <c r="J74" s="1" t="str">
        <f>"01043977567"</f>
        <v>01043977567</v>
      </c>
      <c r="K74" s="1" t="str">
        <f>"2017-04-14 14:42:37"</f>
        <v>2017-04-14 14:42:37</v>
      </c>
      <c r="L74" s="1" t="str">
        <f>"2017-04-14 14:42:47"</f>
        <v>2017-04-14 14:42:47</v>
      </c>
      <c r="M74" s="2">
        <v>3.1018518518518522E-3</v>
      </c>
      <c r="N74" s="1" t="s">
        <v>26</v>
      </c>
      <c r="O74" s="1" t="s">
        <v>27</v>
      </c>
      <c r="P74" s="2">
        <v>3.2175925925925926E-3</v>
      </c>
      <c r="Q74" s="1" t="s">
        <v>117</v>
      </c>
      <c r="R74" s="1">
        <v>0</v>
      </c>
      <c r="S74" s="1" t="str">
        <f>""</f>
        <v/>
      </c>
      <c r="T74" s="1" t="s">
        <v>29</v>
      </c>
      <c r="U74" s="1" t="s">
        <v>30</v>
      </c>
      <c r="V74" s="1">
        <v>0</v>
      </c>
    </row>
    <row r="75" spans="2:22" x14ac:dyDescent="0.15">
      <c r="B75" s="1" t="str">
        <f>"185****6976"</f>
        <v>185****6976</v>
      </c>
      <c r="C75" s="1" t="s">
        <v>118</v>
      </c>
      <c r="D75" s="1" t="str">
        <f t="shared" si="6"/>
        <v>89177328</v>
      </c>
      <c r="E75" s="1" t="s">
        <v>24</v>
      </c>
      <c r="F75" s="1" t="str">
        <f t="shared" si="7"/>
        <v>0010</v>
      </c>
      <c r="G75" s="1" t="str">
        <f>""</f>
        <v/>
      </c>
      <c r="H75" s="1" t="str">
        <f>"0032"</f>
        <v>0032</v>
      </c>
      <c r="I75" s="1" t="s">
        <v>119</v>
      </c>
      <c r="J75" s="1" t="str">
        <f>"01043977566"</f>
        <v>01043977566</v>
      </c>
      <c r="K75" s="1" t="str">
        <f>"2017-04-14 14:27:08"</f>
        <v>2017-04-14 14:27:08</v>
      </c>
      <c r="L75" s="1" t="str">
        <f>"2017-04-14 14:27:23"</f>
        <v>2017-04-14 14:27:23</v>
      </c>
      <c r="M75" s="2">
        <v>5.1967592592592595E-3</v>
      </c>
      <c r="N75" s="1" t="s">
        <v>26</v>
      </c>
      <c r="O75" s="1" t="s">
        <v>34</v>
      </c>
      <c r="P75" s="2">
        <v>5.37037037037037E-3</v>
      </c>
      <c r="Q75" s="1" t="s">
        <v>120</v>
      </c>
      <c r="R75" s="1">
        <v>0</v>
      </c>
      <c r="S75" s="1" t="str">
        <f>""</f>
        <v/>
      </c>
      <c r="T75" s="1" t="s">
        <v>29</v>
      </c>
      <c r="U75" s="1" t="s">
        <v>30</v>
      </c>
      <c r="V75" s="1">
        <v>0</v>
      </c>
    </row>
    <row r="76" spans="2:22" x14ac:dyDescent="0.15">
      <c r="B76" s="1" t="str">
        <f>"010****5430"</f>
        <v>010****5430</v>
      </c>
      <c r="C76" s="1" t="s">
        <v>23</v>
      </c>
      <c r="D76" s="1" t="str">
        <f t="shared" si="6"/>
        <v>89177328</v>
      </c>
      <c r="E76" s="1" t="s">
        <v>24</v>
      </c>
      <c r="F76" s="1" t="str">
        <f t="shared" si="7"/>
        <v>0010</v>
      </c>
      <c r="G76" s="1" t="str">
        <f>""</f>
        <v/>
      </c>
      <c r="H76" s="1" t="str">
        <f>"0018"</f>
        <v>0018</v>
      </c>
      <c r="I76" s="1" t="s">
        <v>36</v>
      </c>
      <c r="J76" s="1" t="str">
        <f>"01043977572"</f>
        <v>01043977572</v>
      </c>
      <c r="K76" s="1" t="str">
        <f>"2017-04-14 14:16:54"</f>
        <v>2017-04-14 14:16:54</v>
      </c>
      <c r="L76" s="1" t="str">
        <f>"2017-04-14 14:17:03"</f>
        <v>2017-04-14 14:17:03</v>
      </c>
      <c r="M76" s="2">
        <v>1.275462962962963E-2</v>
      </c>
      <c r="N76" s="1" t="s">
        <v>26</v>
      </c>
      <c r="O76" s="1" t="s">
        <v>34</v>
      </c>
      <c r="P76" s="2">
        <v>1.2858796296296297E-2</v>
      </c>
      <c r="Q76" s="1" t="s">
        <v>121</v>
      </c>
      <c r="R76" s="1">
        <v>0</v>
      </c>
      <c r="S76" s="1" t="str">
        <f>""</f>
        <v/>
      </c>
      <c r="T76" s="1" t="s">
        <v>29</v>
      </c>
      <c r="U76" s="1" t="s">
        <v>30</v>
      </c>
      <c r="V76" s="1">
        <v>0</v>
      </c>
    </row>
    <row r="77" spans="2:22" x14ac:dyDescent="0.15">
      <c r="B77" s="1" t="str">
        <f>"134****9004"</f>
        <v>134****9004</v>
      </c>
      <c r="C77" s="1" t="s">
        <v>23</v>
      </c>
      <c r="D77" s="1" t="str">
        <f t="shared" si="6"/>
        <v>89177328</v>
      </c>
      <c r="E77" s="1" t="s">
        <v>24</v>
      </c>
      <c r="F77" s="1" t="str">
        <f t="shared" si="7"/>
        <v>0010</v>
      </c>
      <c r="G77" s="1" t="str">
        <f>""</f>
        <v/>
      </c>
      <c r="H77" s="1" t="str">
        <f>"0034"</f>
        <v>0034</v>
      </c>
      <c r="I77" s="1" t="s">
        <v>31</v>
      </c>
      <c r="J77" s="1" t="str">
        <f>"01043977568"</f>
        <v>01043977568</v>
      </c>
      <c r="K77" s="1" t="str">
        <f>"2017-04-14 13:49:38"</f>
        <v>2017-04-14 13:49:38</v>
      </c>
      <c r="L77" s="1" t="str">
        <f>"-"</f>
        <v>-</v>
      </c>
      <c r="M77" s="2">
        <v>0</v>
      </c>
      <c r="N77" s="1" t="s">
        <v>33</v>
      </c>
      <c r="O77" s="1" t="s">
        <v>34</v>
      </c>
      <c r="P77" s="2">
        <v>2.3148148148148147E-5</v>
      </c>
      <c r="Q77" s="1" t="str">
        <f>""</f>
        <v/>
      </c>
      <c r="R77" s="1">
        <v>0</v>
      </c>
      <c r="S77" s="1" t="str">
        <f>""</f>
        <v/>
      </c>
      <c r="T77" s="1" t="s">
        <v>29</v>
      </c>
      <c r="U77" s="1" t="s">
        <v>30</v>
      </c>
      <c r="V77" s="1">
        <v>0</v>
      </c>
    </row>
    <row r="78" spans="2:22" x14ac:dyDescent="0.15">
      <c r="B78" s="1" t="str">
        <f>"131****2816"</f>
        <v>131****2816</v>
      </c>
      <c r="C78" s="1" t="s">
        <v>122</v>
      </c>
      <c r="D78" s="1" t="str">
        <f t="shared" si="6"/>
        <v>89177328</v>
      </c>
      <c r="E78" s="1" t="s">
        <v>24</v>
      </c>
      <c r="F78" s="1" t="str">
        <f t="shared" si="7"/>
        <v>0010</v>
      </c>
      <c r="G78" s="1" t="str">
        <f>""</f>
        <v/>
      </c>
      <c r="H78" s="1" t="str">
        <f>"0031"</f>
        <v>0031</v>
      </c>
      <c r="I78" s="1" t="s">
        <v>95</v>
      </c>
      <c r="J78" s="1" t="str">
        <f>"01043977565"</f>
        <v>01043977565</v>
      </c>
      <c r="K78" s="1" t="str">
        <f>"2017-04-14 13:33:57"</f>
        <v>2017-04-14 13:33:57</v>
      </c>
      <c r="L78" s="1" t="str">
        <f>"2017-04-14 13:34:05"</f>
        <v>2017-04-14 13:34:05</v>
      </c>
      <c r="M78" s="2">
        <v>2.5115740740740741E-3</v>
      </c>
      <c r="N78" s="1" t="s">
        <v>26</v>
      </c>
      <c r="O78" s="1" t="s">
        <v>27</v>
      </c>
      <c r="P78" s="2">
        <v>2.6041666666666665E-3</v>
      </c>
      <c r="Q78" s="1" t="s">
        <v>123</v>
      </c>
      <c r="R78" s="1">
        <v>0</v>
      </c>
      <c r="S78" s="1" t="str">
        <f>""</f>
        <v/>
      </c>
      <c r="T78" s="1" t="s">
        <v>29</v>
      </c>
      <c r="U78" s="1" t="s">
        <v>30</v>
      </c>
      <c r="V78" s="1">
        <v>0</v>
      </c>
    </row>
    <row r="79" spans="2:22" x14ac:dyDescent="0.15">
      <c r="B79" s="1" t="str">
        <f>"133****6805"</f>
        <v>133****6805</v>
      </c>
      <c r="C79" s="1" t="s">
        <v>109</v>
      </c>
      <c r="D79" s="1" t="str">
        <f t="shared" si="6"/>
        <v>89177328</v>
      </c>
      <c r="E79" s="1" t="s">
        <v>24</v>
      </c>
      <c r="F79" s="1" t="str">
        <f t="shared" si="7"/>
        <v>0010</v>
      </c>
      <c r="G79" s="1" t="str">
        <f>""</f>
        <v/>
      </c>
      <c r="H79" s="1" t="str">
        <f>"0034"</f>
        <v>0034</v>
      </c>
      <c r="I79" s="1" t="s">
        <v>31</v>
      </c>
      <c r="J79" s="1" t="str">
        <f>"01043977568"</f>
        <v>01043977568</v>
      </c>
      <c r="K79" s="1" t="str">
        <f>"2017-04-14 13:33:34"</f>
        <v>2017-04-14 13:33:34</v>
      </c>
      <c r="L79" s="1" t="str">
        <f>"2017-04-14 13:33:43"</f>
        <v>2017-04-14 13:33:43</v>
      </c>
      <c r="M79" s="2">
        <v>1.0300925925925927E-2</v>
      </c>
      <c r="N79" s="1" t="s">
        <v>26</v>
      </c>
      <c r="O79" s="1" t="s">
        <v>34</v>
      </c>
      <c r="P79" s="2">
        <v>1.0405092592592593E-2</v>
      </c>
      <c r="Q79" s="1" t="s">
        <v>124</v>
      </c>
      <c r="R79" s="1">
        <v>0</v>
      </c>
      <c r="S79" s="1" t="str">
        <f>""</f>
        <v/>
      </c>
      <c r="T79" s="1" t="s">
        <v>29</v>
      </c>
      <c r="U79" s="1" t="s">
        <v>30</v>
      </c>
      <c r="V79" s="1">
        <v>0</v>
      </c>
    </row>
    <row r="80" spans="2:22" x14ac:dyDescent="0.15">
      <c r="B80" s="1" t="str">
        <f>"0315137****6928"</f>
        <v>0315137****6928</v>
      </c>
      <c r="C80" s="1" t="s">
        <v>76</v>
      </c>
      <c r="D80" s="1" t="str">
        <f t="shared" si="6"/>
        <v>89177328</v>
      </c>
      <c r="E80" s="1" t="s">
        <v>24</v>
      </c>
      <c r="F80" s="1" t="str">
        <f t="shared" si="7"/>
        <v>0010</v>
      </c>
      <c r="G80" s="1" t="str">
        <f>""</f>
        <v/>
      </c>
      <c r="H80" s="1" t="str">
        <f>"0034"</f>
        <v>0034</v>
      </c>
      <c r="I80" s="1" t="s">
        <v>31</v>
      </c>
      <c r="J80" s="1" t="str">
        <f>"01043977568"</f>
        <v>01043977568</v>
      </c>
      <c r="K80" s="1" t="str">
        <f>"2017-04-14 13:29:32"</f>
        <v>2017-04-14 13:29:32</v>
      </c>
      <c r="L80" s="1" t="str">
        <f>"2017-04-14 13:29:43"</f>
        <v>2017-04-14 13:29:43</v>
      </c>
      <c r="M80" s="2">
        <v>1.2847222222222223E-3</v>
      </c>
      <c r="N80" s="1" t="s">
        <v>26</v>
      </c>
      <c r="O80" s="1" t="s">
        <v>27</v>
      </c>
      <c r="P80" s="2">
        <v>1.4120370370370369E-3</v>
      </c>
      <c r="Q80" s="1" t="s">
        <v>125</v>
      </c>
      <c r="R80" s="1">
        <v>0</v>
      </c>
      <c r="S80" s="1" t="str">
        <f>""</f>
        <v/>
      </c>
      <c r="T80" s="1" t="s">
        <v>29</v>
      </c>
      <c r="U80" s="1" t="s">
        <v>30</v>
      </c>
      <c r="V80" s="1">
        <v>0</v>
      </c>
    </row>
    <row r="81" spans="2:22" x14ac:dyDescent="0.15">
      <c r="B81" s="1" t="str">
        <f>"156****1490"</f>
        <v>156****1490</v>
      </c>
      <c r="C81" s="1" t="s">
        <v>126</v>
      </c>
      <c r="D81" s="1" t="str">
        <f t="shared" si="6"/>
        <v>89177328</v>
      </c>
      <c r="E81" s="1" t="s">
        <v>24</v>
      </c>
      <c r="F81" s="1" t="str">
        <f t="shared" si="7"/>
        <v>0010</v>
      </c>
      <c r="G81" s="1" t="str">
        <f>""</f>
        <v/>
      </c>
      <c r="H81" s="1" t="str">
        <f>""</f>
        <v/>
      </c>
      <c r="I81" s="1" t="str">
        <f>""</f>
        <v/>
      </c>
      <c r="J81" s="1" t="str">
        <f>""</f>
        <v/>
      </c>
      <c r="K81" s="1" t="str">
        <f>"2017-04-14 13:18:29"</f>
        <v>2017-04-14 13:18:29</v>
      </c>
      <c r="L81" s="1" t="str">
        <f>"-"</f>
        <v>-</v>
      </c>
      <c r="M81" s="2">
        <v>0</v>
      </c>
      <c r="N81" s="1" t="s">
        <v>55</v>
      </c>
      <c r="O81" s="1" t="s">
        <v>34</v>
      </c>
      <c r="P81" s="2">
        <v>2.3148148148148147E-5</v>
      </c>
      <c r="Q81" s="1" t="str">
        <f>""</f>
        <v/>
      </c>
      <c r="R81" s="1">
        <v>0</v>
      </c>
      <c r="S81" s="1" t="str">
        <f>""</f>
        <v/>
      </c>
      <c r="T81" s="1" t="s">
        <v>29</v>
      </c>
      <c r="U81" s="1" t="s">
        <v>30</v>
      </c>
      <c r="V81" s="1">
        <v>0</v>
      </c>
    </row>
    <row r="82" spans="2:22" x14ac:dyDescent="0.15">
      <c r="B82" s="1" t="str">
        <f>"135****9287"</f>
        <v>135****9287</v>
      </c>
      <c r="C82" s="1" t="s">
        <v>127</v>
      </c>
      <c r="D82" s="1" t="str">
        <f t="shared" si="6"/>
        <v>89177328</v>
      </c>
      <c r="E82" s="1" t="s">
        <v>24</v>
      </c>
      <c r="F82" s="1" t="str">
        <f t="shared" si="7"/>
        <v>0010</v>
      </c>
      <c r="G82" s="1" t="str">
        <f>""</f>
        <v/>
      </c>
      <c r="H82" s="1" t="str">
        <f>"0031"</f>
        <v>0031</v>
      </c>
      <c r="I82" s="1" t="s">
        <v>95</v>
      </c>
      <c r="J82" s="1" t="str">
        <f>"01043977565"</f>
        <v>01043977565</v>
      </c>
      <c r="K82" s="1" t="str">
        <f>"2017-04-14 13:17:28"</f>
        <v>2017-04-14 13:17:28</v>
      </c>
      <c r="L82" s="1" t="str">
        <f>"2017-04-14 13:17:36"</f>
        <v>2017-04-14 13:17:36</v>
      </c>
      <c r="M82" s="2">
        <v>4.8495370370370368E-3</v>
      </c>
      <c r="N82" s="1" t="s">
        <v>26</v>
      </c>
      <c r="O82" s="1" t="s">
        <v>27</v>
      </c>
      <c r="P82" s="2">
        <v>4.9421296296296288E-3</v>
      </c>
      <c r="Q82" s="1" t="s">
        <v>128</v>
      </c>
      <c r="R82" s="1">
        <v>0</v>
      </c>
      <c r="S82" s="1" t="str">
        <f>""</f>
        <v/>
      </c>
      <c r="T82" s="1" t="s">
        <v>29</v>
      </c>
      <c r="U82" s="1" t="s">
        <v>30</v>
      </c>
      <c r="V82" s="1">
        <v>0</v>
      </c>
    </row>
    <row r="83" spans="2:22" x14ac:dyDescent="0.15">
      <c r="B83" s="1" t="str">
        <f>"139****4990"</f>
        <v>139****4990</v>
      </c>
      <c r="C83" s="1" t="s">
        <v>105</v>
      </c>
      <c r="D83" s="1" t="str">
        <f>"4000108333"</f>
        <v>4000108333</v>
      </c>
      <c r="E83" s="1" t="s">
        <v>53</v>
      </c>
      <c r="F83" s="1" t="str">
        <f>"0001"</f>
        <v>0001</v>
      </c>
      <c r="G83" s="1" t="str">
        <f>""</f>
        <v/>
      </c>
      <c r="H83" s="1" t="str">
        <f>"0001"</f>
        <v>0001</v>
      </c>
      <c r="I83" s="1" t="s">
        <v>129</v>
      </c>
      <c r="J83" s="1" t="str">
        <f>"13699138136"</f>
        <v>13699138136</v>
      </c>
      <c r="K83" s="1" t="str">
        <f>"2017-04-14 13:10:50"</f>
        <v>2017-04-14 13:10:50</v>
      </c>
      <c r="L83" s="1" t="str">
        <f>"2017-04-14 13:13:15"</f>
        <v>2017-04-14 13:13:15</v>
      </c>
      <c r="M83" s="2">
        <v>6.5393518518518517E-3</v>
      </c>
      <c r="N83" s="1" t="s">
        <v>26</v>
      </c>
      <c r="O83" s="1" t="s">
        <v>27</v>
      </c>
      <c r="P83" s="2">
        <v>8.217592592592594E-3</v>
      </c>
      <c r="Q83" s="1" t="s">
        <v>130</v>
      </c>
      <c r="R83" s="1">
        <v>1.44</v>
      </c>
      <c r="S83" s="1" t="str">
        <f>""</f>
        <v/>
      </c>
      <c r="T83" s="1" t="s">
        <v>29</v>
      </c>
      <c r="U83" s="1" t="s">
        <v>30</v>
      </c>
      <c r="V83" s="1">
        <v>0</v>
      </c>
    </row>
    <row r="84" spans="2:22" x14ac:dyDescent="0.15">
      <c r="B84" s="1" t="str">
        <f>"132****8830"</f>
        <v>132****8830</v>
      </c>
      <c r="C84" s="1" t="s">
        <v>23</v>
      </c>
      <c r="D84" s="1" t="str">
        <f t="shared" ref="D84:D96" si="8">"89177328"</f>
        <v>89177328</v>
      </c>
      <c r="E84" s="1" t="s">
        <v>24</v>
      </c>
      <c r="F84" s="1" t="str">
        <f t="shared" ref="F84:F96" si="9">"0010"</f>
        <v>0010</v>
      </c>
      <c r="G84" s="1" t="str">
        <f>""</f>
        <v/>
      </c>
      <c r="H84" s="1" t="str">
        <f>"0034"</f>
        <v>0034</v>
      </c>
      <c r="I84" s="1" t="s">
        <v>31</v>
      </c>
      <c r="J84" s="1" t="str">
        <f>"01043977568"</f>
        <v>01043977568</v>
      </c>
      <c r="K84" s="1" t="str">
        <f>"2017-04-14 13:07:23"</f>
        <v>2017-04-14 13:07:23</v>
      </c>
      <c r="L84" s="1" t="str">
        <f>"2017-04-14 13:07:32"</f>
        <v>2017-04-14 13:07:32</v>
      </c>
      <c r="M84" s="2">
        <v>9.1550925925925931E-3</v>
      </c>
      <c r="N84" s="1" t="s">
        <v>26</v>
      </c>
      <c r="O84" s="1" t="s">
        <v>34</v>
      </c>
      <c r="P84" s="2">
        <v>9.2592592592592605E-3</v>
      </c>
      <c r="Q84" s="1" t="s">
        <v>131</v>
      </c>
      <c r="R84" s="1">
        <v>0</v>
      </c>
      <c r="S84" s="1" t="str">
        <f>""</f>
        <v/>
      </c>
      <c r="T84" s="1" t="s">
        <v>29</v>
      </c>
      <c r="U84" s="1" t="s">
        <v>30</v>
      </c>
      <c r="V84" s="1">
        <v>0</v>
      </c>
    </row>
    <row r="85" spans="2:22" x14ac:dyDescent="0.15">
      <c r="B85" s="1" t="str">
        <f>"186****0366"</f>
        <v>186****0366</v>
      </c>
      <c r="C85" s="1" t="s">
        <v>132</v>
      </c>
      <c r="D85" s="1" t="str">
        <f t="shared" si="8"/>
        <v>89177328</v>
      </c>
      <c r="E85" s="1" t="s">
        <v>24</v>
      </c>
      <c r="F85" s="1" t="str">
        <f t="shared" si="9"/>
        <v>0010</v>
      </c>
      <c r="G85" s="1" t="str">
        <f>""</f>
        <v/>
      </c>
      <c r="H85" s="1" t="str">
        <f>"0034"</f>
        <v>0034</v>
      </c>
      <c r="I85" s="1" t="s">
        <v>31</v>
      </c>
      <c r="J85" s="1" t="str">
        <f>"01043977568"</f>
        <v>01043977568</v>
      </c>
      <c r="K85" s="1" t="str">
        <f>"2017-04-14 13:05:18"</f>
        <v>2017-04-14 13:05:18</v>
      </c>
      <c r="L85" s="1" t="str">
        <f>"2017-04-14 13:05:46"</f>
        <v>2017-04-14 13:05:46</v>
      </c>
      <c r="M85" s="2">
        <v>6.7129629629629625E-4</v>
      </c>
      <c r="N85" s="1" t="s">
        <v>26</v>
      </c>
      <c r="O85" s="1" t="s">
        <v>27</v>
      </c>
      <c r="P85" s="2">
        <v>9.9537037037037042E-4</v>
      </c>
      <c r="Q85" s="1" t="s">
        <v>133</v>
      </c>
      <c r="R85" s="1">
        <v>0</v>
      </c>
      <c r="S85" s="1" t="str">
        <f>""</f>
        <v/>
      </c>
      <c r="T85" s="1" t="s">
        <v>29</v>
      </c>
      <c r="U85" s="1" t="s">
        <v>30</v>
      </c>
      <c r="V85" s="1">
        <v>0</v>
      </c>
    </row>
    <row r="86" spans="2:22" x14ac:dyDescent="0.15">
      <c r="B86" s="1" t="str">
        <f>"010****0268"</f>
        <v>010****0268</v>
      </c>
      <c r="C86" s="1" t="s">
        <v>23</v>
      </c>
      <c r="D86" s="1" t="str">
        <f t="shared" si="8"/>
        <v>89177328</v>
      </c>
      <c r="E86" s="1" t="s">
        <v>24</v>
      </c>
      <c r="F86" s="1" t="str">
        <f t="shared" si="9"/>
        <v>0010</v>
      </c>
      <c r="G86" s="1" t="str">
        <f>""</f>
        <v/>
      </c>
      <c r="H86" s="1" t="str">
        <f>"0032"</f>
        <v>0032</v>
      </c>
      <c r="I86" s="1" t="s">
        <v>119</v>
      </c>
      <c r="J86" s="1" t="str">
        <f>"01043977566"</f>
        <v>01043977566</v>
      </c>
      <c r="K86" s="1" t="str">
        <f>"2017-04-14 12:51:30"</f>
        <v>2017-04-14 12:51:30</v>
      </c>
      <c r="L86" s="1" t="str">
        <f>"2017-04-14 12:51:48"</f>
        <v>2017-04-14 12:51:48</v>
      </c>
      <c r="M86" s="2">
        <v>5.347222222222222E-3</v>
      </c>
      <c r="N86" s="1" t="s">
        <v>26</v>
      </c>
      <c r="O86" s="1" t="s">
        <v>34</v>
      </c>
      <c r="P86" s="2">
        <v>5.5555555555555558E-3</v>
      </c>
      <c r="Q86" s="1" t="s">
        <v>134</v>
      </c>
      <c r="R86" s="1">
        <v>0</v>
      </c>
      <c r="S86" s="1" t="str">
        <f>""</f>
        <v/>
      </c>
      <c r="T86" s="1" t="s">
        <v>29</v>
      </c>
      <c r="U86" s="1" t="s">
        <v>30</v>
      </c>
      <c r="V86" s="1">
        <v>0</v>
      </c>
    </row>
    <row r="87" spans="2:22" x14ac:dyDescent="0.15">
      <c r="B87" s="1" t="str">
        <f>"139****4990"</f>
        <v>139****4990</v>
      </c>
      <c r="C87" s="1" t="s">
        <v>105</v>
      </c>
      <c r="D87" s="1" t="str">
        <f t="shared" si="8"/>
        <v>89177328</v>
      </c>
      <c r="E87" s="1" t="s">
        <v>24</v>
      </c>
      <c r="F87" s="1" t="str">
        <f t="shared" si="9"/>
        <v>0010</v>
      </c>
      <c r="G87" s="1" t="str">
        <f>""</f>
        <v/>
      </c>
      <c r="H87" s="1" t="str">
        <f>"0017"</f>
        <v>0017</v>
      </c>
      <c r="I87" s="1" t="s">
        <v>135</v>
      </c>
      <c r="J87" s="1" t="str">
        <f>"01043989717"</f>
        <v>01043989717</v>
      </c>
      <c r="K87" s="1" t="str">
        <f>"2017-04-14 12:46:44"</f>
        <v>2017-04-14 12:46:44</v>
      </c>
      <c r="L87" s="1" t="str">
        <f>"2017-04-14 12:46:53"</f>
        <v>2017-04-14 12:46:53</v>
      </c>
      <c r="M87" s="2">
        <v>1.53125E-2</v>
      </c>
      <c r="N87" s="1" t="s">
        <v>26</v>
      </c>
      <c r="O87" s="1" t="s">
        <v>27</v>
      </c>
      <c r="P87" s="2">
        <v>1.5416666666666667E-2</v>
      </c>
      <c r="Q87" s="1" t="s">
        <v>136</v>
      </c>
      <c r="R87" s="1">
        <v>0</v>
      </c>
      <c r="S87" s="1" t="str">
        <f>""</f>
        <v/>
      </c>
      <c r="T87" s="1" t="s">
        <v>29</v>
      </c>
      <c r="U87" s="1" t="s">
        <v>30</v>
      </c>
      <c r="V87" s="1">
        <v>0</v>
      </c>
    </row>
    <row r="88" spans="2:22" x14ac:dyDescent="0.15">
      <c r="B88" s="1" t="str">
        <f>"138****0107"</f>
        <v>138****0107</v>
      </c>
      <c r="C88" s="1" t="s">
        <v>137</v>
      </c>
      <c r="D88" s="1" t="str">
        <f t="shared" si="8"/>
        <v>89177328</v>
      </c>
      <c r="E88" s="1" t="s">
        <v>24</v>
      </c>
      <c r="F88" s="1" t="str">
        <f t="shared" si="9"/>
        <v>0010</v>
      </c>
      <c r="G88" s="1" t="str">
        <f>""</f>
        <v/>
      </c>
      <c r="H88" s="1" t="str">
        <f>"0017"</f>
        <v>0017</v>
      </c>
      <c r="I88" s="1" t="s">
        <v>135</v>
      </c>
      <c r="J88" s="1" t="str">
        <f>"01043989717"</f>
        <v>01043989717</v>
      </c>
      <c r="K88" s="1" t="str">
        <f>"2017-04-14 12:23:47"</f>
        <v>2017-04-14 12:23:47</v>
      </c>
      <c r="L88" s="1" t="str">
        <f>"2017-04-14 12:23:53"</f>
        <v>2017-04-14 12:23:53</v>
      </c>
      <c r="M88" s="2">
        <v>1.3078703703703705E-3</v>
      </c>
      <c r="N88" s="1" t="s">
        <v>26</v>
      </c>
      <c r="O88" s="1" t="s">
        <v>27</v>
      </c>
      <c r="P88" s="2">
        <v>1.3773148148148147E-3</v>
      </c>
      <c r="Q88" s="1" t="s">
        <v>138</v>
      </c>
      <c r="R88" s="1">
        <v>0</v>
      </c>
      <c r="S88" s="1" t="str">
        <f>""</f>
        <v/>
      </c>
      <c r="T88" s="1" t="s">
        <v>29</v>
      </c>
      <c r="U88" s="1" t="s">
        <v>30</v>
      </c>
      <c r="V88" s="1">
        <v>0</v>
      </c>
    </row>
    <row r="89" spans="2:22" x14ac:dyDescent="0.15">
      <c r="B89" s="1" t="str">
        <f>"183****5096"</f>
        <v>183****5096</v>
      </c>
      <c r="C89" s="1" t="s">
        <v>23</v>
      </c>
      <c r="D89" s="1" t="str">
        <f t="shared" si="8"/>
        <v>89177328</v>
      </c>
      <c r="E89" s="1" t="s">
        <v>24</v>
      </c>
      <c r="F89" s="1" t="str">
        <f t="shared" si="9"/>
        <v>0010</v>
      </c>
      <c r="G89" s="1" t="str">
        <f>""</f>
        <v/>
      </c>
      <c r="H89" s="1" t="str">
        <f>"0031"</f>
        <v>0031</v>
      </c>
      <c r="I89" s="1" t="s">
        <v>95</v>
      </c>
      <c r="J89" s="1" t="str">
        <f>"01043977565"</f>
        <v>01043977565</v>
      </c>
      <c r="K89" s="1" t="str">
        <f>"2017-04-14 12:16:19"</f>
        <v>2017-04-14 12:16:19</v>
      </c>
      <c r="L89" s="1" t="str">
        <f>"2017-04-14 12:16:27"</f>
        <v>2017-04-14 12:16:27</v>
      </c>
      <c r="M89" s="2">
        <v>1.5046296296296297E-4</v>
      </c>
      <c r="N89" s="1" t="s">
        <v>26</v>
      </c>
      <c r="O89" s="1" t="s">
        <v>34</v>
      </c>
      <c r="P89" s="2">
        <v>2.4305555555555552E-4</v>
      </c>
      <c r="Q89" s="1" t="s">
        <v>139</v>
      </c>
      <c r="R89" s="1">
        <v>0</v>
      </c>
      <c r="S89" s="1" t="str">
        <f>""</f>
        <v/>
      </c>
      <c r="T89" s="1" t="s">
        <v>29</v>
      </c>
      <c r="U89" s="1" t="s">
        <v>30</v>
      </c>
      <c r="V89" s="1">
        <v>0</v>
      </c>
    </row>
    <row r="90" spans="2:22" x14ac:dyDescent="0.15">
      <c r="B90" s="1" t="str">
        <f>"156****2913"</f>
        <v>156****2913</v>
      </c>
      <c r="C90" s="1" t="s">
        <v>99</v>
      </c>
      <c r="D90" s="1" t="str">
        <f t="shared" si="8"/>
        <v>89177328</v>
      </c>
      <c r="E90" s="1" t="s">
        <v>24</v>
      </c>
      <c r="F90" s="1" t="str">
        <f t="shared" si="9"/>
        <v>0010</v>
      </c>
      <c r="G90" s="1" t="str">
        <f>""</f>
        <v/>
      </c>
      <c r="H90" s="1" t="str">
        <f>"0034"</f>
        <v>0034</v>
      </c>
      <c r="I90" s="1" t="s">
        <v>31</v>
      </c>
      <c r="J90" s="1" t="str">
        <f>"01043977568"</f>
        <v>01043977568</v>
      </c>
      <c r="K90" s="1" t="str">
        <f>"2017-04-14 12:16:16"</f>
        <v>2017-04-14 12:16:16</v>
      </c>
      <c r="L90" s="1" t="str">
        <f>"2017-04-14 12:16:22"</f>
        <v>2017-04-14 12:16:22</v>
      </c>
      <c r="M90" s="2">
        <v>9.7106481481481471E-3</v>
      </c>
      <c r="N90" s="1" t="s">
        <v>26</v>
      </c>
      <c r="O90" s="1" t="s">
        <v>27</v>
      </c>
      <c r="P90" s="2">
        <v>9.780092592592592E-3</v>
      </c>
      <c r="Q90" s="1" t="s">
        <v>140</v>
      </c>
      <c r="R90" s="1">
        <v>0</v>
      </c>
      <c r="S90" s="1" t="str">
        <f>""</f>
        <v/>
      </c>
      <c r="T90" s="1" t="s">
        <v>29</v>
      </c>
      <c r="U90" s="1" t="s">
        <v>30</v>
      </c>
      <c r="V90" s="1">
        <v>0</v>
      </c>
    </row>
    <row r="91" spans="2:22" x14ac:dyDescent="0.15">
      <c r="B91" s="1" t="str">
        <f>"139****3660"</f>
        <v>139****3660</v>
      </c>
      <c r="C91" s="1" t="s">
        <v>23</v>
      </c>
      <c r="D91" s="1" t="str">
        <f t="shared" si="8"/>
        <v>89177328</v>
      </c>
      <c r="E91" s="1" t="s">
        <v>24</v>
      </c>
      <c r="F91" s="1" t="str">
        <f t="shared" si="9"/>
        <v>0010</v>
      </c>
      <c r="G91" s="1" t="str">
        <f>""</f>
        <v/>
      </c>
      <c r="H91" s="1" t="str">
        <f>"0034"</f>
        <v>0034</v>
      </c>
      <c r="I91" s="1" t="s">
        <v>31</v>
      </c>
      <c r="J91" s="1" t="str">
        <f>"01043977568"</f>
        <v>01043977568</v>
      </c>
      <c r="K91" s="1" t="str">
        <f>"2017-04-14 12:05:38"</f>
        <v>2017-04-14 12:05:38</v>
      </c>
      <c r="L91" s="1" t="str">
        <f>"2017-04-14 12:05:48"</f>
        <v>2017-04-14 12:05:48</v>
      </c>
      <c r="M91" s="2">
        <v>6.4930555555555549E-3</v>
      </c>
      <c r="N91" s="1" t="s">
        <v>26</v>
      </c>
      <c r="O91" s="1" t="s">
        <v>34</v>
      </c>
      <c r="P91" s="2">
        <v>6.6087962962962966E-3</v>
      </c>
      <c r="Q91" s="1" t="s">
        <v>141</v>
      </c>
      <c r="R91" s="1">
        <v>0</v>
      </c>
      <c r="S91" s="1" t="str">
        <f>""</f>
        <v/>
      </c>
      <c r="T91" s="1" t="s">
        <v>29</v>
      </c>
      <c r="U91" s="1" t="s">
        <v>30</v>
      </c>
      <c r="V91" s="1">
        <v>0</v>
      </c>
    </row>
    <row r="92" spans="2:22" x14ac:dyDescent="0.15">
      <c r="B92" s="1" t="str">
        <f>"022186****6352"</f>
        <v>022186****6352</v>
      </c>
      <c r="C92" s="1" t="s">
        <v>35</v>
      </c>
      <c r="D92" s="1" t="str">
        <f t="shared" si="8"/>
        <v>89177328</v>
      </c>
      <c r="E92" s="1" t="s">
        <v>24</v>
      </c>
      <c r="F92" s="1" t="str">
        <f t="shared" si="9"/>
        <v>0010</v>
      </c>
      <c r="G92" s="1" t="str">
        <f>""</f>
        <v/>
      </c>
      <c r="H92" s="1" t="str">
        <f>"0032"</f>
        <v>0032</v>
      </c>
      <c r="I92" s="1" t="s">
        <v>119</v>
      </c>
      <c r="J92" s="1" t="str">
        <f>"01043977566"</f>
        <v>01043977566</v>
      </c>
      <c r="K92" s="1" t="str">
        <f>"2017-04-14 12:01:28"</f>
        <v>2017-04-14 12:01:28</v>
      </c>
      <c r="L92" s="1" t="str">
        <f>"2017-04-14 12:01:43"</f>
        <v>2017-04-14 12:01:43</v>
      </c>
      <c r="M92" s="2">
        <v>1.2465277777777777E-2</v>
      </c>
      <c r="N92" s="1" t="s">
        <v>26</v>
      </c>
      <c r="O92" s="1" t="s">
        <v>34</v>
      </c>
      <c r="P92" s="2">
        <v>1.2638888888888889E-2</v>
      </c>
      <c r="Q92" s="1" t="s">
        <v>142</v>
      </c>
      <c r="R92" s="1">
        <v>0</v>
      </c>
      <c r="S92" s="1" t="str">
        <f>""</f>
        <v/>
      </c>
      <c r="T92" s="1" t="s">
        <v>29</v>
      </c>
      <c r="U92" s="1" t="s">
        <v>30</v>
      </c>
      <c r="V92" s="1">
        <v>0</v>
      </c>
    </row>
    <row r="93" spans="2:22" x14ac:dyDescent="0.15">
      <c r="B93" s="1" t="str">
        <f>"173****5696"</f>
        <v>173****5696</v>
      </c>
      <c r="C93" s="1" t="s">
        <v>23</v>
      </c>
      <c r="D93" s="1" t="str">
        <f t="shared" si="8"/>
        <v>89177328</v>
      </c>
      <c r="E93" s="1" t="s">
        <v>24</v>
      </c>
      <c r="F93" s="1" t="str">
        <f t="shared" si="9"/>
        <v>0010</v>
      </c>
      <c r="G93" s="1" t="str">
        <f>""</f>
        <v/>
      </c>
      <c r="H93" s="1" t="str">
        <f>"0036"</f>
        <v>0036</v>
      </c>
      <c r="I93" s="1" t="s">
        <v>143</v>
      </c>
      <c r="J93" s="1" t="str">
        <f>"01043977573"</f>
        <v>01043977573</v>
      </c>
      <c r="K93" s="1" t="str">
        <f>"2017-04-14 11:56:18"</f>
        <v>2017-04-14 11:56:18</v>
      </c>
      <c r="L93" s="1" t="str">
        <f>"2017-04-14 11:56:26"</f>
        <v>2017-04-14 11:56:26</v>
      </c>
      <c r="M93" s="2">
        <v>4.4212962962962956E-3</v>
      </c>
      <c r="N93" s="1" t="s">
        <v>26</v>
      </c>
      <c r="O93" s="1" t="s">
        <v>27</v>
      </c>
      <c r="P93" s="2">
        <v>4.5138888888888893E-3</v>
      </c>
      <c r="Q93" s="1" t="s">
        <v>144</v>
      </c>
      <c r="R93" s="1">
        <v>0</v>
      </c>
      <c r="S93" s="1" t="str">
        <f>""</f>
        <v/>
      </c>
      <c r="T93" s="1" t="s">
        <v>29</v>
      </c>
      <c r="U93" s="1" t="s">
        <v>30</v>
      </c>
      <c r="V93" s="1">
        <v>0</v>
      </c>
    </row>
    <row r="94" spans="2:22" x14ac:dyDescent="0.15">
      <c r="B94" s="1" t="str">
        <f>"136****5007"</f>
        <v>136****5007</v>
      </c>
      <c r="C94" s="1" t="s">
        <v>78</v>
      </c>
      <c r="D94" s="1" t="str">
        <f t="shared" si="8"/>
        <v>89177328</v>
      </c>
      <c r="E94" s="1" t="s">
        <v>24</v>
      </c>
      <c r="F94" s="1" t="str">
        <f t="shared" si="9"/>
        <v>0010</v>
      </c>
      <c r="G94" s="1" t="str">
        <f>""</f>
        <v/>
      </c>
      <c r="H94" s="1" t="str">
        <f>"0036"</f>
        <v>0036</v>
      </c>
      <c r="I94" s="1" t="s">
        <v>143</v>
      </c>
      <c r="J94" s="1" t="str">
        <f>"01043977573"</f>
        <v>01043977573</v>
      </c>
      <c r="K94" s="1" t="str">
        <f>"2017-04-14 11:54:02"</f>
        <v>2017-04-14 11:54:02</v>
      </c>
      <c r="L94" s="1" t="str">
        <f>"2017-04-14 11:54:08"</f>
        <v>2017-04-14 11:54:08</v>
      </c>
      <c r="M94" s="2">
        <v>9.8379629629629642E-4</v>
      </c>
      <c r="N94" s="1" t="s">
        <v>26</v>
      </c>
      <c r="O94" s="1" t="s">
        <v>34</v>
      </c>
      <c r="P94" s="2">
        <v>1.0532407407407407E-3</v>
      </c>
      <c r="Q94" s="1" t="s">
        <v>145</v>
      </c>
      <c r="R94" s="1">
        <v>0</v>
      </c>
      <c r="S94" s="1" t="str">
        <f>""</f>
        <v/>
      </c>
      <c r="T94" s="1" t="s">
        <v>29</v>
      </c>
      <c r="U94" s="1" t="s">
        <v>30</v>
      </c>
      <c r="V94" s="1">
        <v>0</v>
      </c>
    </row>
    <row r="95" spans="2:22" x14ac:dyDescent="0.15">
      <c r="B95" s="1" t="str">
        <f>"130****5656"</f>
        <v>130****5656</v>
      </c>
      <c r="C95" s="1" t="s">
        <v>112</v>
      </c>
      <c r="D95" s="1" t="str">
        <f t="shared" si="8"/>
        <v>89177328</v>
      </c>
      <c r="E95" s="1" t="s">
        <v>24</v>
      </c>
      <c r="F95" s="1" t="str">
        <f t="shared" si="9"/>
        <v>0010</v>
      </c>
      <c r="G95" s="1" t="str">
        <f>""</f>
        <v/>
      </c>
      <c r="H95" s="1" t="str">
        <f>"0018"</f>
        <v>0018</v>
      </c>
      <c r="I95" s="1" t="s">
        <v>36</v>
      </c>
      <c r="J95" s="1" t="str">
        <f>"01043977572"</f>
        <v>01043977572</v>
      </c>
      <c r="K95" s="1" t="str">
        <f>"2017-04-14 11:48:45"</f>
        <v>2017-04-14 11:48:45</v>
      </c>
      <c r="L95" s="1" t="str">
        <f>"2017-04-14 11:48:49"</f>
        <v>2017-04-14 11:48:49</v>
      </c>
      <c r="M95" s="2">
        <v>2.199074074074074E-4</v>
      </c>
      <c r="N95" s="1" t="s">
        <v>26</v>
      </c>
      <c r="O95" s="1" t="s">
        <v>34</v>
      </c>
      <c r="P95" s="2">
        <v>2.6620370370370372E-4</v>
      </c>
      <c r="Q95" s="1" t="s">
        <v>146</v>
      </c>
      <c r="R95" s="1">
        <v>0</v>
      </c>
      <c r="S95" s="1" t="str">
        <f>""</f>
        <v/>
      </c>
      <c r="T95" s="1" t="s">
        <v>29</v>
      </c>
      <c r="U95" s="1" t="s">
        <v>30</v>
      </c>
      <c r="V95" s="1">
        <v>0</v>
      </c>
    </row>
    <row r="96" spans="2:22" x14ac:dyDescent="0.15">
      <c r="B96" s="1" t="str">
        <f>"010****2541"</f>
        <v>010****2541</v>
      </c>
      <c r="C96" s="1" t="s">
        <v>23</v>
      </c>
      <c r="D96" s="1" t="str">
        <f t="shared" si="8"/>
        <v>89177328</v>
      </c>
      <c r="E96" s="1" t="s">
        <v>24</v>
      </c>
      <c r="F96" s="1" t="str">
        <f t="shared" si="9"/>
        <v>0010</v>
      </c>
      <c r="G96" s="1" t="str">
        <f>""</f>
        <v/>
      </c>
      <c r="H96" s="1" t="str">
        <f>"0033"</f>
        <v>0033</v>
      </c>
      <c r="I96" s="1" t="s">
        <v>106</v>
      </c>
      <c r="J96" s="1" t="str">
        <f>"01043977567"</f>
        <v>01043977567</v>
      </c>
      <c r="K96" s="1" t="str">
        <f>"2017-04-14 11:42:54"</f>
        <v>2017-04-14 11:42:54</v>
      </c>
      <c r="L96" s="1" t="str">
        <f>"2017-04-14 11:43:04"</f>
        <v>2017-04-14 11:43:04</v>
      </c>
      <c r="M96" s="2">
        <v>6.122685185185185E-3</v>
      </c>
      <c r="N96" s="1" t="s">
        <v>26</v>
      </c>
      <c r="O96" s="1" t="s">
        <v>27</v>
      </c>
      <c r="P96" s="2">
        <v>6.238425925925925E-3</v>
      </c>
      <c r="Q96" s="1" t="s">
        <v>147</v>
      </c>
      <c r="R96" s="1">
        <v>0</v>
      </c>
      <c r="S96" s="1" t="str">
        <f>""</f>
        <v/>
      </c>
      <c r="T96" s="1" t="s">
        <v>29</v>
      </c>
      <c r="U96" s="1" t="s">
        <v>30</v>
      </c>
      <c r="V96" s="1">
        <v>0</v>
      </c>
    </row>
    <row r="97" spans="2:22" x14ac:dyDescent="0.15">
      <c r="B97" s="1" t="str">
        <f>"010****4808"</f>
        <v>010****4808</v>
      </c>
      <c r="C97" s="1" t="s">
        <v>23</v>
      </c>
      <c r="D97" s="1" t="str">
        <f>"4000108333"</f>
        <v>4000108333</v>
      </c>
      <c r="E97" s="1" t="s">
        <v>53</v>
      </c>
      <c r="F97" s="1" t="str">
        <f>"0000"</f>
        <v>0000</v>
      </c>
      <c r="G97" s="1" t="str">
        <f>""</f>
        <v/>
      </c>
      <c r="H97" s="1" t="str">
        <f>"1012"</f>
        <v>1012</v>
      </c>
      <c r="I97" s="1" t="s">
        <v>54</v>
      </c>
      <c r="J97" s="1" t="str">
        <f>"13611040764"</f>
        <v>13611040764</v>
      </c>
      <c r="K97" s="1" t="str">
        <f>"2017-04-14 11:38:18"</f>
        <v>2017-04-14 11:38:18</v>
      </c>
      <c r="L97" s="1" t="str">
        <f>"-"</f>
        <v>-</v>
      </c>
      <c r="M97" s="2">
        <v>0</v>
      </c>
      <c r="N97" s="1" t="s">
        <v>33</v>
      </c>
      <c r="O97" s="1" t="s">
        <v>34</v>
      </c>
      <c r="P97" s="2">
        <v>1.0185185185185186E-3</v>
      </c>
      <c r="Q97" s="1" t="str">
        <f>""</f>
        <v/>
      </c>
      <c r="R97" s="1">
        <v>0.24</v>
      </c>
      <c r="S97" s="1" t="str">
        <f>""</f>
        <v/>
      </c>
      <c r="T97" s="1" t="s">
        <v>29</v>
      </c>
      <c r="U97" s="1" t="s">
        <v>30</v>
      </c>
      <c r="V97" s="1">
        <v>0</v>
      </c>
    </row>
    <row r="98" spans="2:22" x14ac:dyDescent="0.15">
      <c r="B98" s="1" t="str">
        <f>"132****1185"</f>
        <v>132****1185</v>
      </c>
      <c r="C98" s="1" t="s">
        <v>35</v>
      </c>
      <c r="D98" s="1" t="str">
        <f>"4000108333"</f>
        <v>4000108333</v>
      </c>
      <c r="E98" s="1" t="s">
        <v>53</v>
      </c>
      <c r="F98" s="1" t="str">
        <f>"0000"</f>
        <v>0000</v>
      </c>
      <c r="G98" s="1" t="str">
        <f>""</f>
        <v/>
      </c>
      <c r="H98" s="1" t="str">
        <f>"1010"</f>
        <v>1010</v>
      </c>
      <c r="I98" s="1" t="s">
        <v>148</v>
      </c>
      <c r="J98" s="1" t="str">
        <f>"13718091869"</f>
        <v>13718091869</v>
      </c>
      <c r="K98" s="1" t="str">
        <f>"2017-04-14 11:29:28"</f>
        <v>2017-04-14 11:29:28</v>
      </c>
      <c r="L98" s="1" t="str">
        <f>"2017-04-14 11:30:10"</f>
        <v>2017-04-14 11:30:10</v>
      </c>
      <c r="M98" s="2">
        <v>2.5324074074074079E-2</v>
      </c>
      <c r="N98" s="1" t="s">
        <v>26</v>
      </c>
      <c r="O98" s="1" t="s">
        <v>27</v>
      </c>
      <c r="P98" s="2">
        <v>2.5810185185185183E-2</v>
      </c>
      <c r="Q98" s="1" t="s">
        <v>149</v>
      </c>
      <c r="R98" s="1">
        <v>4.5599999999999996</v>
      </c>
      <c r="S98" s="1" t="str">
        <f>""</f>
        <v/>
      </c>
      <c r="T98" s="1" t="s">
        <v>29</v>
      </c>
      <c r="U98" s="1" t="s">
        <v>30</v>
      </c>
      <c r="V98" s="1">
        <v>0</v>
      </c>
    </row>
    <row r="99" spans="2:22" x14ac:dyDescent="0.15">
      <c r="B99" s="1" t="str">
        <f>"135****4495"</f>
        <v>135****4495</v>
      </c>
      <c r="C99" s="1" t="s">
        <v>150</v>
      </c>
      <c r="D99" s="1" t="str">
        <f t="shared" ref="D99:D148" si="10">"89177328"</f>
        <v>89177328</v>
      </c>
      <c r="E99" s="1" t="s">
        <v>24</v>
      </c>
      <c r="F99" s="1" t="str">
        <f t="shared" ref="F99:F138" si="11">"0010"</f>
        <v>0010</v>
      </c>
      <c r="G99" s="1" t="str">
        <f>""</f>
        <v/>
      </c>
      <c r="H99" s="1" t="str">
        <f>"0033"</f>
        <v>0033</v>
      </c>
      <c r="I99" s="1" t="s">
        <v>106</v>
      </c>
      <c r="J99" s="1" t="str">
        <f>"01043977567"</f>
        <v>01043977567</v>
      </c>
      <c r="K99" s="1" t="str">
        <f>"2017-04-14 11:19:51"</f>
        <v>2017-04-14 11:19:51</v>
      </c>
      <c r="L99" s="1" t="str">
        <f>"2017-04-14 11:20:03"</f>
        <v>2017-04-14 11:20:03</v>
      </c>
      <c r="M99" s="2">
        <v>5.7060185185185191E-3</v>
      </c>
      <c r="N99" s="1" t="s">
        <v>26</v>
      </c>
      <c r="O99" s="1" t="s">
        <v>27</v>
      </c>
      <c r="P99" s="2">
        <v>5.8449074074074072E-3</v>
      </c>
      <c r="Q99" s="1" t="s">
        <v>151</v>
      </c>
      <c r="R99" s="1">
        <v>0</v>
      </c>
      <c r="S99" s="1" t="str">
        <f>""</f>
        <v/>
      </c>
      <c r="T99" s="1" t="s">
        <v>29</v>
      </c>
      <c r="U99" s="1" t="s">
        <v>30</v>
      </c>
      <c r="V99" s="1">
        <v>0</v>
      </c>
    </row>
    <row r="100" spans="2:22" x14ac:dyDescent="0.15">
      <c r="B100" s="1" t="str">
        <f>"0312132****1222"</f>
        <v>0312132****1222</v>
      </c>
      <c r="C100" s="1" t="s">
        <v>99</v>
      </c>
      <c r="D100" s="1" t="str">
        <f t="shared" si="10"/>
        <v>89177328</v>
      </c>
      <c r="E100" s="1" t="s">
        <v>24</v>
      </c>
      <c r="F100" s="1" t="str">
        <f t="shared" si="11"/>
        <v>0010</v>
      </c>
      <c r="G100" s="1" t="str">
        <f>""</f>
        <v/>
      </c>
      <c r="H100" s="1" t="str">
        <f>"0017"</f>
        <v>0017</v>
      </c>
      <c r="I100" s="1" t="s">
        <v>135</v>
      </c>
      <c r="J100" s="1" t="str">
        <f>"01043989717"</f>
        <v>01043989717</v>
      </c>
      <c r="K100" s="1" t="str">
        <f>"2017-04-14 11:17:01"</f>
        <v>2017-04-14 11:17:01</v>
      </c>
      <c r="L100" s="1" t="str">
        <f>"2017-04-14 11:17:12"</f>
        <v>2017-04-14 11:17:12</v>
      </c>
      <c r="M100" s="2">
        <v>7.4884259259259262E-3</v>
      </c>
      <c r="N100" s="1" t="s">
        <v>26</v>
      </c>
      <c r="O100" s="1" t="s">
        <v>27</v>
      </c>
      <c r="P100" s="2">
        <v>7.6157407407407415E-3</v>
      </c>
      <c r="Q100" s="1" t="s">
        <v>152</v>
      </c>
      <c r="R100" s="1">
        <v>0</v>
      </c>
      <c r="S100" s="1" t="str">
        <f>""</f>
        <v/>
      </c>
      <c r="T100" s="1" t="s">
        <v>29</v>
      </c>
      <c r="U100" s="1" t="s">
        <v>30</v>
      </c>
      <c r="V100" s="1">
        <v>0</v>
      </c>
    </row>
    <row r="101" spans="2:22" x14ac:dyDescent="0.15">
      <c r="B101" s="1" t="str">
        <f>"0312132****1222"</f>
        <v>0312132****1222</v>
      </c>
      <c r="C101" s="1" t="s">
        <v>99</v>
      </c>
      <c r="D101" s="1" t="str">
        <f t="shared" si="10"/>
        <v>89177328</v>
      </c>
      <c r="E101" s="1" t="s">
        <v>24</v>
      </c>
      <c r="F101" s="1" t="str">
        <f t="shared" si="11"/>
        <v>0010</v>
      </c>
      <c r="G101" s="1" t="str">
        <f>""</f>
        <v/>
      </c>
      <c r="H101" s="1" t="str">
        <f>"0018"</f>
        <v>0018</v>
      </c>
      <c r="I101" s="1" t="s">
        <v>36</v>
      </c>
      <c r="J101" s="1" t="str">
        <f>"01043977572"</f>
        <v>01043977572</v>
      </c>
      <c r="K101" s="1" t="str">
        <f>"2017-04-14 11:11:40"</f>
        <v>2017-04-14 11:11:40</v>
      </c>
      <c r="L101" s="1" t="str">
        <f>"-"</f>
        <v>-</v>
      </c>
      <c r="M101" s="2">
        <v>0</v>
      </c>
      <c r="N101" s="1" t="s">
        <v>33</v>
      </c>
      <c r="O101" s="1" t="s">
        <v>34</v>
      </c>
      <c r="P101" s="2">
        <v>3.4722222222222222E-5</v>
      </c>
      <c r="Q101" s="1" t="str">
        <f>""</f>
        <v/>
      </c>
      <c r="R101" s="1">
        <v>0</v>
      </c>
      <c r="S101" s="1" t="str">
        <f>""</f>
        <v/>
      </c>
      <c r="T101" s="1" t="s">
        <v>29</v>
      </c>
      <c r="U101" s="1" t="s">
        <v>30</v>
      </c>
      <c r="V101" s="1">
        <v>0</v>
      </c>
    </row>
    <row r="102" spans="2:22" x14ac:dyDescent="0.15">
      <c r="B102" s="1" t="str">
        <f>"130****5656"</f>
        <v>130****5656</v>
      </c>
      <c r="C102" s="1" t="s">
        <v>112</v>
      </c>
      <c r="D102" s="1" t="str">
        <f t="shared" si="10"/>
        <v>89177328</v>
      </c>
      <c r="E102" s="1" t="s">
        <v>24</v>
      </c>
      <c r="F102" s="1" t="str">
        <f t="shared" si="11"/>
        <v>0010</v>
      </c>
      <c r="G102" s="1" t="str">
        <f>""</f>
        <v/>
      </c>
      <c r="H102" s="1" t="str">
        <f>"0018"</f>
        <v>0018</v>
      </c>
      <c r="I102" s="1" t="s">
        <v>36</v>
      </c>
      <c r="J102" s="1" t="str">
        <f>"01043977572"</f>
        <v>01043977572</v>
      </c>
      <c r="K102" s="1" t="str">
        <f>"2017-04-14 11:11:03"</f>
        <v>2017-04-14 11:11:03</v>
      </c>
      <c r="L102" s="1" t="str">
        <f>"2017-04-14 11:11:06"</f>
        <v>2017-04-14 11:11:06</v>
      </c>
      <c r="M102" s="2">
        <v>1.9675925925925926E-4</v>
      </c>
      <c r="N102" s="1" t="s">
        <v>26</v>
      </c>
      <c r="O102" s="1" t="s">
        <v>34</v>
      </c>
      <c r="P102" s="2">
        <v>2.3148148148148146E-4</v>
      </c>
      <c r="Q102" s="1" t="s">
        <v>153</v>
      </c>
      <c r="R102" s="1">
        <v>0</v>
      </c>
      <c r="S102" s="1" t="str">
        <f>""</f>
        <v/>
      </c>
      <c r="T102" s="1" t="s">
        <v>29</v>
      </c>
      <c r="U102" s="1" t="s">
        <v>30</v>
      </c>
      <c r="V102" s="1">
        <v>0</v>
      </c>
    </row>
    <row r="103" spans="2:22" x14ac:dyDescent="0.15">
      <c r="B103" s="1" t="str">
        <f>"130****5656"</f>
        <v>130****5656</v>
      </c>
      <c r="C103" s="1" t="s">
        <v>112</v>
      </c>
      <c r="D103" s="1" t="str">
        <f t="shared" si="10"/>
        <v>89177328</v>
      </c>
      <c r="E103" s="1" t="s">
        <v>24</v>
      </c>
      <c r="F103" s="1" t="str">
        <f t="shared" si="11"/>
        <v>0010</v>
      </c>
      <c r="G103" s="1" t="str">
        <f>""</f>
        <v/>
      </c>
      <c r="H103" s="1" t="str">
        <f>"0018"</f>
        <v>0018</v>
      </c>
      <c r="I103" s="1" t="s">
        <v>36</v>
      </c>
      <c r="J103" s="1" t="str">
        <f>"01043977572"</f>
        <v>01043977572</v>
      </c>
      <c r="K103" s="1" t="str">
        <f>"2017-04-14 11:10:04"</f>
        <v>2017-04-14 11:10:04</v>
      </c>
      <c r="L103" s="1" t="str">
        <f>"2017-04-14 11:10:08"</f>
        <v>2017-04-14 11:10:08</v>
      </c>
      <c r="M103" s="2">
        <v>3.2407407407407406E-4</v>
      </c>
      <c r="N103" s="1" t="s">
        <v>26</v>
      </c>
      <c r="O103" s="1" t="s">
        <v>34</v>
      </c>
      <c r="P103" s="2">
        <v>3.7037037037037035E-4</v>
      </c>
      <c r="Q103" s="1" t="s">
        <v>154</v>
      </c>
      <c r="R103" s="1">
        <v>0</v>
      </c>
      <c r="S103" s="1" t="str">
        <f>""</f>
        <v/>
      </c>
      <c r="T103" s="1" t="s">
        <v>29</v>
      </c>
      <c r="U103" s="1" t="s">
        <v>30</v>
      </c>
      <c r="V103" s="1">
        <v>0</v>
      </c>
    </row>
    <row r="104" spans="2:22" x14ac:dyDescent="0.15">
      <c r="B104" s="1" t="str">
        <f>"130****5656"</f>
        <v>130****5656</v>
      </c>
      <c r="C104" s="1" t="s">
        <v>112</v>
      </c>
      <c r="D104" s="1" t="str">
        <f t="shared" si="10"/>
        <v>89177328</v>
      </c>
      <c r="E104" s="1" t="s">
        <v>24</v>
      </c>
      <c r="F104" s="1" t="str">
        <f t="shared" si="11"/>
        <v>0010</v>
      </c>
      <c r="G104" s="1" t="str">
        <f>""</f>
        <v/>
      </c>
      <c r="H104" s="1" t="str">
        <f>"0018"</f>
        <v>0018</v>
      </c>
      <c r="I104" s="1" t="s">
        <v>36</v>
      </c>
      <c r="J104" s="1" t="str">
        <f>"01043977572"</f>
        <v>01043977572</v>
      </c>
      <c r="K104" s="1" t="str">
        <f>"2017-04-14 11:08:36"</f>
        <v>2017-04-14 11:08:36</v>
      </c>
      <c r="L104" s="1" t="str">
        <f>"2017-04-14 11:08:40"</f>
        <v>2017-04-14 11:08:40</v>
      </c>
      <c r="M104" s="2">
        <v>2.8935185185185189E-4</v>
      </c>
      <c r="N104" s="1" t="s">
        <v>26</v>
      </c>
      <c r="O104" s="1" t="s">
        <v>34</v>
      </c>
      <c r="P104" s="2">
        <v>3.3564814814814812E-4</v>
      </c>
      <c r="Q104" s="1" t="s">
        <v>155</v>
      </c>
      <c r="R104" s="1">
        <v>0</v>
      </c>
      <c r="S104" s="1" t="str">
        <f>""</f>
        <v/>
      </c>
      <c r="T104" s="1" t="s">
        <v>29</v>
      </c>
      <c r="U104" s="1" t="s">
        <v>30</v>
      </c>
      <c r="V104" s="1">
        <v>0</v>
      </c>
    </row>
    <row r="105" spans="2:22" x14ac:dyDescent="0.15">
      <c r="B105" s="1" t="str">
        <f>"047****9897"</f>
        <v>047****9897</v>
      </c>
      <c r="C105" s="1" t="s">
        <v>113</v>
      </c>
      <c r="D105" s="1" t="str">
        <f t="shared" si="10"/>
        <v>89177328</v>
      </c>
      <c r="E105" s="1" t="s">
        <v>24</v>
      </c>
      <c r="F105" s="1" t="str">
        <f t="shared" si="11"/>
        <v>0010</v>
      </c>
      <c r="G105" s="1" t="str">
        <f>""</f>
        <v/>
      </c>
      <c r="H105" s="1" t="str">
        <f>"0033"</f>
        <v>0033</v>
      </c>
      <c r="I105" s="1" t="s">
        <v>106</v>
      </c>
      <c r="J105" s="1" t="str">
        <f>"01043977567"</f>
        <v>01043977567</v>
      </c>
      <c r="K105" s="1" t="str">
        <f>"2017-04-14 10:34:57"</f>
        <v>2017-04-14 10:34:57</v>
      </c>
      <c r="L105" s="1" t="str">
        <f>"2017-04-14 10:35:08"</f>
        <v>2017-04-14 10:35:08</v>
      </c>
      <c r="M105" s="2">
        <v>9.4444444444444445E-3</v>
      </c>
      <c r="N105" s="1" t="s">
        <v>26</v>
      </c>
      <c r="O105" s="1" t="s">
        <v>27</v>
      </c>
      <c r="P105" s="2">
        <v>9.571759259259259E-3</v>
      </c>
      <c r="Q105" s="1" t="s">
        <v>156</v>
      </c>
      <c r="R105" s="1">
        <v>0</v>
      </c>
      <c r="S105" s="1" t="str">
        <f>""</f>
        <v/>
      </c>
      <c r="T105" s="1" t="s">
        <v>29</v>
      </c>
      <c r="U105" s="1" t="s">
        <v>30</v>
      </c>
      <c r="V105" s="1">
        <v>0</v>
      </c>
    </row>
    <row r="106" spans="2:22" x14ac:dyDescent="0.15">
      <c r="B106" s="1" t="str">
        <f>"153****9896"</f>
        <v>153****9896</v>
      </c>
      <c r="C106" s="1" t="s">
        <v>132</v>
      </c>
      <c r="D106" s="1" t="str">
        <f t="shared" si="10"/>
        <v>89177328</v>
      </c>
      <c r="E106" s="1" t="s">
        <v>24</v>
      </c>
      <c r="F106" s="1" t="str">
        <f t="shared" si="11"/>
        <v>0010</v>
      </c>
      <c r="G106" s="1" t="str">
        <f>""</f>
        <v/>
      </c>
      <c r="H106" s="1" t="str">
        <f>"0033"</f>
        <v>0033</v>
      </c>
      <c r="I106" s="1" t="s">
        <v>106</v>
      </c>
      <c r="J106" s="1" t="str">
        <f>"01043977567"</f>
        <v>01043977567</v>
      </c>
      <c r="K106" s="1" t="str">
        <f>"2017-04-14 10:33:01"</f>
        <v>2017-04-14 10:33:01</v>
      </c>
      <c r="L106" s="1" t="str">
        <f>"-"</f>
        <v>-</v>
      </c>
      <c r="M106" s="2">
        <v>0</v>
      </c>
      <c r="N106" s="1" t="s">
        <v>33</v>
      </c>
      <c r="O106" s="1" t="s">
        <v>34</v>
      </c>
      <c r="P106" s="2">
        <v>2.3148148148148147E-5</v>
      </c>
      <c r="Q106" s="1" t="str">
        <f>""</f>
        <v/>
      </c>
      <c r="R106" s="1">
        <v>0</v>
      </c>
      <c r="S106" s="1" t="str">
        <f>""</f>
        <v/>
      </c>
      <c r="T106" s="1" t="s">
        <v>29</v>
      </c>
      <c r="U106" s="1" t="s">
        <v>30</v>
      </c>
      <c r="V106" s="1">
        <v>0</v>
      </c>
    </row>
    <row r="107" spans="2:22" x14ac:dyDescent="0.15">
      <c r="B107" s="1" t="str">
        <f>"139****9663"</f>
        <v>139****9663</v>
      </c>
      <c r="C107" s="1" t="s">
        <v>157</v>
      </c>
      <c r="D107" s="1" t="str">
        <f t="shared" si="10"/>
        <v>89177328</v>
      </c>
      <c r="E107" s="1" t="s">
        <v>24</v>
      </c>
      <c r="F107" s="1" t="str">
        <f t="shared" si="11"/>
        <v>0010</v>
      </c>
      <c r="G107" s="1" t="str">
        <f>""</f>
        <v/>
      </c>
      <c r="H107" s="1" t="str">
        <f>"0033"</f>
        <v>0033</v>
      </c>
      <c r="I107" s="1" t="s">
        <v>106</v>
      </c>
      <c r="J107" s="1" t="str">
        <f>"01043977567"</f>
        <v>01043977567</v>
      </c>
      <c r="K107" s="1" t="str">
        <f>"2017-04-14 10:24:10"</f>
        <v>2017-04-14 10:24:10</v>
      </c>
      <c r="L107" s="1" t="str">
        <f>"2017-04-14 10:24:20"</f>
        <v>2017-04-14 10:24:20</v>
      </c>
      <c r="M107" s="2">
        <v>4.9768518518518521E-4</v>
      </c>
      <c r="N107" s="1" t="s">
        <v>26</v>
      </c>
      <c r="O107" s="1" t="s">
        <v>27</v>
      </c>
      <c r="P107" s="2">
        <v>6.134259259259259E-4</v>
      </c>
      <c r="Q107" s="1" t="s">
        <v>158</v>
      </c>
      <c r="R107" s="1">
        <v>0</v>
      </c>
      <c r="S107" s="1" t="str">
        <f>""</f>
        <v/>
      </c>
      <c r="T107" s="1" t="s">
        <v>29</v>
      </c>
      <c r="U107" s="1" t="s">
        <v>30</v>
      </c>
      <c r="V107" s="1">
        <v>0</v>
      </c>
    </row>
    <row r="108" spans="2:22" x14ac:dyDescent="0.15">
      <c r="B108" s="1" t="str">
        <f>"130****5656"</f>
        <v>130****5656</v>
      </c>
      <c r="C108" s="1" t="s">
        <v>112</v>
      </c>
      <c r="D108" s="1" t="str">
        <f t="shared" si="10"/>
        <v>89177328</v>
      </c>
      <c r="E108" s="1" t="s">
        <v>24</v>
      </c>
      <c r="F108" s="1" t="str">
        <f t="shared" si="11"/>
        <v>0010</v>
      </c>
      <c r="G108" s="1" t="str">
        <f>""</f>
        <v/>
      </c>
      <c r="H108" s="1" t="str">
        <f>"0036"</f>
        <v>0036</v>
      </c>
      <c r="I108" s="1" t="s">
        <v>143</v>
      </c>
      <c r="J108" s="1" t="str">
        <f>"01043977573"</f>
        <v>01043977573</v>
      </c>
      <c r="K108" s="1" t="str">
        <f>"2017-04-14 10:16:49"</f>
        <v>2017-04-14 10:16:49</v>
      </c>
      <c r="L108" s="1" t="str">
        <f>"-"</f>
        <v>-</v>
      </c>
      <c r="M108" s="2">
        <v>0</v>
      </c>
      <c r="N108" s="1" t="s">
        <v>33</v>
      </c>
      <c r="O108" s="1" t="s">
        <v>34</v>
      </c>
      <c r="P108" s="2">
        <v>8.1018518518518516E-5</v>
      </c>
      <c r="Q108" s="1" t="str">
        <f>""</f>
        <v/>
      </c>
      <c r="R108" s="1">
        <v>0</v>
      </c>
      <c r="S108" s="1" t="str">
        <f>""</f>
        <v/>
      </c>
      <c r="T108" s="1" t="s">
        <v>29</v>
      </c>
      <c r="U108" s="1" t="s">
        <v>30</v>
      </c>
      <c r="V108" s="1">
        <v>0</v>
      </c>
    </row>
    <row r="109" spans="2:22" x14ac:dyDescent="0.15">
      <c r="B109" s="1" t="str">
        <f>"186****0604"</f>
        <v>186****0604</v>
      </c>
      <c r="C109" s="1" t="s">
        <v>23</v>
      </c>
      <c r="D109" s="1" t="str">
        <f t="shared" si="10"/>
        <v>89177328</v>
      </c>
      <c r="E109" s="1" t="s">
        <v>24</v>
      </c>
      <c r="F109" s="1" t="str">
        <f t="shared" si="11"/>
        <v>0010</v>
      </c>
      <c r="G109" s="1" t="str">
        <f>""</f>
        <v/>
      </c>
      <c r="H109" s="1" t="str">
        <f>"0036"</f>
        <v>0036</v>
      </c>
      <c r="I109" s="1" t="s">
        <v>143</v>
      </c>
      <c r="J109" s="1" t="str">
        <f>"01043977573"</f>
        <v>01043977573</v>
      </c>
      <c r="K109" s="1" t="str">
        <f>"2017-04-14 10:13:54"</f>
        <v>2017-04-14 10:13:54</v>
      </c>
      <c r="L109" s="1" t="str">
        <f>"-"</f>
        <v>-</v>
      </c>
      <c r="M109" s="2">
        <v>0</v>
      </c>
      <c r="N109" s="1" t="s">
        <v>33</v>
      </c>
      <c r="O109" s="1" t="s">
        <v>34</v>
      </c>
      <c r="P109" s="2">
        <v>9.2592592592592588E-5</v>
      </c>
      <c r="Q109" s="1" t="str">
        <f>""</f>
        <v/>
      </c>
      <c r="R109" s="1">
        <v>0</v>
      </c>
      <c r="S109" s="1" t="str">
        <f>""</f>
        <v/>
      </c>
      <c r="T109" s="1" t="s">
        <v>29</v>
      </c>
      <c r="U109" s="1" t="s">
        <v>30</v>
      </c>
      <c r="V109" s="1">
        <v>0</v>
      </c>
    </row>
    <row r="110" spans="2:22" x14ac:dyDescent="0.15">
      <c r="B110" s="1" t="str">
        <f>"130****5656"</f>
        <v>130****5656</v>
      </c>
      <c r="C110" s="1" t="s">
        <v>112</v>
      </c>
      <c r="D110" s="1" t="str">
        <f t="shared" si="10"/>
        <v>89177328</v>
      </c>
      <c r="E110" s="1" t="s">
        <v>24</v>
      </c>
      <c r="F110" s="1" t="str">
        <f t="shared" si="11"/>
        <v>0010</v>
      </c>
      <c r="G110" s="1" t="str">
        <f>""</f>
        <v/>
      </c>
      <c r="H110" s="1" t="str">
        <f>"0036"</f>
        <v>0036</v>
      </c>
      <c r="I110" s="1" t="s">
        <v>143</v>
      </c>
      <c r="J110" s="1" t="str">
        <f>"01043977573"</f>
        <v>01043977573</v>
      </c>
      <c r="K110" s="1" t="str">
        <f>"2017-04-14 10:12:26"</f>
        <v>2017-04-14 10:12:26</v>
      </c>
      <c r="L110" s="1" t="str">
        <f>"-"</f>
        <v>-</v>
      </c>
      <c r="M110" s="2">
        <v>0</v>
      </c>
      <c r="N110" s="1" t="s">
        <v>33</v>
      </c>
      <c r="O110" s="1" t="s">
        <v>34</v>
      </c>
      <c r="P110" s="2">
        <v>4.6296296296296294E-5</v>
      </c>
      <c r="Q110" s="1" t="str">
        <f>""</f>
        <v/>
      </c>
      <c r="R110" s="1">
        <v>0</v>
      </c>
      <c r="S110" s="1" t="str">
        <f>""</f>
        <v/>
      </c>
      <c r="T110" s="1" t="s">
        <v>29</v>
      </c>
      <c r="U110" s="1" t="s">
        <v>30</v>
      </c>
      <c r="V110" s="1">
        <v>0</v>
      </c>
    </row>
    <row r="111" spans="2:22" x14ac:dyDescent="0.15">
      <c r="B111" s="1" t="str">
        <f>"114"</f>
        <v>114</v>
      </c>
      <c r="C111" s="1" t="s">
        <v>159</v>
      </c>
      <c r="D111" s="1" t="str">
        <f t="shared" si="10"/>
        <v>89177328</v>
      </c>
      <c r="E111" s="1" t="s">
        <v>24</v>
      </c>
      <c r="F111" s="1" t="str">
        <f t="shared" si="11"/>
        <v>0010</v>
      </c>
      <c r="G111" s="1" t="str">
        <f>""</f>
        <v/>
      </c>
      <c r="H111" s="1" t="str">
        <f>"0033"</f>
        <v>0033</v>
      </c>
      <c r="I111" s="1" t="s">
        <v>106</v>
      </c>
      <c r="J111" s="1" t="str">
        <f>"01043977567"</f>
        <v>01043977567</v>
      </c>
      <c r="K111" s="1" t="str">
        <f>"2017-04-14 10:08:31"</f>
        <v>2017-04-14 10:08:31</v>
      </c>
      <c r="L111" s="1" t="str">
        <f>"-"</f>
        <v>-</v>
      </c>
      <c r="M111" s="2">
        <v>0</v>
      </c>
      <c r="N111" s="1" t="s">
        <v>33</v>
      </c>
      <c r="O111" s="1" t="s">
        <v>34</v>
      </c>
      <c r="P111" s="2">
        <v>2.3148148148148147E-5</v>
      </c>
      <c r="Q111" s="1" t="str">
        <f>""</f>
        <v/>
      </c>
      <c r="R111" s="1">
        <v>0</v>
      </c>
      <c r="S111" s="1" t="str">
        <f>""</f>
        <v/>
      </c>
      <c r="T111" s="1" t="s">
        <v>29</v>
      </c>
      <c r="U111" s="1" t="s">
        <v>30</v>
      </c>
      <c r="V111" s="1">
        <v>0</v>
      </c>
    </row>
    <row r="112" spans="2:22" x14ac:dyDescent="0.15">
      <c r="B112" s="1" t="str">
        <f>"186****0392"</f>
        <v>186****0392</v>
      </c>
      <c r="C112" s="1" t="s">
        <v>23</v>
      </c>
      <c r="D112" s="1" t="str">
        <f t="shared" si="10"/>
        <v>89177328</v>
      </c>
      <c r="E112" s="1" t="s">
        <v>24</v>
      </c>
      <c r="F112" s="1" t="str">
        <f t="shared" si="11"/>
        <v>0010</v>
      </c>
      <c r="G112" s="1" t="str">
        <f>""</f>
        <v/>
      </c>
      <c r="H112" s="1" t="str">
        <f>"0017"</f>
        <v>0017</v>
      </c>
      <c r="I112" s="1" t="s">
        <v>135</v>
      </c>
      <c r="J112" s="1" t="str">
        <f>"01043989717"</f>
        <v>01043989717</v>
      </c>
      <c r="K112" s="1" t="str">
        <f>"2017-04-14 09:54:38"</f>
        <v>2017-04-14 09:54:38</v>
      </c>
      <c r="L112" s="1" t="str">
        <f>"2017-04-14 09:54:44"</f>
        <v>2017-04-14 09:54:44</v>
      </c>
      <c r="M112" s="2">
        <v>5.6365740740740742E-3</v>
      </c>
      <c r="N112" s="1" t="s">
        <v>26</v>
      </c>
      <c r="O112" s="1" t="s">
        <v>27</v>
      </c>
      <c r="P112" s="2">
        <v>5.7060185185185191E-3</v>
      </c>
      <c r="Q112" s="1" t="s">
        <v>160</v>
      </c>
      <c r="R112" s="1">
        <v>0</v>
      </c>
      <c r="S112" s="1" t="str">
        <f>""</f>
        <v/>
      </c>
      <c r="T112" s="1" t="s">
        <v>29</v>
      </c>
      <c r="U112" s="1" t="s">
        <v>30</v>
      </c>
      <c r="V112" s="1">
        <v>0</v>
      </c>
    </row>
    <row r="113" spans="2:22" x14ac:dyDescent="0.15">
      <c r="B113" s="1" t="str">
        <f>"182****2582"</f>
        <v>182****2582</v>
      </c>
      <c r="C113" s="1" t="s">
        <v>23</v>
      </c>
      <c r="D113" s="1" t="str">
        <f t="shared" si="10"/>
        <v>89177328</v>
      </c>
      <c r="E113" s="1" t="s">
        <v>24</v>
      </c>
      <c r="F113" s="1" t="str">
        <f t="shared" si="11"/>
        <v>0010</v>
      </c>
      <c r="G113" s="1" t="str">
        <f>""</f>
        <v/>
      </c>
      <c r="H113" s="1" t="str">
        <f>"0033"</f>
        <v>0033</v>
      </c>
      <c r="I113" s="1" t="s">
        <v>106</v>
      </c>
      <c r="J113" s="1" t="str">
        <f>"01043977567"</f>
        <v>01043977567</v>
      </c>
      <c r="K113" s="1" t="str">
        <f>"2017-04-14 09:52:58"</f>
        <v>2017-04-14 09:52:58</v>
      </c>
      <c r="L113" s="1" t="str">
        <f>"2017-04-14 09:53:08"</f>
        <v>2017-04-14 09:53:08</v>
      </c>
      <c r="M113" s="2">
        <v>5.7870370370370378E-4</v>
      </c>
      <c r="N113" s="1" t="s">
        <v>26</v>
      </c>
      <c r="O113" s="1" t="s">
        <v>27</v>
      </c>
      <c r="P113" s="2">
        <v>6.9444444444444447E-4</v>
      </c>
      <c r="Q113" s="1" t="s">
        <v>161</v>
      </c>
      <c r="R113" s="1">
        <v>0</v>
      </c>
      <c r="S113" s="1" t="str">
        <f>""</f>
        <v/>
      </c>
      <c r="T113" s="1" t="s">
        <v>29</v>
      </c>
      <c r="U113" s="1" t="s">
        <v>30</v>
      </c>
      <c r="V113" s="1">
        <v>0</v>
      </c>
    </row>
    <row r="114" spans="2:22" x14ac:dyDescent="0.15">
      <c r="B114" s="1" t="str">
        <f>"183****5940"</f>
        <v>183****5940</v>
      </c>
      <c r="C114" s="1" t="s">
        <v>23</v>
      </c>
      <c r="D114" s="1" t="str">
        <f t="shared" si="10"/>
        <v>89177328</v>
      </c>
      <c r="E114" s="1" t="s">
        <v>24</v>
      </c>
      <c r="F114" s="1" t="str">
        <f t="shared" si="11"/>
        <v>0010</v>
      </c>
      <c r="G114" s="1" t="str">
        <f>""</f>
        <v/>
      </c>
      <c r="H114" s="1" t="str">
        <f>"0017"</f>
        <v>0017</v>
      </c>
      <c r="I114" s="1" t="s">
        <v>135</v>
      </c>
      <c r="J114" s="1" t="str">
        <f>"01043989717"</f>
        <v>01043989717</v>
      </c>
      <c r="K114" s="1" t="str">
        <f>"2017-04-14 09:51:45"</f>
        <v>2017-04-14 09:51:45</v>
      </c>
      <c r="L114" s="1" t="str">
        <f>"2017-04-14 09:51:55"</f>
        <v>2017-04-14 09:51:55</v>
      </c>
      <c r="M114" s="2">
        <v>7.175925925925927E-4</v>
      </c>
      <c r="N114" s="1" t="s">
        <v>26</v>
      </c>
      <c r="O114" s="1" t="s">
        <v>34</v>
      </c>
      <c r="P114" s="2">
        <v>8.3333333333333339E-4</v>
      </c>
      <c r="Q114" s="1" t="s">
        <v>162</v>
      </c>
      <c r="R114" s="1">
        <v>0</v>
      </c>
      <c r="S114" s="1" t="str">
        <f>""</f>
        <v/>
      </c>
      <c r="T114" s="1" t="s">
        <v>29</v>
      </c>
      <c r="U114" s="1" t="s">
        <v>30</v>
      </c>
      <c r="V114" s="1">
        <v>0</v>
      </c>
    </row>
    <row r="115" spans="2:22" x14ac:dyDescent="0.15">
      <c r="B115" s="1" t="str">
        <f>"010****1004"</f>
        <v>010****1004</v>
      </c>
      <c r="C115" s="1" t="s">
        <v>23</v>
      </c>
      <c r="D115" s="1" t="str">
        <f t="shared" si="10"/>
        <v>89177328</v>
      </c>
      <c r="E115" s="1" t="s">
        <v>24</v>
      </c>
      <c r="F115" s="1" t="str">
        <f t="shared" si="11"/>
        <v>0010</v>
      </c>
      <c r="G115" s="1" t="str">
        <f>""</f>
        <v/>
      </c>
      <c r="H115" s="1" t="str">
        <f>"0033"</f>
        <v>0033</v>
      </c>
      <c r="I115" s="1" t="s">
        <v>106</v>
      </c>
      <c r="J115" s="1" t="str">
        <f>"01043977567"</f>
        <v>01043977567</v>
      </c>
      <c r="K115" s="1" t="str">
        <f>"2017-04-14 09:43:50"</f>
        <v>2017-04-14 09:43:50</v>
      </c>
      <c r="L115" s="1" t="str">
        <f>"2017-04-14 09:44:02"</f>
        <v>2017-04-14 09:44:02</v>
      </c>
      <c r="M115" s="2">
        <v>5.4166666666666669E-3</v>
      </c>
      <c r="N115" s="1" t="s">
        <v>26</v>
      </c>
      <c r="O115" s="1" t="s">
        <v>27</v>
      </c>
      <c r="P115" s="2">
        <v>5.5555555555555558E-3</v>
      </c>
      <c r="Q115" s="1" t="s">
        <v>163</v>
      </c>
      <c r="R115" s="1">
        <v>0</v>
      </c>
      <c r="S115" s="1" t="str">
        <f>""</f>
        <v/>
      </c>
      <c r="T115" s="1" t="s">
        <v>29</v>
      </c>
      <c r="U115" s="1" t="s">
        <v>30</v>
      </c>
      <c r="V115" s="1">
        <v>0</v>
      </c>
    </row>
    <row r="116" spans="2:22" x14ac:dyDescent="0.15">
      <c r="B116" s="1" t="str">
        <f>"114"</f>
        <v>114</v>
      </c>
      <c r="C116" s="1" t="s">
        <v>159</v>
      </c>
      <c r="D116" s="1" t="str">
        <f t="shared" si="10"/>
        <v>89177328</v>
      </c>
      <c r="E116" s="1" t="s">
        <v>24</v>
      </c>
      <c r="F116" s="1" t="str">
        <f t="shared" si="11"/>
        <v>0010</v>
      </c>
      <c r="G116" s="1" t="str">
        <f>""</f>
        <v/>
      </c>
      <c r="H116" s="1" t="str">
        <f>"0036"</f>
        <v>0036</v>
      </c>
      <c r="I116" s="1" t="s">
        <v>143</v>
      </c>
      <c r="J116" s="1" t="str">
        <f>"01043977573"</f>
        <v>01043977573</v>
      </c>
      <c r="K116" s="1" t="str">
        <f>"2017-04-14 09:43:50"</f>
        <v>2017-04-14 09:43:50</v>
      </c>
      <c r="L116" s="1" t="str">
        <f>"2017-04-14 09:43:56"</f>
        <v>2017-04-14 09:43:56</v>
      </c>
      <c r="M116" s="2">
        <v>1.3472222222222221E-2</v>
      </c>
      <c r="N116" s="1" t="s">
        <v>26</v>
      </c>
      <c r="O116" s="1" t="s">
        <v>34</v>
      </c>
      <c r="P116" s="2">
        <v>1.3541666666666667E-2</v>
      </c>
      <c r="Q116" s="1" t="s">
        <v>164</v>
      </c>
      <c r="R116" s="1">
        <v>0</v>
      </c>
      <c r="S116" s="1" t="str">
        <f>""</f>
        <v/>
      </c>
      <c r="T116" s="1" t="s">
        <v>29</v>
      </c>
      <c r="U116" s="1" t="s">
        <v>30</v>
      </c>
      <c r="V116" s="1">
        <v>0</v>
      </c>
    </row>
    <row r="117" spans="2:22" x14ac:dyDescent="0.15">
      <c r="B117" s="1" t="str">
        <f>"134****4655"</f>
        <v>134****4655</v>
      </c>
      <c r="C117" s="1" t="s">
        <v>23</v>
      </c>
      <c r="D117" s="1" t="str">
        <f t="shared" si="10"/>
        <v>89177328</v>
      </c>
      <c r="E117" s="1" t="s">
        <v>24</v>
      </c>
      <c r="F117" s="1" t="str">
        <f t="shared" si="11"/>
        <v>0010</v>
      </c>
      <c r="G117" s="1" t="str">
        <f>""</f>
        <v/>
      </c>
      <c r="H117" s="1" t="str">
        <f>"0017"</f>
        <v>0017</v>
      </c>
      <c r="I117" s="1" t="s">
        <v>135</v>
      </c>
      <c r="J117" s="1" t="str">
        <f>"01043989717"</f>
        <v>01043989717</v>
      </c>
      <c r="K117" s="1" t="str">
        <f>"2017-04-14 09:32:20"</f>
        <v>2017-04-14 09:32:20</v>
      </c>
      <c r="L117" s="1" t="str">
        <f>"2017-04-14 09:32:32"</f>
        <v>2017-04-14 09:32:32</v>
      </c>
      <c r="M117" s="2">
        <v>8.4606481481481494E-3</v>
      </c>
      <c r="N117" s="1" t="s">
        <v>26</v>
      </c>
      <c r="O117" s="1" t="s">
        <v>27</v>
      </c>
      <c r="P117" s="2">
        <v>8.5995370370370357E-3</v>
      </c>
      <c r="Q117" s="1" t="s">
        <v>165</v>
      </c>
      <c r="R117" s="1">
        <v>0</v>
      </c>
      <c r="S117" s="1" t="str">
        <f>""</f>
        <v/>
      </c>
      <c r="T117" s="1" t="s">
        <v>29</v>
      </c>
      <c r="U117" s="1" t="s">
        <v>30</v>
      </c>
      <c r="V117" s="1">
        <v>0</v>
      </c>
    </row>
    <row r="118" spans="2:22" x14ac:dyDescent="0.15">
      <c r="B118" s="1" t="str">
        <f>"010****3470"</f>
        <v>010****3470</v>
      </c>
      <c r="C118" s="1" t="s">
        <v>23</v>
      </c>
      <c r="D118" s="1" t="str">
        <f t="shared" si="10"/>
        <v>89177328</v>
      </c>
      <c r="E118" s="1" t="s">
        <v>24</v>
      </c>
      <c r="F118" s="1" t="str">
        <f t="shared" si="11"/>
        <v>0010</v>
      </c>
      <c r="G118" s="1" t="str">
        <f>""</f>
        <v/>
      </c>
      <c r="H118" s="1" t="str">
        <f>"0018"</f>
        <v>0018</v>
      </c>
      <c r="I118" s="1" t="s">
        <v>36</v>
      </c>
      <c r="J118" s="1" t="str">
        <f>"01043977572"</f>
        <v>01043977572</v>
      </c>
      <c r="K118" s="1" t="str">
        <f>"2017-04-14 09:26:11"</f>
        <v>2017-04-14 09:26:11</v>
      </c>
      <c r="L118" s="1" t="str">
        <f>"2017-04-14 09:26:21"</f>
        <v>2017-04-14 09:26:21</v>
      </c>
      <c r="M118" s="2">
        <v>5.0694444444444441E-3</v>
      </c>
      <c r="N118" s="1" t="s">
        <v>26</v>
      </c>
      <c r="O118" s="1" t="s">
        <v>34</v>
      </c>
      <c r="P118" s="2">
        <v>5.185185185185185E-3</v>
      </c>
      <c r="Q118" s="1" t="s">
        <v>166</v>
      </c>
      <c r="R118" s="1">
        <v>0</v>
      </c>
      <c r="S118" s="1" t="str">
        <f>""</f>
        <v/>
      </c>
      <c r="T118" s="1" t="s">
        <v>29</v>
      </c>
      <c r="U118" s="1" t="s">
        <v>30</v>
      </c>
      <c r="V118" s="1">
        <v>0</v>
      </c>
    </row>
    <row r="119" spans="2:22" x14ac:dyDescent="0.15">
      <c r="B119" s="1" t="str">
        <f>"150****6033"</f>
        <v>150****6033</v>
      </c>
      <c r="C119" s="1" t="s">
        <v>23</v>
      </c>
      <c r="D119" s="1" t="str">
        <f t="shared" si="10"/>
        <v>89177328</v>
      </c>
      <c r="E119" s="1" t="s">
        <v>24</v>
      </c>
      <c r="F119" s="1" t="str">
        <f t="shared" si="11"/>
        <v>0010</v>
      </c>
      <c r="G119" s="1" t="str">
        <f>""</f>
        <v/>
      </c>
      <c r="H119" s="1" t="str">
        <f>"0036"</f>
        <v>0036</v>
      </c>
      <c r="I119" s="1" t="s">
        <v>143</v>
      </c>
      <c r="J119" s="1" t="str">
        <f>"01043977573"</f>
        <v>01043977573</v>
      </c>
      <c r="K119" s="1" t="str">
        <f>"2017-04-14 09:19:53"</f>
        <v>2017-04-14 09:19:53</v>
      </c>
      <c r="L119" s="1" t="str">
        <f>"2017-04-14 09:19:56"</f>
        <v>2017-04-14 09:19:56</v>
      </c>
      <c r="M119" s="2">
        <v>7.3263888888888892E-3</v>
      </c>
      <c r="N119" s="1" t="s">
        <v>26</v>
      </c>
      <c r="O119" s="1" t="s">
        <v>34</v>
      </c>
      <c r="P119" s="2">
        <v>7.3611111111111108E-3</v>
      </c>
      <c r="Q119" s="1" t="s">
        <v>167</v>
      </c>
      <c r="R119" s="1">
        <v>0</v>
      </c>
      <c r="S119" s="1" t="str">
        <f>""</f>
        <v/>
      </c>
      <c r="T119" s="1" t="s">
        <v>29</v>
      </c>
      <c r="U119" s="1" t="s">
        <v>30</v>
      </c>
      <c r="V119" s="1">
        <v>0</v>
      </c>
    </row>
    <row r="120" spans="2:22" x14ac:dyDescent="0.15">
      <c r="B120" s="1" t="str">
        <f>"188****1115"</f>
        <v>188****1115</v>
      </c>
      <c r="C120" s="1" t="s">
        <v>69</v>
      </c>
      <c r="D120" s="1" t="str">
        <f t="shared" si="10"/>
        <v>89177328</v>
      </c>
      <c r="E120" s="1" t="s">
        <v>24</v>
      </c>
      <c r="F120" s="1" t="str">
        <f t="shared" si="11"/>
        <v>0010</v>
      </c>
      <c r="G120" s="1" t="str">
        <f>""</f>
        <v/>
      </c>
      <c r="H120" s="1" t="str">
        <f>"0010"</f>
        <v>0010</v>
      </c>
      <c r="I120" s="1" t="s">
        <v>71</v>
      </c>
      <c r="J120" s="1" t="str">
        <f>"01043977571"</f>
        <v>01043977571</v>
      </c>
      <c r="K120" s="1" t="str">
        <f>"2017-04-14 09:11:10"</f>
        <v>2017-04-14 09:11:10</v>
      </c>
      <c r="L120" s="1" t="str">
        <f>"2017-04-14 09:11:20"</f>
        <v>2017-04-14 09:11:20</v>
      </c>
      <c r="M120" s="2">
        <v>8.819444444444444E-3</v>
      </c>
      <c r="N120" s="1" t="s">
        <v>26</v>
      </c>
      <c r="O120" s="1" t="s">
        <v>34</v>
      </c>
      <c r="P120" s="2">
        <v>8.9351851851851866E-3</v>
      </c>
      <c r="Q120" s="1" t="s">
        <v>168</v>
      </c>
      <c r="R120" s="1">
        <v>0</v>
      </c>
      <c r="S120" s="1" t="str">
        <f>""</f>
        <v/>
      </c>
      <c r="T120" s="1" t="s">
        <v>29</v>
      </c>
      <c r="U120" s="1" t="s">
        <v>30</v>
      </c>
      <c r="V120" s="1">
        <v>0</v>
      </c>
    </row>
    <row r="121" spans="2:22" x14ac:dyDescent="0.15">
      <c r="B121" s="1" t="str">
        <f>"138****7079"</f>
        <v>138****7079</v>
      </c>
      <c r="C121" s="1" t="s">
        <v>23</v>
      </c>
      <c r="D121" s="1" t="str">
        <f t="shared" si="10"/>
        <v>89177328</v>
      </c>
      <c r="E121" s="1" t="s">
        <v>24</v>
      </c>
      <c r="F121" s="1" t="str">
        <f t="shared" si="11"/>
        <v>0010</v>
      </c>
      <c r="G121" s="1" t="str">
        <f>""</f>
        <v/>
      </c>
      <c r="H121" s="1" t="str">
        <f>"0017"</f>
        <v>0017</v>
      </c>
      <c r="I121" s="1" t="s">
        <v>135</v>
      </c>
      <c r="J121" s="1" t="str">
        <f>"01043989717"</f>
        <v>01043989717</v>
      </c>
      <c r="K121" s="1" t="str">
        <f>"2017-04-14 09:06:52"</f>
        <v>2017-04-14 09:06:52</v>
      </c>
      <c r="L121" s="1" t="str">
        <f>"2017-04-14 09:07:00"</f>
        <v>2017-04-14 09:07:00</v>
      </c>
      <c r="M121" s="2">
        <v>5.208333333333333E-3</v>
      </c>
      <c r="N121" s="1" t="s">
        <v>26</v>
      </c>
      <c r="O121" s="1" t="s">
        <v>27</v>
      </c>
      <c r="P121" s="2">
        <v>5.3009259259259251E-3</v>
      </c>
      <c r="Q121" s="1" t="s">
        <v>169</v>
      </c>
      <c r="R121" s="1">
        <v>0</v>
      </c>
      <c r="S121" s="1" t="str">
        <f>""</f>
        <v/>
      </c>
      <c r="T121" s="1" t="s">
        <v>29</v>
      </c>
      <c r="U121" s="1" t="s">
        <v>30</v>
      </c>
      <c r="V121" s="1">
        <v>0</v>
      </c>
    </row>
    <row r="122" spans="2:22" x14ac:dyDescent="0.15">
      <c r="B122" s="1" t="str">
        <f>"136****4725"</f>
        <v>136****4725</v>
      </c>
      <c r="C122" s="1" t="s">
        <v>170</v>
      </c>
      <c r="D122" s="1" t="str">
        <f t="shared" si="10"/>
        <v>89177328</v>
      </c>
      <c r="E122" s="1" t="s">
        <v>24</v>
      </c>
      <c r="F122" s="1" t="str">
        <f t="shared" si="11"/>
        <v>0010</v>
      </c>
      <c r="G122" s="1" t="str">
        <f>""</f>
        <v/>
      </c>
      <c r="H122" s="1" t="str">
        <f>"0018"</f>
        <v>0018</v>
      </c>
      <c r="I122" s="1" t="s">
        <v>36</v>
      </c>
      <c r="J122" s="1" t="str">
        <f>"01043977572"</f>
        <v>01043977572</v>
      </c>
      <c r="K122" s="1" t="str">
        <f>"2017-04-14 09:05:47"</f>
        <v>2017-04-14 09:05:47</v>
      </c>
      <c r="L122" s="1" t="str">
        <f>"2017-04-14 09:05:54"</f>
        <v>2017-04-14 09:05:54</v>
      </c>
      <c r="M122" s="2">
        <v>5.7175925925925927E-3</v>
      </c>
      <c r="N122" s="1" t="s">
        <v>26</v>
      </c>
      <c r="O122" s="1" t="s">
        <v>34</v>
      </c>
      <c r="P122" s="2">
        <v>5.7986111111111112E-3</v>
      </c>
      <c r="Q122" s="1" t="s">
        <v>171</v>
      </c>
      <c r="R122" s="1">
        <v>0</v>
      </c>
      <c r="S122" s="1" t="str">
        <f>""</f>
        <v/>
      </c>
      <c r="T122" s="1" t="s">
        <v>29</v>
      </c>
      <c r="U122" s="1" t="s">
        <v>30</v>
      </c>
      <c r="V122" s="1">
        <v>0</v>
      </c>
    </row>
    <row r="123" spans="2:22" x14ac:dyDescent="0.15">
      <c r="B123" s="1" t="str">
        <f>"185****8161"</f>
        <v>185****8161</v>
      </c>
      <c r="C123" s="1" t="s">
        <v>23</v>
      </c>
      <c r="D123" s="1" t="str">
        <f t="shared" si="10"/>
        <v>89177328</v>
      </c>
      <c r="E123" s="1" t="s">
        <v>24</v>
      </c>
      <c r="F123" s="1" t="str">
        <f t="shared" si="11"/>
        <v>0010</v>
      </c>
      <c r="G123" s="1" t="str">
        <f>""</f>
        <v/>
      </c>
      <c r="H123" s="1" t="str">
        <f>"0017"</f>
        <v>0017</v>
      </c>
      <c r="I123" s="1" t="s">
        <v>135</v>
      </c>
      <c r="J123" s="1" t="str">
        <f>"01043989717"</f>
        <v>01043989717</v>
      </c>
      <c r="K123" s="1" t="str">
        <f>"2017-04-14 09:00:42"</f>
        <v>2017-04-14 09:00:42</v>
      </c>
      <c r="L123" s="1" t="str">
        <f>"2017-04-14 09:00:50"</f>
        <v>2017-04-14 09:00:50</v>
      </c>
      <c r="M123" s="2">
        <v>1.8518518518518518E-4</v>
      </c>
      <c r="N123" s="1" t="s">
        <v>26</v>
      </c>
      <c r="O123" s="1" t="s">
        <v>34</v>
      </c>
      <c r="P123" s="2">
        <v>2.7777777777777778E-4</v>
      </c>
      <c r="Q123" s="1" t="s">
        <v>172</v>
      </c>
      <c r="R123" s="1">
        <v>0</v>
      </c>
      <c r="S123" s="1" t="str">
        <f>""</f>
        <v/>
      </c>
      <c r="T123" s="1" t="s">
        <v>29</v>
      </c>
      <c r="U123" s="1" t="s">
        <v>30</v>
      </c>
      <c r="V123" s="1">
        <v>0</v>
      </c>
    </row>
    <row r="124" spans="2:22" x14ac:dyDescent="0.15">
      <c r="B124" s="1" t="str">
        <f>"171****8479"</f>
        <v>171****8479</v>
      </c>
      <c r="C124" s="1" t="s">
        <v>23</v>
      </c>
      <c r="D124" s="1" t="str">
        <f t="shared" si="10"/>
        <v>89177328</v>
      </c>
      <c r="E124" s="1" t="s">
        <v>24</v>
      </c>
      <c r="F124" s="1" t="str">
        <f t="shared" si="11"/>
        <v>0010</v>
      </c>
      <c r="G124" s="1" t="str">
        <f>""</f>
        <v/>
      </c>
      <c r="H124" s="1" t="str">
        <f>"0036"</f>
        <v>0036</v>
      </c>
      <c r="I124" s="1" t="s">
        <v>143</v>
      </c>
      <c r="J124" s="1" t="str">
        <f>"01043977573"</f>
        <v>01043977573</v>
      </c>
      <c r="K124" s="1" t="str">
        <f>"2017-04-14 08:57:58"</f>
        <v>2017-04-14 08:57:58</v>
      </c>
      <c r="L124" s="1" t="str">
        <f>"2017-04-14 08:58:02"</f>
        <v>2017-04-14 08:58:02</v>
      </c>
      <c r="M124" s="2">
        <v>9.2013888888888892E-3</v>
      </c>
      <c r="N124" s="1" t="s">
        <v>26</v>
      </c>
      <c r="O124" s="1" t="s">
        <v>27</v>
      </c>
      <c r="P124" s="2">
        <v>9.2476851851851852E-3</v>
      </c>
      <c r="Q124" s="1" t="s">
        <v>173</v>
      </c>
      <c r="R124" s="1">
        <v>0</v>
      </c>
      <c r="S124" s="1" t="str">
        <f>""</f>
        <v/>
      </c>
      <c r="T124" s="1" t="s">
        <v>29</v>
      </c>
      <c r="U124" s="1" t="s">
        <v>30</v>
      </c>
      <c r="V124" s="1">
        <v>0</v>
      </c>
    </row>
    <row r="125" spans="2:22" x14ac:dyDescent="0.15">
      <c r="B125" s="1" t="str">
        <f>"132****1867"</f>
        <v>132****1867</v>
      </c>
      <c r="C125" s="1" t="s">
        <v>23</v>
      </c>
      <c r="D125" s="1" t="str">
        <f t="shared" si="10"/>
        <v>89177328</v>
      </c>
      <c r="E125" s="1" t="s">
        <v>24</v>
      </c>
      <c r="F125" s="1" t="str">
        <f t="shared" si="11"/>
        <v>0010</v>
      </c>
      <c r="G125" s="1" t="str">
        <f>""</f>
        <v/>
      </c>
      <c r="H125" s="1" t="str">
        <f>"0033"</f>
        <v>0033</v>
      </c>
      <c r="I125" s="1" t="s">
        <v>106</v>
      </c>
      <c r="J125" s="1" t="str">
        <f>"01043977567"</f>
        <v>01043977567</v>
      </c>
      <c r="K125" s="1" t="str">
        <f>"2017-04-14 08:55:54"</f>
        <v>2017-04-14 08:55:54</v>
      </c>
      <c r="L125" s="1" t="str">
        <f>"2017-04-14 08:56:02"</f>
        <v>2017-04-14 08:56:02</v>
      </c>
      <c r="M125" s="2">
        <v>1.0960648148148148E-2</v>
      </c>
      <c r="N125" s="1" t="s">
        <v>26</v>
      </c>
      <c r="O125" s="1" t="s">
        <v>27</v>
      </c>
      <c r="P125" s="2">
        <v>1.105324074074074E-2</v>
      </c>
      <c r="Q125" s="1" t="s">
        <v>174</v>
      </c>
      <c r="R125" s="1">
        <v>0</v>
      </c>
      <c r="S125" s="1" t="str">
        <f>""</f>
        <v/>
      </c>
      <c r="T125" s="1" t="s">
        <v>29</v>
      </c>
      <c r="U125" s="1" t="s">
        <v>30</v>
      </c>
      <c r="V125" s="1">
        <v>0</v>
      </c>
    </row>
    <row r="126" spans="2:22" x14ac:dyDescent="0.15">
      <c r="B126" s="1" t="str">
        <f>"186****0604"</f>
        <v>186****0604</v>
      </c>
      <c r="C126" s="1" t="s">
        <v>23</v>
      </c>
      <c r="D126" s="1" t="str">
        <f t="shared" si="10"/>
        <v>89177328</v>
      </c>
      <c r="E126" s="1" t="s">
        <v>24</v>
      </c>
      <c r="F126" s="1" t="str">
        <f t="shared" si="11"/>
        <v>0010</v>
      </c>
      <c r="G126" s="1" t="str">
        <f>""</f>
        <v/>
      </c>
      <c r="H126" s="1" t="str">
        <f>"0033"</f>
        <v>0033</v>
      </c>
      <c r="I126" s="1" t="s">
        <v>106</v>
      </c>
      <c r="J126" s="1" t="str">
        <f>"01043977567"</f>
        <v>01043977567</v>
      </c>
      <c r="K126" s="1" t="str">
        <f>"2017-04-14 08:55:20"</f>
        <v>2017-04-14 08:55:20</v>
      </c>
      <c r="L126" s="1" t="str">
        <f>"-"</f>
        <v>-</v>
      </c>
      <c r="M126" s="2">
        <v>0</v>
      </c>
      <c r="N126" s="1" t="s">
        <v>33</v>
      </c>
      <c r="O126" s="1" t="s">
        <v>34</v>
      </c>
      <c r="P126" s="2">
        <v>1.0416666666666667E-4</v>
      </c>
      <c r="Q126" s="1" t="str">
        <f>""</f>
        <v/>
      </c>
      <c r="R126" s="1">
        <v>0</v>
      </c>
      <c r="S126" s="1" t="str">
        <f>""</f>
        <v/>
      </c>
      <c r="T126" s="1" t="s">
        <v>29</v>
      </c>
      <c r="U126" s="1" t="s">
        <v>30</v>
      </c>
      <c r="V126" s="1">
        <v>0</v>
      </c>
    </row>
    <row r="127" spans="2:22" x14ac:dyDescent="0.15">
      <c r="B127" s="1" t="str">
        <f>"186****0604"</f>
        <v>186****0604</v>
      </c>
      <c r="C127" s="1" t="s">
        <v>23</v>
      </c>
      <c r="D127" s="1" t="str">
        <f t="shared" si="10"/>
        <v>89177328</v>
      </c>
      <c r="E127" s="1" t="s">
        <v>24</v>
      </c>
      <c r="F127" s="1" t="str">
        <f t="shared" si="11"/>
        <v>0010</v>
      </c>
      <c r="G127" s="1" t="str">
        <f>""</f>
        <v/>
      </c>
      <c r="H127" s="1" t="str">
        <f>"0010"</f>
        <v>0010</v>
      </c>
      <c r="I127" s="1" t="s">
        <v>71</v>
      </c>
      <c r="J127" s="1" t="str">
        <f>"01043977571"</f>
        <v>01043977571</v>
      </c>
      <c r="K127" s="1" t="str">
        <f>"2017-04-14 08:52:57"</f>
        <v>2017-04-14 08:52:57</v>
      </c>
      <c r="L127" s="1" t="str">
        <f>"-"</f>
        <v>-</v>
      </c>
      <c r="M127" s="2">
        <v>0</v>
      </c>
      <c r="N127" s="1" t="s">
        <v>33</v>
      </c>
      <c r="O127" s="1" t="s">
        <v>34</v>
      </c>
      <c r="P127" s="2">
        <v>3.4722222222222222E-5</v>
      </c>
      <c r="Q127" s="1" t="str">
        <f>""</f>
        <v/>
      </c>
      <c r="R127" s="1">
        <v>0</v>
      </c>
      <c r="S127" s="1" t="str">
        <f>""</f>
        <v/>
      </c>
      <c r="T127" s="1" t="s">
        <v>29</v>
      </c>
      <c r="U127" s="1" t="s">
        <v>30</v>
      </c>
      <c r="V127" s="1">
        <v>0</v>
      </c>
    </row>
    <row r="128" spans="2:22" x14ac:dyDescent="0.15">
      <c r="B128" s="1" t="str">
        <f>"186****0604"</f>
        <v>186****0604</v>
      </c>
      <c r="C128" s="1" t="s">
        <v>23</v>
      </c>
      <c r="D128" s="1" t="str">
        <f t="shared" si="10"/>
        <v>89177328</v>
      </c>
      <c r="E128" s="1" t="s">
        <v>24</v>
      </c>
      <c r="F128" s="1" t="str">
        <f t="shared" si="11"/>
        <v>0010</v>
      </c>
      <c r="G128" s="1" t="str">
        <f>""</f>
        <v/>
      </c>
      <c r="H128" s="1" t="str">
        <f>"0033"</f>
        <v>0033</v>
      </c>
      <c r="I128" s="1" t="s">
        <v>106</v>
      </c>
      <c r="J128" s="1" t="str">
        <f>"01043977567"</f>
        <v>01043977567</v>
      </c>
      <c r="K128" s="1" t="str">
        <f>"2017-04-14 08:52:22"</f>
        <v>2017-04-14 08:52:22</v>
      </c>
      <c r="L128" s="1" t="str">
        <f>"-"</f>
        <v>-</v>
      </c>
      <c r="M128" s="2">
        <v>0</v>
      </c>
      <c r="N128" s="1" t="s">
        <v>33</v>
      </c>
      <c r="O128" s="1" t="s">
        <v>34</v>
      </c>
      <c r="P128" s="2">
        <v>2.199074074074074E-4</v>
      </c>
      <c r="Q128" s="1" t="str">
        <f>""</f>
        <v/>
      </c>
      <c r="R128" s="1">
        <v>0</v>
      </c>
      <c r="S128" s="1" t="str">
        <f>""</f>
        <v/>
      </c>
      <c r="T128" s="1" t="s">
        <v>29</v>
      </c>
      <c r="U128" s="1" t="s">
        <v>30</v>
      </c>
      <c r="V128" s="1">
        <v>0</v>
      </c>
    </row>
    <row r="129" spans="2:22" x14ac:dyDescent="0.15">
      <c r="B129" s="1" t="str">
        <f>"186****6713"</f>
        <v>186****6713</v>
      </c>
      <c r="C129" s="1" t="s">
        <v>44</v>
      </c>
      <c r="D129" s="1" t="str">
        <f t="shared" si="10"/>
        <v>89177328</v>
      </c>
      <c r="E129" s="1" t="s">
        <v>24</v>
      </c>
      <c r="F129" s="1" t="str">
        <f t="shared" si="11"/>
        <v>0010</v>
      </c>
      <c r="G129" s="1" t="str">
        <f>""</f>
        <v/>
      </c>
      <c r="H129" s="1" t="str">
        <f>"0033"</f>
        <v>0033</v>
      </c>
      <c r="I129" s="1" t="s">
        <v>106</v>
      </c>
      <c r="J129" s="1" t="str">
        <f>"01043977567"</f>
        <v>01043977567</v>
      </c>
      <c r="K129" s="1" t="str">
        <f>"2017-04-14 08:48:14"</f>
        <v>2017-04-14 08:48:14</v>
      </c>
      <c r="L129" s="1" t="str">
        <f>"-"</f>
        <v>-</v>
      </c>
      <c r="M129" s="2">
        <v>0</v>
      </c>
      <c r="N129" s="1" t="s">
        <v>33</v>
      </c>
      <c r="O129" s="1" t="s">
        <v>34</v>
      </c>
      <c r="P129" s="2">
        <v>1.261574074074074E-3</v>
      </c>
      <c r="Q129" s="1" t="str">
        <f>""</f>
        <v/>
      </c>
      <c r="R129" s="1">
        <v>0</v>
      </c>
      <c r="S129" s="1" t="str">
        <f>""</f>
        <v/>
      </c>
      <c r="T129" s="1" t="s">
        <v>29</v>
      </c>
      <c r="U129" s="1" t="s">
        <v>30</v>
      </c>
      <c r="V129" s="1">
        <v>0</v>
      </c>
    </row>
    <row r="130" spans="2:22" x14ac:dyDescent="0.15">
      <c r="B130" s="1" t="str">
        <f>"159****5612"</f>
        <v>159****5612</v>
      </c>
      <c r="C130" s="1" t="s">
        <v>23</v>
      </c>
      <c r="D130" s="1" t="str">
        <f t="shared" si="10"/>
        <v>89177328</v>
      </c>
      <c r="E130" s="1" t="s">
        <v>24</v>
      </c>
      <c r="F130" s="1" t="str">
        <f t="shared" si="11"/>
        <v>0010</v>
      </c>
      <c r="G130" s="1" t="str">
        <f>""</f>
        <v/>
      </c>
      <c r="H130" s="1" t="str">
        <f>"0017"</f>
        <v>0017</v>
      </c>
      <c r="I130" s="1" t="s">
        <v>135</v>
      </c>
      <c r="J130" s="1" t="str">
        <f>"01043989717"</f>
        <v>01043989717</v>
      </c>
      <c r="K130" s="1" t="str">
        <f>"2017-04-14 08:46:27"</f>
        <v>2017-04-14 08:46:27</v>
      </c>
      <c r="L130" s="1" t="str">
        <f>"2017-04-14 08:46:37"</f>
        <v>2017-04-14 08:46:37</v>
      </c>
      <c r="M130" s="2">
        <v>4.363425925925926E-3</v>
      </c>
      <c r="N130" s="1" t="s">
        <v>26</v>
      </c>
      <c r="O130" s="1" t="s">
        <v>27</v>
      </c>
      <c r="P130" s="2">
        <v>4.4791666666666669E-3</v>
      </c>
      <c r="Q130" s="1" t="s">
        <v>175</v>
      </c>
      <c r="R130" s="1">
        <v>0</v>
      </c>
      <c r="S130" s="1" t="str">
        <f>""</f>
        <v/>
      </c>
      <c r="T130" s="1" t="s">
        <v>29</v>
      </c>
      <c r="U130" s="1" t="s">
        <v>30</v>
      </c>
      <c r="V130" s="1">
        <v>0</v>
      </c>
    </row>
    <row r="131" spans="2:22" x14ac:dyDescent="0.15">
      <c r="B131" s="1" t="str">
        <f>"188****5203"</f>
        <v>188****5203</v>
      </c>
      <c r="C131" s="1" t="s">
        <v>23</v>
      </c>
      <c r="D131" s="1" t="str">
        <f t="shared" si="10"/>
        <v>89177328</v>
      </c>
      <c r="E131" s="1" t="s">
        <v>24</v>
      </c>
      <c r="F131" s="1" t="str">
        <f t="shared" si="11"/>
        <v>0010</v>
      </c>
      <c r="G131" s="1" t="str">
        <f>""</f>
        <v/>
      </c>
      <c r="H131" s="1" t="str">
        <f>"0036"</f>
        <v>0036</v>
      </c>
      <c r="I131" s="1" t="s">
        <v>143</v>
      </c>
      <c r="J131" s="1" t="str">
        <f>"01043977573"</f>
        <v>01043977573</v>
      </c>
      <c r="K131" s="1" t="str">
        <f>"2017-04-14 08:42:52"</f>
        <v>2017-04-14 08:42:52</v>
      </c>
      <c r="L131" s="1" t="str">
        <f>"2017-04-14 08:42:58"</f>
        <v>2017-04-14 08:42:58</v>
      </c>
      <c r="M131" s="2">
        <v>7.2800925925925915E-3</v>
      </c>
      <c r="N131" s="1" t="s">
        <v>26</v>
      </c>
      <c r="O131" s="1" t="s">
        <v>34</v>
      </c>
      <c r="P131" s="2">
        <v>7.3495370370370372E-3</v>
      </c>
      <c r="Q131" s="1" t="s">
        <v>176</v>
      </c>
      <c r="R131" s="1">
        <v>0</v>
      </c>
      <c r="S131" s="1" t="str">
        <f>""</f>
        <v/>
      </c>
      <c r="T131" s="1" t="s">
        <v>29</v>
      </c>
      <c r="U131" s="1" t="s">
        <v>30</v>
      </c>
      <c r="V131" s="1">
        <v>0</v>
      </c>
    </row>
    <row r="132" spans="2:22" x14ac:dyDescent="0.15">
      <c r="B132" s="1" t="str">
        <f>"134****2821"</f>
        <v>134****2821</v>
      </c>
      <c r="C132" s="1" t="s">
        <v>76</v>
      </c>
      <c r="D132" s="1" t="str">
        <f t="shared" si="10"/>
        <v>89177328</v>
      </c>
      <c r="E132" s="1" t="s">
        <v>24</v>
      </c>
      <c r="F132" s="1" t="str">
        <f t="shared" si="11"/>
        <v>0010</v>
      </c>
      <c r="G132" s="1" t="str">
        <f>""</f>
        <v/>
      </c>
      <c r="H132" s="1" t="str">
        <f>"0018"</f>
        <v>0018</v>
      </c>
      <c r="I132" s="1" t="s">
        <v>36</v>
      </c>
      <c r="J132" s="1" t="str">
        <f>"01043977572"</f>
        <v>01043977572</v>
      </c>
      <c r="K132" s="1" t="str">
        <f>"2017-04-14 08:41:17"</f>
        <v>2017-04-14 08:41:17</v>
      </c>
      <c r="L132" s="1" t="str">
        <f>"2017-04-14 08:41:27"</f>
        <v>2017-04-14 08:41:27</v>
      </c>
      <c r="M132" s="2">
        <v>1.0162037037037037E-2</v>
      </c>
      <c r="N132" s="1" t="s">
        <v>26</v>
      </c>
      <c r="O132" s="1" t="s">
        <v>34</v>
      </c>
      <c r="P132" s="2">
        <v>1.0277777777777778E-2</v>
      </c>
      <c r="Q132" s="1" t="s">
        <v>177</v>
      </c>
      <c r="R132" s="1">
        <v>0</v>
      </c>
      <c r="S132" s="1" t="str">
        <f>""</f>
        <v/>
      </c>
      <c r="T132" s="1" t="s">
        <v>29</v>
      </c>
      <c r="U132" s="1" t="s">
        <v>30</v>
      </c>
      <c r="V132" s="1">
        <v>0</v>
      </c>
    </row>
    <row r="133" spans="2:22" x14ac:dyDescent="0.15">
      <c r="B133" s="1" t="str">
        <f>"188****5203"</f>
        <v>188****5203</v>
      </c>
      <c r="C133" s="1" t="s">
        <v>23</v>
      </c>
      <c r="D133" s="1" t="str">
        <f t="shared" si="10"/>
        <v>89177328</v>
      </c>
      <c r="E133" s="1" t="s">
        <v>24</v>
      </c>
      <c r="F133" s="1" t="str">
        <f t="shared" si="11"/>
        <v>0010</v>
      </c>
      <c r="G133" s="1" t="str">
        <f>""</f>
        <v/>
      </c>
      <c r="H133" s="1" t="str">
        <f>""</f>
        <v/>
      </c>
      <c r="I133" s="1" t="str">
        <f>""</f>
        <v/>
      </c>
      <c r="J133" s="1" t="str">
        <f>""</f>
        <v/>
      </c>
      <c r="K133" s="1" t="str">
        <f>"2017-04-14 08:33:42"</f>
        <v>2017-04-14 08:33:42</v>
      </c>
      <c r="L133" s="1" t="str">
        <f>"-"</f>
        <v>-</v>
      </c>
      <c r="M133" s="2">
        <v>0</v>
      </c>
      <c r="N133" s="1" t="s">
        <v>55</v>
      </c>
      <c r="O133" s="1" t="s">
        <v>27</v>
      </c>
      <c r="P133" s="2">
        <v>4.6296296296296294E-5</v>
      </c>
      <c r="Q133" s="1" t="str">
        <f>""</f>
        <v/>
      </c>
      <c r="R133" s="1">
        <v>0</v>
      </c>
      <c r="S133" s="1" t="str">
        <f>""</f>
        <v/>
      </c>
      <c r="T133" s="1" t="s">
        <v>29</v>
      </c>
      <c r="U133" s="1" t="s">
        <v>30</v>
      </c>
      <c r="V133" s="1">
        <v>0</v>
      </c>
    </row>
    <row r="134" spans="2:22" x14ac:dyDescent="0.15">
      <c r="B134" s="1" t="str">
        <f>"188****8371"</f>
        <v>188****8371</v>
      </c>
      <c r="C134" s="1" t="s">
        <v>23</v>
      </c>
      <c r="D134" s="1" t="str">
        <f t="shared" si="10"/>
        <v>89177328</v>
      </c>
      <c r="E134" s="1" t="s">
        <v>24</v>
      </c>
      <c r="F134" s="1" t="str">
        <f t="shared" si="11"/>
        <v>0010</v>
      </c>
      <c r="G134" s="1" t="str">
        <f>""</f>
        <v/>
      </c>
      <c r="H134" s="1" t="str">
        <f>"0017"</f>
        <v>0017</v>
      </c>
      <c r="I134" s="1" t="s">
        <v>135</v>
      </c>
      <c r="J134" s="1" t="str">
        <f>"01043989717"</f>
        <v>01043989717</v>
      </c>
      <c r="K134" s="1" t="str">
        <f>"2017-04-14 08:32:26"</f>
        <v>2017-04-14 08:32:26</v>
      </c>
      <c r="L134" s="1" t="str">
        <f>"2017-04-14 08:32:36"</f>
        <v>2017-04-14 08:32:36</v>
      </c>
      <c r="M134" s="2">
        <v>4.3055555555555555E-3</v>
      </c>
      <c r="N134" s="1" t="s">
        <v>26</v>
      </c>
      <c r="O134" s="1" t="s">
        <v>27</v>
      </c>
      <c r="P134" s="2">
        <v>4.4212962962962956E-3</v>
      </c>
      <c r="Q134" s="1" t="s">
        <v>178</v>
      </c>
      <c r="R134" s="1">
        <v>0</v>
      </c>
      <c r="S134" s="1" t="str">
        <f>""</f>
        <v/>
      </c>
      <c r="T134" s="1" t="s">
        <v>29</v>
      </c>
      <c r="U134" s="1" t="s">
        <v>30</v>
      </c>
      <c r="V134" s="1">
        <v>0</v>
      </c>
    </row>
    <row r="135" spans="2:22" x14ac:dyDescent="0.15">
      <c r="B135" s="1" t="str">
        <f>"010****4025"</f>
        <v>010****4025</v>
      </c>
      <c r="C135" s="1" t="s">
        <v>23</v>
      </c>
      <c r="D135" s="1" t="str">
        <f t="shared" si="10"/>
        <v>89177328</v>
      </c>
      <c r="E135" s="1" t="s">
        <v>24</v>
      </c>
      <c r="F135" s="1" t="str">
        <f t="shared" si="11"/>
        <v>0010</v>
      </c>
      <c r="G135" s="1" t="str">
        <f>""</f>
        <v/>
      </c>
      <c r="H135" s="1" t="str">
        <f>"0018"</f>
        <v>0018</v>
      </c>
      <c r="I135" s="1" t="s">
        <v>36</v>
      </c>
      <c r="J135" s="1" t="str">
        <f>"01043977572"</f>
        <v>01043977572</v>
      </c>
      <c r="K135" s="1" t="str">
        <f>"2017-04-14 08:26:32"</f>
        <v>2017-04-14 08:26:32</v>
      </c>
      <c r="L135" s="1" t="str">
        <f>"2017-04-14 08:26:44"</f>
        <v>2017-04-14 08:26:44</v>
      </c>
      <c r="M135" s="2">
        <v>6.9907407407407409E-3</v>
      </c>
      <c r="N135" s="1" t="s">
        <v>26</v>
      </c>
      <c r="O135" s="1" t="s">
        <v>34</v>
      </c>
      <c r="P135" s="2">
        <v>7.1296296296296307E-3</v>
      </c>
      <c r="Q135" s="1" t="s">
        <v>179</v>
      </c>
      <c r="R135" s="1">
        <v>0</v>
      </c>
      <c r="S135" s="1" t="str">
        <f>""</f>
        <v/>
      </c>
      <c r="T135" s="1" t="s">
        <v>29</v>
      </c>
      <c r="U135" s="1" t="s">
        <v>30</v>
      </c>
      <c r="V135" s="1">
        <v>0</v>
      </c>
    </row>
    <row r="136" spans="2:22" x14ac:dyDescent="0.15">
      <c r="B136" s="1" t="str">
        <f>"134****0805"</f>
        <v>134****0805</v>
      </c>
      <c r="C136" s="1" t="s">
        <v>137</v>
      </c>
      <c r="D136" s="1" t="str">
        <f t="shared" si="10"/>
        <v>89177328</v>
      </c>
      <c r="E136" s="1" t="s">
        <v>24</v>
      </c>
      <c r="F136" s="1" t="str">
        <f t="shared" si="11"/>
        <v>0010</v>
      </c>
      <c r="G136" s="1" t="str">
        <f>""</f>
        <v/>
      </c>
      <c r="H136" s="1" t="str">
        <f>"0036"</f>
        <v>0036</v>
      </c>
      <c r="I136" s="1" t="s">
        <v>143</v>
      </c>
      <c r="J136" s="1" t="str">
        <f>"01043977573"</f>
        <v>01043977573</v>
      </c>
      <c r="K136" s="1" t="str">
        <f>"2017-04-14 08:21:49"</f>
        <v>2017-04-14 08:21:49</v>
      </c>
      <c r="L136" s="1" t="str">
        <f>"2017-04-14 08:21:58"</f>
        <v>2017-04-14 08:21:58</v>
      </c>
      <c r="M136" s="2">
        <v>1.298611111111111E-2</v>
      </c>
      <c r="N136" s="1" t="s">
        <v>26</v>
      </c>
      <c r="O136" s="1" t="s">
        <v>34</v>
      </c>
      <c r="P136" s="2">
        <v>1.3090277777777779E-2</v>
      </c>
      <c r="Q136" s="1" t="s">
        <v>180</v>
      </c>
      <c r="R136" s="1">
        <v>0</v>
      </c>
      <c r="S136" s="1" t="str">
        <f>""</f>
        <v/>
      </c>
      <c r="T136" s="1" t="s">
        <v>29</v>
      </c>
      <c r="U136" s="1" t="s">
        <v>30</v>
      </c>
      <c r="V136" s="1">
        <v>0</v>
      </c>
    </row>
    <row r="137" spans="2:22" x14ac:dyDescent="0.15">
      <c r="B137" s="1" t="str">
        <f>"186****3693"</f>
        <v>186****3693</v>
      </c>
      <c r="C137" s="1" t="s">
        <v>109</v>
      </c>
      <c r="D137" s="1" t="str">
        <f t="shared" si="10"/>
        <v>89177328</v>
      </c>
      <c r="E137" s="1" t="s">
        <v>24</v>
      </c>
      <c r="F137" s="1" t="str">
        <f t="shared" si="11"/>
        <v>0010</v>
      </c>
      <c r="G137" s="1" t="str">
        <f>""</f>
        <v/>
      </c>
      <c r="H137" s="1" t="str">
        <f>"0018"</f>
        <v>0018</v>
      </c>
      <c r="I137" s="1" t="s">
        <v>36</v>
      </c>
      <c r="J137" s="1" t="str">
        <f>"01043977572"</f>
        <v>01043977572</v>
      </c>
      <c r="K137" s="1" t="str">
        <f>"2017-04-14 08:07:48"</f>
        <v>2017-04-14 08:07:48</v>
      </c>
      <c r="L137" s="1" t="str">
        <f>"-"</f>
        <v>-</v>
      </c>
      <c r="M137" s="2">
        <v>0</v>
      </c>
      <c r="N137" s="1" t="s">
        <v>33</v>
      </c>
      <c r="O137" s="1" t="s">
        <v>34</v>
      </c>
      <c r="P137" s="2">
        <v>1.1574074074074073E-5</v>
      </c>
      <c r="Q137" s="1" t="str">
        <f>""</f>
        <v/>
      </c>
      <c r="R137" s="1">
        <v>0</v>
      </c>
      <c r="S137" s="1" t="str">
        <f>""</f>
        <v/>
      </c>
      <c r="T137" s="1" t="s">
        <v>29</v>
      </c>
      <c r="U137" s="1" t="s">
        <v>30</v>
      </c>
      <c r="V137" s="1">
        <v>0</v>
      </c>
    </row>
    <row r="138" spans="2:22" x14ac:dyDescent="0.15">
      <c r="B138" s="1" t="str">
        <f>"131****6272"</f>
        <v>131****6272</v>
      </c>
      <c r="C138" s="1" t="s">
        <v>23</v>
      </c>
      <c r="D138" s="1" t="str">
        <f t="shared" si="10"/>
        <v>89177328</v>
      </c>
      <c r="E138" s="1" t="s">
        <v>24</v>
      </c>
      <c r="F138" s="1" t="str">
        <f t="shared" si="11"/>
        <v>0010</v>
      </c>
      <c r="G138" s="1" t="str">
        <f>""</f>
        <v/>
      </c>
      <c r="H138" s="1" t="str">
        <f>"0036"</f>
        <v>0036</v>
      </c>
      <c r="I138" s="1" t="s">
        <v>143</v>
      </c>
      <c r="J138" s="1" t="str">
        <f>"01043977573"</f>
        <v>01043977573</v>
      </c>
      <c r="K138" s="1" t="str">
        <f>"2017-04-14 08:01:20"</f>
        <v>2017-04-14 08:01:20</v>
      </c>
      <c r="L138" s="1" t="str">
        <f>"-"</f>
        <v>-</v>
      </c>
      <c r="M138" s="2">
        <v>0</v>
      </c>
      <c r="N138" s="1" t="s">
        <v>33</v>
      </c>
      <c r="O138" s="1" t="s">
        <v>34</v>
      </c>
      <c r="P138" s="2">
        <v>1.0416666666666667E-4</v>
      </c>
      <c r="Q138" s="1" t="str">
        <f>""</f>
        <v/>
      </c>
      <c r="R138" s="1">
        <v>0</v>
      </c>
      <c r="S138" s="1" t="str">
        <f>""</f>
        <v/>
      </c>
      <c r="T138" s="1" t="s">
        <v>29</v>
      </c>
      <c r="U138" s="1" t="s">
        <v>30</v>
      </c>
      <c r="V138" s="1">
        <v>0</v>
      </c>
    </row>
    <row r="139" spans="2:22" x14ac:dyDescent="0.15">
      <c r="B139" s="1" t="str">
        <f>"138****1408"</f>
        <v>138****1408</v>
      </c>
      <c r="C139" s="1" t="s">
        <v>23</v>
      </c>
      <c r="D139" s="1" t="str">
        <f t="shared" si="10"/>
        <v>89177328</v>
      </c>
      <c r="E139" s="1" t="s">
        <v>181</v>
      </c>
      <c r="F139" s="1" t="str">
        <f>""</f>
        <v/>
      </c>
      <c r="G139" s="1" t="str">
        <f>""</f>
        <v/>
      </c>
      <c r="H139" s="1" t="str">
        <f>""</f>
        <v/>
      </c>
      <c r="I139" s="1" t="str">
        <f>""</f>
        <v/>
      </c>
      <c r="J139" s="1" t="str">
        <f>""</f>
        <v/>
      </c>
      <c r="K139" s="1" t="str">
        <f>"2017-04-14 07:35:04"</f>
        <v>2017-04-14 07:35:04</v>
      </c>
      <c r="L139" s="1" t="str">
        <f>"2017-04-14 07:35:14"</f>
        <v>2017-04-14 07:35:14</v>
      </c>
      <c r="M139" s="2">
        <v>1.5046296296296297E-4</v>
      </c>
      <c r="N139" s="1" t="s">
        <v>55</v>
      </c>
      <c r="O139" s="1" t="s">
        <v>34</v>
      </c>
      <c r="P139" s="2">
        <v>2.6620370370370372E-4</v>
      </c>
      <c r="Q139" s="1" t="s">
        <v>182</v>
      </c>
      <c r="R139" s="1">
        <v>0</v>
      </c>
      <c r="S139" s="1" t="str">
        <f>""</f>
        <v/>
      </c>
      <c r="T139" s="1" t="s">
        <v>183</v>
      </c>
      <c r="U139" s="1" t="s">
        <v>30</v>
      </c>
      <c r="V139" s="1">
        <v>0</v>
      </c>
    </row>
    <row r="140" spans="2:22" x14ac:dyDescent="0.15">
      <c r="B140" s="1" t="str">
        <f>"137****4333"</f>
        <v>137****4333</v>
      </c>
      <c r="C140" s="1" t="s">
        <v>23</v>
      </c>
      <c r="D140" s="1" t="str">
        <f t="shared" si="10"/>
        <v>89177328</v>
      </c>
      <c r="E140" s="1" t="s">
        <v>24</v>
      </c>
      <c r="F140" s="1" t="str">
        <f t="shared" ref="F140:F148" si="12">"0010"</f>
        <v>0010</v>
      </c>
      <c r="G140" s="1" t="str">
        <f>""</f>
        <v/>
      </c>
      <c r="H140" s="1" t="str">
        <f>"0032"</f>
        <v>0032</v>
      </c>
      <c r="I140" s="1" t="s">
        <v>119</v>
      </c>
      <c r="J140" s="1" t="str">
        <f>"01043977566"</f>
        <v>01043977566</v>
      </c>
      <c r="K140" s="1" t="str">
        <f>"2017-04-13 20:38:53"</f>
        <v>2017-04-13 20:38:53</v>
      </c>
      <c r="L140" s="1" t="str">
        <f>"2017-04-13 20:39:05"</f>
        <v>2017-04-13 20:39:05</v>
      </c>
      <c r="M140" s="2">
        <v>3.0555555555555557E-3</v>
      </c>
      <c r="N140" s="1" t="s">
        <v>26</v>
      </c>
      <c r="O140" s="1" t="s">
        <v>34</v>
      </c>
      <c r="P140" s="2">
        <v>3.1944444444444442E-3</v>
      </c>
      <c r="Q140" s="1" t="s">
        <v>184</v>
      </c>
      <c r="R140" s="1">
        <v>0</v>
      </c>
      <c r="S140" s="1" t="str">
        <f>""</f>
        <v/>
      </c>
      <c r="T140" s="1" t="s">
        <v>29</v>
      </c>
      <c r="U140" s="1" t="s">
        <v>30</v>
      </c>
      <c r="V140" s="1">
        <v>0</v>
      </c>
    </row>
    <row r="141" spans="2:22" x14ac:dyDescent="0.15">
      <c r="B141" s="1" t="str">
        <f>"150****9150"</f>
        <v>150****9150</v>
      </c>
      <c r="C141" s="1" t="s">
        <v>113</v>
      </c>
      <c r="D141" s="1" t="str">
        <f t="shared" si="10"/>
        <v>89177328</v>
      </c>
      <c r="E141" s="1" t="s">
        <v>24</v>
      </c>
      <c r="F141" s="1" t="str">
        <f t="shared" si="12"/>
        <v>0010</v>
      </c>
      <c r="G141" s="1" t="str">
        <f>""</f>
        <v/>
      </c>
      <c r="H141" s="1" t="str">
        <f>"0031"</f>
        <v>0031</v>
      </c>
      <c r="I141" s="1" t="s">
        <v>95</v>
      </c>
      <c r="J141" s="1" t="str">
        <f>"01043977565"</f>
        <v>01043977565</v>
      </c>
      <c r="K141" s="1" t="str">
        <f>"2017-04-13 20:37:43"</f>
        <v>2017-04-13 20:37:43</v>
      </c>
      <c r="L141" s="1" t="str">
        <f>"2017-04-13 20:37:51"</f>
        <v>2017-04-13 20:37:51</v>
      </c>
      <c r="M141" s="2">
        <v>7.9745370370370369E-3</v>
      </c>
      <c r="N141" s="1" t="s">
        <v>26</v>
      </c>
      <c r="O141" s="1" t="s">
        <v>27</v>
      </c>
      <c r="P141" s="2">
        <v>8.0671296296296307E-3</v>
      </c>
      <c r="Q141" s="1" t="s">
        <v>185</v>
      </c>
      <c r="R141" s="1">
        <v>0</v>
      </c>
      <c r="S141" s="1" t="str">
        <f>""</f>
        <v/>
      </c>
      <c r="T141" s="1" t="s">
        <v>29</v>
      </c>
      <c r="U141" s="1" t="s">
        <v>30</v>
      </c>
      <c r="V141" s="1">
        <v>0</v>
      </c>
    </row>
    <row r="142" spans="2:22" x14ac:dyDescent="0.15">
      <c r="B142" s="1" t="str">
        <f>"130****8753"</f>
        <v>130****8753</v>
      </c>
      <c r="C142" s="1" t="s">
        <v>23</v>
      </c>
      <c r="D142" s="1" t="str">
        <f t="shared" si="10"/>
        <v>89177328</v>
      </c>
      <c r="E142" s="1" t="s">
        <v>24</v>
      </c>
      <c r="F142" s="1" t="str">
        <f t="shared" si="12"/>
        <v>0010</v>
      </c>
      <c r="G142" s="1" t="str">
        <f>""</f>
        <v/>
      </c>
      <c r="H142" s="1" t="str">
        <f>"0031"</f>
        <v>0031</v>
      </c>
      <c r="I142" s="1" t="s">
        <v>95</v>
      </c>
      <c r="J142" s="1" t="str">
        <f>"01043977565"</f>
        <v>01043977565</v>
      </c>
      <c r="K142" s="1" t="str">
        <f>"2017-04-13 19:32:49"</f>
        <v>2017-04-13 19:32:49</v>
      </c>
      <c r="L142" s="1" t="str">
        <f>"-"</f>
        <v>-</v>
      </c>
      <c r="M142" s="2">
        <v>0</v>
      </c>
      <c r="N142" s="1" t="s">
        <v>33</v>
      </c>
      <c r="O142" s="1" t="s">
        <v>34</v>
      </c>
      <c r="P142" s="2">
        <v>2.3148148148148147E-5</v>
      </c>
      <c r="Q142" s="1" t="str">
        <f>""</f>
        <v/>
      </c>
      <c r="R142" s="1">
        <v>0</v>
      </c>
      <c r="S142" s="1" t="str">
        <f>""</f>
        <v/>
      </c>
      <c r="T142" s="1" t="s">
        <v>29</v>
      </c>
      <c r="U142" s="1" t="s">
        <v>30</v>
      </c>
      <c r="V142" s="1">
        <v>0</v>
      </c>
    </row>
    <row r="143" spans="2:22" x14ac:dyDescent="0.15">
      <c r="B143" s="1" t="str">
        <f>"151****9635"</f>
        <v>151****9635</v>
      </c>
      <c r="C143" s="1" t="s">
        <v>81</v>
      </c>
      <c r="D143" s="1" t="str">
        <f t="shared" si="10"/>
        <v>89177328</v>
      </c>
      <c r="E143" s="1" t="s">
        <v>24</v>
      </c>
      <c r="F143" s="1" t="str">
        <f t="shared" si="12"/>
        <v>0010</v>
      </c>
      <c r="G143" s="1" t="str">
        <f>""</f>
        <v/>
      </c>
      <c r="H143" s="1" t="str">
        <f>"0034"</f>
        <v>0034</v>
      </c>
      <c r="I143" s="1" t="s">
        <v>31</v>
      </c>
      <c r="J143" s="1" t="str">
        <f>"01043977568"</f>
        <v>01043977568</v>
      </c>
      <c r="K143" s="1" t="str">
        <f>"2017-04-13 19:16:05"</f>
        <v>2017-04-13 19:16:05</v>
      </c>
      <c r="L143" s="1" t="str">
        <f>"2017-04-13 19:16:16"</f>
        <v>2017-04-13 19:16:16</v>
      </c>
      <c r="M143" s="2">
        <v>4.9768518518518521E-4</v>
      </c>
      <c r="N143" s="1" t="s">
        <v>26</v>
      </c>
      <c r="O143" s="1" t="s">
        <v>27</v>
      </c>
      <c r="P143" s="2">
        <v>6.2500000000000001E-4</v>
      </c>
      <c r="Q143" s="1" t="s">
        <v>186</v>
      </c>
      <c r="R143" s="1">
        <v>0</v>
      </c>
      <c r="S143" s="1" t="str">
        <f>""</f>
        <v/>
      </c>
      <c r="T143" s="1" t="s">
        <v>29</v>
      </c>
      <c r="U143" s="1" t="s">
        <v>30</v>
      </c>
      <c r="V143" s="1">
        <v>0</v>
      </c>
    </row>
    <row r="144" spans="2:22" x14ac:dyDescent="0.15">
      <c r="B144" s="1" t="str">
        <f>"137****8953"</f>
        <v>137****8953</v>
      </c>
      <c r="C144" s="1" t="s">
        <v>23</v>
      </c>
      <c r="D144" s="1" t="str">
        <f t="shared" si="10"/>
        <v>89177328</v>
      </c>
      <c r="E144" s="1" t="s">
        <v>24</v>
      </c>
      <c r="F144" s="1" t="str">
        <f t="shared" si="12"/>
        <v>0010</v>
      </c>
      <c r="G144" s="1" t="str">
        <f>""</f>
        <v/>
      </c>
      <c r="H144" s="1" t="str">
        <f>"0034"</f>
        <v>0034</v>
      </c>
      <c r="I144" s="1" t="s">
        <v>31</v>
      </c>
      <c r="J144" s="1" t="str">
        <f>"01043977568"</f>
        <v>01043977568</v>
      </c>
      <c r="K144" s="1" t="str">
        <f>"2017-04-13 19:01:52"</f>
        <v>2017-04-13 19:01:52</v>
      </c>
      <c r="L144" s="1" t="str">
        <f>"2017-04-13 19:02:04"</f>
        <v>2017-04-13 19:02:04</v>
      </c>
      <c r="M144" s="2">
        <v>3.2407407407407406E-4</v>
      </c>
      <c r="N144" s="1" t="s">
        <v>26</v>
      </c>
      <c r="O144" s="1" t="s">
        <v>27</v>
      </c>
      <c r="P144" s="2">
        <v>4.6296296296296293E-4</v>
      </c>
      <c r="Q144" s="1" t="s">
        <v>187</v>
      </c>
      <c r="R144" s="1">
        <v>0</v>
      </c>
      <c r="S144" s="1" t="str">
        <f>""</f>
        <v/>
      </c>
      <c r="T144" s="1" t="s">
        <v>29</v>
      </c>
      <c r="U144" s="1" t="s">
        <v>30</v>
      </c>
      <c r="V144" s="1">
        <v>0</v>
      </c>
    </row>
    <row r="145" spans="2:22" x14ac:dyDescent="0.15">
      <c r="B145" s="1" t="str">
        <f>"180****6515"</f>
        <v>180****6515</v>
      </c>
      <c r="C145" s="1" t="s">
        <v>188</v>
      </c>
      <c r="D145" s="1" t="str">
        <f t="shared" si="10"/>
        <v>89177328</v>
      </c>
      <c r="E145" s="1" t="s">
        <v>24</v>
      </c>
      <c r="F145" s="1" t="str">
        <f t="shared" si="12"/>
        <v>0010</v>
      </c>
      <c r="G145" s="1" t="str">
        <f>""</f>
        <v/>
      </c>
      <c r="H145" s="1" t="str">
        <f>"0031"</f>
        <v>0031</v>
      </c>
      <c r="I145" s="1" t="s">
        <v>95</v>
      </c>
      <c r="J145" s="1" t="str">
        <f>"01043977565"</f>
        <v>01043977565</v>
      </c>
      <c r="K145" s="1" t="str">
        <f>"2017-04-13 18:54:58"</f>
        <v>2017-04-13 18:54:58</v>
      </c>
      <c r="L145" s="1" t="str">
        <f>"2017-04-13 18:55:08"</f>
        <v>2017-04-13 18:55:08</v>
      </c>
      <c r="M145" s="2">
        <v>0</v>
      </c>
      <c r="N145" s="1" t="s">
        <v>26</v>
      </c>
      <c r="O145" s="1" t="s">
        <v>34</v>
      </c>
      <c r="P145" s="2">
        <v>1.1574074074074073E-4</v>
      </c>
      <c r="Q145" s="1" t="str">
        <f>""</f>
        <v/>
      </c>
      <c r="R145" s="1">
        <v>0</v>
      </c>
      <c r="S145" s="1" t="str">
        <f>""</f>
        <v/>
      </c>
      <c r="T145" s="1" t="s">
        <v>29</v>
      </c>
      <c r="U145" s="1" t="s">
        <v>30</v>
      </c>
      <c r="V145" s="1">
        <v>0</v>
      </c>
    </row>
    <row r="146" spans="2:22" x14ac:dyDescent="0.15">
      <c r="B146" s="1" t="str">
        <f>"156****1976"</f>
        <v>156****1976</v>
      </c>
      <c r="C146" s="1" t="s">
        <v>189</v>
      </c>
      <c r="D146" s="1" t="str">
        <f t="shared" si="10"/>
        <v>89177328</v>
      </c>
      <c r="E146" s="1" t="s">
        <v>24</v>
      </c>
      <c r="F146" s="1" t="str">
        <f t="shared" si="12"/>
        <v>0010</v>
      </c>
      <c r="G146" s="1" t="str">
        <f>""</f>
        <v/>
      </c>
      <c r="H146" s="1" t="str">
        <f>"0032"</f>
        <v>0032</v>
      </c>
      <c r="I146" s="1" t="s">
        <v>119</v>
      </c>
      <c r="J146" s="1" t="str">
        <f>"01043977566"</f>
        <v>01043977566</v>
      </c>
      <c r="K146" s="1" t="str">
        <f>"2017-04-13 18:41:59"</f>
        <v>2017-04-13 18:41:59</v>
      </c>
      <c r="L146" s="1" t="str">
        <f>"2017-04-13 18:42:14"</f>
        <v>2017-04-13 18:42:14</v>
      </c>
      <c r="M146" s="2">
        <v>1.0659722222222221E-2</v>
      </c>
      <c r="N146" s="1" t="s">
        <v>26</v>
      </c>
      <c r="O146" s="1" t="s">
        <v>27</v>
      </c>
      <c r="P146" s="2">
        <v>1.0833333333333334E-2</v>
      </c>
      <c r="Q146" s="1" t="s">
        <v>190</v>
      </c>
      <c r="R146" s="1">
        <v>0</v>
      </c>
      <c r="S146" s="1" t="str">
        <f>""</f>
        <v/>
      </c>
      <c r="T146" s="1" t="s">
        <v>29</v>
      </c>
      <c r="U146" s="1" t="s">
        <v>30</v>
      </c>
      <c r="V146" s="1">
        <v>0</v>
      </c>
    </row>
    <row r="147" spans="2:22" x14ac:dyDescent="0.15">
      <c r="B147" s="1" t="str">
        <f>"156****5083"</f>
        <v>156****5083</v>
      </c>
      <c r="C147" s="1" t="s">
        <v>23</v>
      </c>
      <c r="D147" s="1" t="str">
        <f t="shared" si="10"/>
        <v>89177328</v>
      </c>
      <c r="E147" s="1" t="s">
        <v>24</v>
      </c>
      <c r="F147" s="1" t="str">
        <f t="shared" si="12"/>
        <v>0010</v>
      </c>
      <c r="G147" s="1" t="str">
        <f>""</f>
        <v/>
      </c>
      <c r="H147" s="1" t="str">
        <f>"0034"</f>
        <v>0034</v>
      </c>
      <c r="I147" s="1" t="s">
        <v>31</v>
      </c>
      <c r="J147" s="1" t="str">
        <f>"01043977568"</f>
        <v>01043977568</v>
      </c>
      <c r="K147" s="1" t="str">
        <f>"2017-04-13 18:40:11"</f>
        <v>2017-04-13 18:40:11</v>
      </c>
      <c r="L147" s="1" t="str">
        <f>"2017-04-13 18:40:20"</f>
        <v>2017-04-13 18:40:20</v>
      </c>
      <c r="M147" s="2">
        <v>4.1319444444444442E-3</v>
      </c>
      <c r="N147" s="1" t="s">
        <v>26</v>
      </c>
      <c r="O147" s="1" t="s">
        <v>27</v>
      </c>
      <c r="P147" s="2">
        <v>4.2361111111111106E-3</v>
      </c>
      <c r="Q147" s="1" t="s">
        <v>191</v>
      </c>
      <c r="R147" s="1">
        <v>0</v>
      </c>
      <c r="S147" s="1" t="str">
        <f>""</f>
        <v/>
      </c>
      <c r="T147" s="1" t="s">
        <v>29</v>
      </c>
      <c r="U147" s="1" t="s">
        <v>30</v>
      </c>
      <c r="V147" s="1">
        <v>0</v>
      </c>
    </row>
    <row r="148" spans="2:22" x14ac:dyDescent="0.15">
      <c r="B148" s="1" t="str">
        <f>"180****5333"</f>
        <v>180****5333</v>
      </c>
      <c r="C148" s="1" t="s">
        <v>113</v>
      </c>
      <c r="D148" s="1" t="str">
        <f t="shared" si="10"/>
        <v>89177328</v>
      </c>
      <c r="E148" s="1" t="s">
        <v>24</v>
      </c>
      <c r="F148" s="1" t="str">
        <f t="shared" si="12"/>
        <v>0010</v>
      </c>
      <c r="G148" s="1" t="str">
        <f>""</f>
        <v/>
      </c>
      <c r="H148" s="1" t="str">
        <f>"0031"</f>
        <v>0031</v>
      </c>
      <c r="I148" s="1" t="s">
        <v>95</v>
      </c>
      <c r="J148" s="1" t="str">
        <f>"01043977565"</f>
        <v>01043977565</v>
      </c>
      <c r="K148" s="1" t="str">
        <f>"2017-04-13 18:34:17"</f>
        <v>2017-04-13 18:34:17</v>
      </c>
      <c r="L148" s="1" t="str">
        <f>"2017-04-13 18:34:25"</f>
        <v>2017-04-13 18:34:25</v>
      </c>
      <c r="M148" s="2">
        <v>4.2939814814814811E-3</v>
      </c>
      <c r="N148" s="1" t="s">
        <v>26</v>
      </c>
      <c r="O148" s="1" t="s">
        <v>27</v>
      </c>
      <c r="P148" s="2">
        <v>4.386574074074074E-3</v>
      </c>
      <c r="Q148" s="1" t="s">
        <v>192</v>
      </c>
      <c r="R148" s="1">
        <v>0</v>
      </c>
      <c r="S148" s="1" t="str">
        <f>""</f>
        <v/>
      </c>
      <c r="T148" s="1" t="s">
        <v>29</v>
      </c>
      <c r="U148" s="1" t="s">
        <v>30</v>
      </c>
      <c r="V148" s="1">
        <v>0</v>
      </c>
    </row>
    <row r="149" spans="2:22" x14ac:dyDescent="0.15">
      <c r="B149" s="1" t="str">
        <f>"0755****2662"</f>
        <v>0755****2662</v>
      </c>
      <c r="C149" s="1" t="s">
        <v>193</v>
      </c>
      <c r="D149" s="1" t="str">
        <f>"4000108333"</f>
        <v>4000108333</v>
      </c>
      <c r="E149" s="1" t="s">
        <v>53</v>
      </c>
      <c r="F149" s="1" t="str">
        <f>"0000"</f>
        <v>0000</v>
      </c>
      <c r="G149" s="1" t="str">
        <f>""</f>
        <v/>
      </c>
      <c r="H149" s="1" t="str">
        <f>"1010"</f>
        <v>1010</v>
      </c>
      <c r="I149" s="1" t="s">
        <v>148</v>
      </c>
      <c r="J149" s="1" t="str">
        <f>"13718091869"</f>
        <v>13718091869</v>
      </c>
      <c r="K149" s="1" t="str">
        <f>"2017-04-13 18:25:16"</f>
        <v>2017-04-13 18:25:16</v>
      </c>
      <c r="L149" s="1" t="str">
        <f>"2017-04-13 18:25:45"</f>
        <v>2017-04-13 18:25:45</v>
      </c>
      <c r="M149" s="2">
        <v>5.7754629629629623E-3</v>
      </c>
      <c r="N149" s="1" t="s">
        <v>26</v>
      </c>
      <c r="O149" s="1" t="s">
        <v>27</v>
      </c>
      <c r="P149" s="2">
        <v>6.1111111111111114E-3</v>
      </c>
      <c r="Q149" s="1" t="s">
        <v>194</v>
      </c>
      <c r="R149" s="1">
        <v>1.08</v>
      </c>
      <c r="S149" s="1" t="str">
        <f>""</f>
        <v/>
      </c>
      <c r="T149" s="1" t="s">
        <v>29</v>
      </c>
      <c r="U149" s="1" t="s">
        <v>30</v>
      </c>
      <c r="V149" s="1">
        <v>0</v>
      </c>
    </row>
    <row r="150" spans="2:22" x14ac:dyDescent="0.15">
      <c r="B150" s="1" t="str">
        <f>"010****7062"</f>
        <v>010****7062</v>
      </c>
      <c r="C150" s="1" t="s">
        <v>23</v>
      </c>
      <c r="D150" s="1" t="str">
        <f>"89177328"</f>
        <v>89177328</v>
      </c>
      <c r="E150" s="1" t="s">
        <v>24</v>
      </c>
      <c r="F150" s="1" t="str">
        <f>"0010"</f>
        <v>0010</v>
      </c>
      <c r="G150" s="1" t="str">
        <f>""</f>
        <v/>
      </c>
      <c r="H150" s="1" t="str">
        <f>"0034"</f>
        <v>0034</v>
      </c>
      <c r="I150" s="1" t="s">
        <v>31</v>
      </c>
      <c r="J150" s="1" t="str">
        <f>"01043977568"</f>
        <v>01043977568</v>
      </c>
      <c r="K150" s="1" t="str">
        <f>"2017-04-13 18:24:55"</f>
        <v>2017-04-13 18:24:55</v>
      </c>
      <c r="L150" s="1" t="str">
        <f>"2017-04-13 18:25:05"</f>
        <v>2017-04-13 18:25:05</v>
      </c>
      <c r="M150" s="2">
        <v>2.2916666666666667E-3</v>
      </c>
      <c r="N150" s="1" t="s">
        <v>26</v>
      </c>
      <c r="O150" s="1" t="s">
        <v>27</v>
      </c>
      <c r="P150" s="2">
        <v>2.4074074074074076E-3</v>
      </c>
      <c r="Q150" s="1" t="s">
        <v>195</v>
      </c>
      <c r="R150" s="1">
        <v>0</v>
      </c>
      <c r="S150" s="1" t="str">
        <f>""</f>
        <v/>
      </c>
      <c r="T150" s="1" t="s">
        <v>29</v>
      </c>
      <c r="U150" s="1" t="s">
        <v>30</v>
      </c>
      <c r="V150" s="1">
        <v>0</v>
      </c>
    </row>
    <row r="151" spans="2:22" x14ac:dyDescent="0.15">
      <c r="B151" s="1" t="str">
        <f>"139****6874"</f>
        <v>139****6874</v>
      </c>
      <c r="C151" s="1" t="s">
        <v>193</v>
      </c>
      <c r="D151" s="1" t="str">
        <f>"89177328"</f>
        <v>89177328</v>
      </c>
      <c r="E151" s="1" t="s">
        <v>24</v>
      </c>
      <c r="F151" s="1" t="str">
        <f>"0010"</f>
        <v>0010</v>
      </c>
      <c r="G151" s="1" t="str">
        <f>""</f>
        <v/>
      </c>
      <c r="H151" s="1" t="str">
        <f>"0018"</f>
        <v>0018</v>
      </c>
      <c r="I151" s="1" t="s">
        <v>36</v>
      </c>
      <c r="J151" s="1" t="str">
        <f>"01043977572"</f>
        <v>01043977572</v>
      </c>
      <c r="K151" s="1" t="str">
        <f>"2017-04-13 18:23:49"</f>
        <v>2017-04-13 18:23:49</v>
      </c>
      <c r="L151" s="1" t="str">
        <f>"-"</f>
        <v>-</v>
      </c>
      <c r="M151" s="2">
        <v>0</v>
      </c>
      <c r="N151" s="1" t="s">
        <v>33</v>
      </c>
      <c r="O151" s="1" t="s">
        <v>34</v>
      </c>
      <c r="P151" s="2">
        <v>2.3148148148148147E-5</v>
      </c>
      <c r="Q151" s="1" t="str">
        <f>""</f>
        <v/>
      </c>
      <c r="R151" s="1">
        <v>0</v>
      </c>
      <c r="S151" s="1" t="str">
        <f>""</f>
        <v/>
      </c>
      <c r="T151" s="1" t="s">
        <v>29</v>
      </c>
      <c r="U151" s="1" t="s">
        <v>30</v>
      </c>
      <c r="V151" s="1">
        <v>0</v>
      </c>
    </row>
    <row r="152" spans="2:22" x14ac:dyDescent="0.15">
      <c r="B152" s="1" t="str">
        <f>"0755****2662"</f>
        <v>0755****2662</v>
      </c>
      <c r="C152" s="1" t="s">
        <v>193</v>
      </c>
      <c r="D152" s="1" t="str">
        <f>"4000108333"</f>
        <v>4000108333</v>
      </c>
      <c r="E152" s="1" t="s">
        <v>53</v>
      </c>
      <c r="F152" s="1" t="str">
        <f>""</f>
        <v/>
      </c>
      <c r="G152" s="1" t="str">
        <f>""</f>
        <v/>
      </c>
      <c r="H152" s="1" t="str">
        <f>""</f>
        <v/>
      </c>
      <c r="I152" s="1" t="str">
        <f>""</f>
        <v/>
      </c>
      <c r="J152" s="1" t="str">
        <f>""</f>
        <v/>
      </c>
      <c r="K152" s="1" t="str">
        <f>"2017-04-13 18:23:44"</f>
        <v>2017-04-13 18:23:44</v>
      </c>
      <c r="L152" s="1" t="str">
        <f>"-"</f>
        <v>-</v>
      </c>
      <c r="M152" s="2">
        <v>0</v>
      </c>
      <c r="N152" s="1" t="s">
        <v>55</v>
      </c>
      <c r="O152" s="1" t="s">
        <v>34</v>
      </c>
      <c r="P152" s="2">
        <v>2.3148148148148146E-4</v>
      </c>
      <c r="Q152" s="1" t="str">
        <f>""</f>
        <v/>
      </c>
      <c r="R152" s="1">
        <v>0.12</v>
      </c>
      <c r="S152" s="1" t="str">
        <f>""</f>
        <v/>
      </c>
      <c r="T152" s="1" t="s">
        <v>29</v>
      </c>
      <c r="U152" s="1" t="s">
        <v>30</v>
      </c>
      <c r="V152" s="1">
        <v>0</v>
      </c>
    </row>
    <row r="153" spans="2:22" x14ac:dyDescent="0.15">
      <c r="B153" s="1" t="str">
        <f>"186****5309"</f>
        <v>186****5309</v>
      </c>
      <c r="C153" s="1" t="s">
        <v>78</v>
      </c>
      <c r="D153" s="1" t="str">
        <f>"89177328"</f>
        <v>89177328</v>
      </c>
      <c r="E153" s="1" t="s">
        <v>24</v>
      </c>
      <c r="F153" s="1" t="str">
        <f>"0010"</f>
        <v>0010</v>
      </c>
      <c r="G153" s="1" t="str">
        <f>""</f>
        <v/>
      </c>
      <c r="H153" s="1" t="str">
        <f>"0032"</f>
        <v>0032</v>
      </c>
      <c r="I153" s="1" t="s">
        <v>119</v>
      </c>
      <c r="J153" s="1" t="str">
        <f>"01043977566"</f>
        <v>01043977566</v>
      </c>
      <c r="K153" s="1" t="str">
        <f>"2017-04-13 18:19:52"</f>
        <v>2017-04-13 18:19:52</v>
      </c>
      <c r="L153" s="1" t="str">
        <f>"2017-04-13 18:20:06"</f>
        <v>2017-04-13 18:20:06</v>
      </c>
      <c r="M153" s="2">
        <v>1.1701388888888891E-2</v>
      </c>
      <c r="N153" s="1" t="s">
        <v>26</v>
      </c>
      <c r="O153" s="1" t="s">
        <v>34</v>
      </c>
      <c r="P153" s="2">
        <v>1.1863425925925925E-2</v>
      </c>
      <c r="Q153" s="1" t="s">
        <v>196</v>
      </c>
      <c r="R153" s="1">
        <v>0</v>
      </c>
      <c r="S153" s="1" t="str">
        <f>""</f>
        <v/>
      </c>
      <c r="T153" s="1" t="s">
        <v>29</v>
      </c>
      <c r="U153" s="1" t="s">
        <v>30</v>
      </c>
      <c r="V153" s="1">
        <v>0</v>
      </c>
    </row>
    <row r="154" spans="2:22" x14ac:dyDescent="0.15">
      <c r="B154" s="1" t="str">
        <f>"134****5709"</f>
        <v>134****5709</v>
      </c>
      <c r="C154" s="1" t="s">
        <v>23</v>
      </c>
      <c r="D154" s="1" t="str">
        <f>"89177328"</f>
        <v>89177328</v>
      </c>
      <c r="E154" s="1" t="s">
        <v>24</v>
      </c>
      <c r="F154" s="1" t="str">
        <f>"0010"</f>
        <v>0010</v>
      </c>
      <c r="G154" s="1" t="str">
        <f>""</f>
        <v/>
      </c>
      <c r="H154" s="1" t="str">
        <f>"0031"</f>
        <v>0031</v>
      </c>
      <c r="I154" s="1" t="s">
        <v>95</v>
      </c>
      <c r="J154" s="1" t="str">
        <f>"01043977565"</f>
        <v>01043977565</v>
      </c>
      <c r="K154" s="1" t="str">
        <f>"2017-04-13 18:11:12"</f>
        <v>2017-04-13 18:11:12</v>
      </c>
      <c r="L154" s="1" t="str">
        <f>"2017-04-13 18:11:21"</f>
        <v>2017-04-13 18:11:21</v>
      </c>
      <c r="M154" s="2">
        <v>9.6527777777777775E-3</v>
      </c>
      <c r="N154" s="1" t="s">
        <v>26</v>
      </c>
      <c r="O154" s="1" t="s">
        <v>34</v>
      </c>
      <c r="P154" s="2">
        <v>9.7569444444444448E-3</v>
      </c>
      <c r="Q154" s="1" t="s">
        <v>197</v>
      </c>
      <c r="R154" s="1">
        <v>0</v>
      </c>
      <c r="S154" s="1" t="str">
        <f>""</f>
        <v/>
      </c>
      <c r="T154" s="1" t="s">
        <v>29</v>
      </c>
      <c r="U154" s="1" t="s">
        <v>30</v>
      </c>
      <c r="V154" s="1">
        <v>0</v>
      </c>
    </row>
    <row r="155" spans="2:22" x14ac:dyDescent="0.15">
      <c r="B155" s="1" t="str">
        <f>"010****8291"</f>
        <v>010****8291</v>
      </c>
      <c r="C155" s="1" t="s">
        <v>23</v>
      </c>
      <c r="D155" s="1" t="str">
        <f>"89177328"</f>
        <v>89177328</v>
      </c>
      <c r="E155" s="1" t="s">
        <v>24</v>
      </c>
      <c r="F155" s="1" t="str">
        <f>"0010"</f>
        <v>0010</v>
      </c>
      <c r="G155" s="1" t="str">
        <f>""</f>
        <v/>
      </c>
      <c r="H155" s="1" t="str">
        <f>"0018"</f>
        <v>0018</v>
      </c>
      <c r="I155" s="1" t="s">
        <v>36</v>
      </c>
      <c r="J155" s="1" t="str">
        <f>"01043977572"</f>
        <v>01043977572</v>
      </c>
      <c r="K155" s="1" t="str">
        <f>"2017-04-13 17:42:53"</f>
        <v>2017-04-13 17:42:53</v>
      </c>
      <c r="L155" s="1" t="str">
        <f>"2017-04-13 17:43:24"</f>
        <v>2017-04-13 17:43:24</v>
      </c>
      <c r="M155" s="2">
        <v>1.5405092592592593E-2</v>
      </c>
      <c r="N155" s="1" t="s">
        <v>26</v>
      </c>
      <c r="O155" s="1" t="s">
        <v>34</v>
      </c>
      <c r="P155" s="2">
        <v>1.5763888888888886E-2</v>
      </c>
      <c r="Q155" s="1" t="s">
        <v>198</v>
      </c>
      <c r="R155" s="1">
        <v>0</v>
      </c>
      <c r="S155" s="1" t="str">
        <f>""</f>
        <v/>
      </c>
      <c r="T155" s="1" t="s">
        <v>29</v>
      </c>
      <c r="U155" s="1" t="s">
        <v>30</v>
      </c>
      <c r="V155" s="1">
        <v>0</v>
      </c>
    </row>
    <row r="156" spans="2:22" x14ac:dyDescent="0.15">
      <c r="B156" s="1" t="str">
        <f>"186****4908"</f>
        <v>186****4908</v>
      </c>
      <c r="C156" s="1" t="s">
        <v>38</v>
      </c>
      <c r="D156" s="1" t="str">
        <f>"89177328"</f>
        <v>89177328</v>
      </c>
      <c r="E156" s="1" t="s">
        <v>24</v>
      </c>
      <c r="F156" s="1" t="str">
        <f>"0010"</f>
        <v>0010</v>
      </c>
      <c r="G156" s="1" t="str">
        <f>""</f>
        <v/>
      </c>
      <c r="H156" s="1" t="str">
        <f>"0034"</f>
        <v>0034</v>
      </c>
      <c r="I156" s="1" t="s">
        <v>31</v>
      </c>
      <c r="J156" s="1" t="str">
        <f>"01043977568"</f>
        <v>01043977568</v>
      </c>
      <c r="K156" s="1" t="str">
        <f>"2017-04-13 17:24:37"</f>
        <v>2017-04-13 17:24:37</v>
      </c>
      <c r="L156" s="1" t="str">
        <f>"2017-04-13 17:24:48"</f>
        <v>2017-04-13 17:24:48</v>
      </c>
      <c r="M156" s="2">
        <v>1.2199074074074072E-2</v>
      </c>
      <c r="N156" s="1" t="s">
        <v>26</v>
      </c>
      <c r="O156" s="1" t="s">
        <v>34</v>
      </c>
      <c r="P156" s="2">
        <v>1.2326388888888888E-2</v>
      </c>
      <c r="Q156" s="1" t="s">
        <v>199</v>
      </c>
      <c r="R156" s="1">
        <v>0</v>
      </c>
      <c r="S156" s="1" t="str">
        <f>""</f>
        <v/>
      </c>
      <c r="T156" s="1" t="s">
        <v>29</v>
      </c>
      <c r="U156" s="1" t="s">
        <v>30</v>
      </c>
      <c r="V156" s="1">
        <v>0</v>
      </c>
    </row>
    <row r="157" spans="2:22" x14ac:dyDescent="0.15">
      <c r="B157" s="1" t="str">
        <f>"177****8809"</f>
        <v>177****8809</v>
      </c>
      <c r="C157" s="1" t="s">
        <v>200</v>
      </c>
      <c r="D157" s="1" t="str">
        <f>"89177328"</f>
        <v>89177328</v>
      </c>
      <c r="E157" s="1" t="s">
        <v>24</v>
      </c>
      <c r="F157" s="1" t="str">
        <f>"0010"</f>
        <v>0010</v>
      </c>
      <c r="G157" s="1" t="str">
        <f>""</f>
        <v/>
      </c>
      <c r="H157" s="1" t="str">
        <f>"0034"</f>
        <v>0034</v>
      </c>
      <c r="I157" s="1" t="s">
        <v>31</v>
      </c>
      <c r="J157" s="1" t="str">
        <f>"01043977568"</f>
        <v>01043977568</v>
      </c>
      <c r="K157" s="1" t="str">
        <f>"2017-04-13 17:21:09"</f>
        <v>2017-04-13 17:21:09</v>
      </c>
      <c r="L157" s="1" t="str">
        <f>"2017-04-13 17:21:18"</f>
        <v>2017-04-13 17:21:18</v>
      </c>
      <c r="M157" s="2">
        <v>1.6203703703703703E-3</v>
      </c>
      <c r="N157" s="1" t="s">
        <v>26</v>
      </c>
      <c r="O157" s="1" t="s">
        <v>27</v>
      </c>
      <c r="P157" s="2">
        <v>1.7245370370370372E-3</v>
      </c>
      <c r="Q157" s="1" t="s">
        <v>201</v>
      </c>
      <c r="R157" s="1">
        <v>0</v>
      </c>
      <c r="S157" s="1" t="str">
        <f>""</f>
        <v/>
      </c>
      <c r="T157" s="1" t="s">
        <v>29</v>
      </c>
      <c r="U157" s="1" t="s">
        <v>30</v>
      </c>
      <c r="V157" s="1">
        <v>0</v>
      </c>
    </row>
    <row r="158" spans="2:22" x14ac:dyDescent="0.15">
      <c r="B158" s="1" t="str">
        <f>"0755****2662"</f>
        <v>0755****2662</v>
      </c>
      <c r="C158" s="1" t="s">
        <v>193</v>
      </c>
      <c r="D158" s="1" t="str">
        <f>"4000108333"</f>
        <v>4000108333</v>
      </c>
      <c r="E158" s="1" t="s">
        <v>53</v>
      </c>
      <c r="F158" s="1" t="str">
        <f>"0000"</f>
        <v>0000</v>
      </c>
      <c r="G158" s="1" t="str">
        <f>""</f>
        <v/>
      </c>
      <c r="H158" s="1" t="str">
        <f>"1010"</f>
        <v>1010</v>
      </c>
      <c r="I158" s="1" t="s">
        <v>148</v>
      </c>
      <c r="J158" s="1" t="str">
        <f>"13718091869"</f>
        <v>13718091869</v>
      </c>
      <c r="K158" s="1" t="str">
        <f>"2017-04-13 17:17:24"</f>
        <v>2017-04-13 17:17:24</v>
      </c>
      <c r="L158" s="1" t="str">
        <f>"2017-04-13 17:17:54"</f>
        <v>2017-04-13 17:17:54</v>
      </c>
      <c r="M158" s="2">
        <v>7.5347222222222213E-3</v>
      </c>
      <c r="N158" s="1" t="s">
        <v>26</v>
      </c>
      <c r="O158" s="1" t="s">
        <v>34</v>
      </c>
      <c r="P158" s="2">
        <v>7.8819444444444432E-3</v>
      </c>
      <c r="Q158" s="1" t="s">
        <v>202</v>
      </c>
      <c r="R158" s="1">
        <v>1.44</v>
      </c>
      <c r="S158" s="1" t="str">
        <f>""</f>
        <v/>
      </c>
      <c r="T158" s="1" t="s">
        <v>29</v>
      </c>
      <c r="U158" s="1" t="s">
        <v>30</v>
      </c>
      <c r="V158" s="1">
        <v>0</v>
      </c>
    </row>
    <row r="159" spans="2:22" x14ac:dyDescent="0.15">
      <c r="B159" s="1" t="str">
        <f>"139****7087"</f>
        <v>139****7087</v>
      </c>
      <c r="C159" s="1" t="s">
        <v>203</v>
      </c>
      <c r="D159" s="1" t="str">
        <f t="shared" ref="D159:D191" si="13">"89177328"</f>
        <v>89177328</v>
      </c>
      <c r="E159" s="1" t="s">
        <v>24</v>
      </c>
      <c r="F159" s="1" t="str">
        <f t="shared" ref="F159:F191" si="14">"0010"</f>
        <v>0010</v>
      </c>
      <c r="G159" s="1" t="str">
        <f>""</f>
        <v/>
      </c>
      <c r="H159" s="1" t="str">
        <f>"0032"</f>
        <v>0032</v>
      </c>
      <c r="I159" s="1" t="s">
        <v>119</v>
      </c>
      <c r="J159" s="1" t="str">
        <f>"01043977566"</f>
        <v>01043977566</v>
      </c>
      <c r="K159" s="1" t="str">
        <f>"2017-04-13 17:07:57"</f>
        <v>2017-04-13 17:07:57</v>
      </c>
      <c r="L159" s="1" t="str">
        <f>"2017-04-13 17:08:12"</f>
        <v>2017-04-13 17:08:12</v>
      </c>
      <c r="M159" s="2">
        <v>1.4513888888888889E-2</v>
      </c>
      <c r="N159" s="1" t="s">
        <v>26</v>
      </c>
      <c r="O159" s="1" t="s">
        <v>34</v>
      </c>
      <c r="P159" s="2">
        <v>1.4687499999999999E-2</v>
      </c>
      <c r="Q159" s="1" t="s">
        <v>204</v>
      </c>
      <c r="R159" s="1">
        <v>0</v>
      </c>
      <c r="S159" s="1" t="str">
        <f>""</f>
        <v/>
      </c>
      <c r="T159" s="1" t="s">
        <v>29</v>
      </c>
      <c r="U159" s="1" t="s">
        <v>30</v>
      </c>
      <c r="V159" s="1">
        <v>0</v>
      </c>
    </row>
    <row r="160" spans="2:22" x14ac:dyDescent="0.15">
      <c r="B160" s="1" t="str">
        <f>"150****6021"</f>
        <v>150****6021</v>
      </c>
      <c r="C160" s="1" t="s">
        <v>205</v>
      </c>
      <c r="D160" s="1" t="str">
        <f t="shared" si="13"/>
        <v>89177328</v>
      </c>
      <c r="E160" s="1" t="s">
        <v>24</v>
      </c>
      <c r="F160" s="1" t="str">
        <f t="shared" si="14"/>
        <v>0010</v>
      </c>
      <c r="G160" s="1" t="str">
        <f>""</f>
        <v/>
      </c>
      <c r="H160" s="1" t="str">
        <f>"0035"</f>
        <v>0035</v>
      </c>
      <c r="I160" s="1" t="s">
        <v>25</v>
      </c>
      <c r="J160" s="1" t="str">
        <f>"01043977569"</f>
        <v>01043977569</v>
      </c>
      <c r="K160" s="1" t="str">
        <f>"2017-04-13 16:57:17"</f>
        <v>2017-04-13 16:57:17</v>
      </c>
      <c r="L160" s="1" t="str">
        <f>"2017-04-13 16:57:34"</f>
        <v>2017-04-13 16:57:34</v>
      </c>
      <c r="M160" s="2">
        <v>1.4097222222222221E-2</v>
      </c>
      <c r="N160" s="1" t="s">
        <v>26</v>
      </c>
      <c r="O160" s="1" t="s">
        <v>27</v>
      </c>
      <c r="P160" s="2">
        <v>1.4293981481481482E-2</v>
      </c>
      <c r="Q160" s="1" t="s">
        <v>206</v>
      </c>
      <c r="R160" s="1">
        <v>0</v>
      </c>
      <c r="S160" s="1" t="str">
        <f>""</f>
        <v/>
      </c>
      <c r="T160" s="1" t="s">
        <v>29</v>
      </c>
      <c r="U160" s="1" t="s">
        <v>30</v>
      </c>
      <c r="V160" s="1">
        <v>0</v>
      </c>
    </row>
    <row r="161" spans="2:22" x14ac:dyDescent="0.15">
      <c r="B161" s="1" t="str">
        <f>"186****6895"</f>
        <v>186****6895</v>
      </c>
      <c r="C161" s="1" t="s">
        <v>23</v>
      </c>
      <c r="D161" s="1" t="str">
        <f t="shared" si="13"/>
        <v>89177328</v>
      </c>
      <c r="E161" s="1" t="s">
        <v>24</v>
      </c>
      <c r="F161" s="1" t="str">
        <f t="shared" si="14"/>
        <v>0010</v>
      </c>
      <c r="G161" s="1" t="str">
        <f>""</f>
        <v/>
      </c>
      <c r="H161" s="1" t="str">
        <f>"0034"</f>
        <v>0034</v>
      </c>
      <c r="I161" s="1" t="s">
        <v>31</v>
      </c>
      <c r="J161" s="1" t="str">
        <f>"01043977568"</f>
        <v>01043977568</v>
      </c>
      <c r="K161" s="1" t="str">
        <f>"2017-04-13 16:53:52"</f>
        <v>2017-04-13 16:53:52</v>
      </c>
      <c r="L161" s="1" t="str">
        <f>"2017-04-13 16:54:07"</f>
        <v>2017-04-13 16:54:07</v>
      </c>
      <c r="M161" s="2">
        <v>3.530092592592592E-3</v>
      </c>
      <c r="N161" s="1" t="s">
        <v>26</v>
      </c>
      <c r="O161" s="1" t="s">
        <v>27</v>
      </c>
      <c r="P161" s="2">
        <v>3.7037037037037034E-3</v>
      </c>
      <c r="Q161" s="1" t="s">
        <v>207</v>
      </c>
      <c r="R161" s="1">
        <v>0</v>
      </c>
      <c r="S161" s="1" t="str">
        <f>""</f>
        <v/>
      </c>
      <c r="T161" s="1" t="s">
        <v>29</v>
      </c>
      <c r="U161" s="1" t="s">
        <v>30</v>
      </c>
      <c r="V161" s="1">
        <v>0</v>
      </c>
    </row>
    <row r="162" spans="2:22" x14ac:dyDescent="0.15">
      <c r="B162" s="1" t="str">
        <f>"133****9597"</f>
        <v>133****9597</v>
      </c>
      <c r="C162" s="1" t="s">
        <v>23</v>
      </c>
      <c r="D162" s="1" t="str">
        <f t="shared" si="13"/>
        <v>89177328</v>
      </c>
      <c r="E162" s="1" t="s">
        <v>24</v>
      </c>
      <c r="F162" s="1" t="str">
        <f t="shared" si="14"/>
        <v>0010</v>
      </c>
      <c r="G162" s="1" t="str">
        <f>""</f>
        <v/>
      </c>
      <c r="H162" s="1" t="str">
        <f>"0034"</f>
        <v>0034</v>
      </c>
      <c r="I162" s="1" t="s">
        <v>31</v>
      </c>
      <c r="J162" s="1" t="str">
        <f>"01043977568"</f>
        <v>01043977568</v>
      </c>
      <c r="K162" s="1" t="str">
        <f>"2017-04-13 16:50:42"</f>
        <v>2017-04-13 16:50:42</v>
      </c>
      <c r="L162" s="1" t="str">
        <f>"-"</f>
        <v>-</v>
      </c>
      <c r="M162" s="2">
        <v>0</v>
      </c>
      <c r="N162" s="1" t="s">
        <v>33</v>
      </c>
      <c r="O162" s="1" t="s">
        <v>34</v>
      </c>
      <c r="P162" s="2">
        <v>4.6296296296296294E-5</v>
      </c>
      <c r="Q162" s="1" t="str">
        <f>""</f>
        <v/>
      </c>
      <c r="R162" s="1">
        <v>0</v>
      </c>
      <c r="S162" s="1" t="str">
        <f>""</f>
        <v/>
      </c>
      <c r="T162" s="1" t="s">
        <v>29</v>
      </c>
      <c r="U162" s="1" t="s">
        <v>30</v>
      </c>
      <c r="V162" s="1">
        <v>0</v>
      </c>
    </row>
    <row r="163" spans="2:22" x14ac:dyDescent="0.15">
      <c r="B163" s="1" t="str">
        <f>"133****9597"</f>
        <v>133****9597</v>
      </c>
      <c r="C163" s="1" t="s">
        <v>23</v>
      </c>
      <c r="D163" s="1" t="str">
        <f t="shared" si="13"/>
        <v>89177328</v>
      </c>
      <c r="E163" s="1" t="s">
        <v>24</v>
      </c>
      <c r="F163" s="1" t="str">
        <f t="shared" si="14"/>
        <v>0010</v>
      </c>
      <c r="G163" s="1" t="str">
        <f>""</f>
        <v/>
      </c>
      <c r="H163" s="1" t="str">
        <f>"0033"</f>
        <v>0033</v>
      </c>
      <c r="I163" s="1" t="s">
        <v>106</v>
      </c>
      <c r="J163" s="1" t="str">
        <f>"01043977567"</f>
        <v>01043977567</v>
      </c>
      <c r="K163" s="1" t="str">
        <f>"2017-04-13 16:48:18"</f>
        <v>2017-04-13 16:48:18</v>
      </c>
      <c r="L163" s="1" t="str">
        <f>"-"</f>
        <v>-</v>
      </c>
      <c r="M163" s="2">
        <v>0</v>
      </c>
      <c r="N163" s="1" t="s">
        <v>33</v>
      </c>
      <c r="O163" s="1" t="s">
        <v>34</v>
      </c>
      <c r="P163" s="2">
        <v>4.6296296296296294E-5</v>
      </c>
      <c r="Q163" s="1" t="str">
        <f>""</f>
        <v/>
      </c>
      <c r="R163" s="1">
        <v>0</v>
      </c>
      <c r="S163" s="1" t="str">
        <f>""</f>
        <v/>
      </c>
      <c r="T163" s="1" t="s">
        <v>29</v>
      </c>
      <c r="U163" s="1" t="s">
        <v>30</v>
      </c>
      <c r="V163" s="1">
        <v>0</v>
      </c>
    </row>
    <row r="164" spans="2:22" x14ac:dyDescent="0.15">
      <c r="B164" s="1" t="str">
        <f>"133****9597"</f>
        <v>133****9597</v>
      </c>
      <c r="C164" s="1" t="s">
        <v>23</v>
      </c>
      <c r="D164" s="1" t="str">
        <f t="shared" si="13"/>
        <v>89177328</v>
      </c>
      <c r="E164" s="1" t="s">
        <v>24</v>
      </c>
      <c r="F164" s="1" t="str">
        <f t="shared" si="14"/>
        <v>0010</v>
      </c>
      <c r="G164" s="1" t="str">
        <f>""</f>
        <v/>
      </c>
      <c r="H164" s="1" t="str">
        <f>"0033"</f>
        <v>0033</v>
      </c>
      <c r="I164" s="1" t="s">
        <v>106</v>
      </c>
      <c r="J164" s="1" t="str">
        <f>"01043977567"</f>
        <v>01043977567</v>
      </c>
      <c r="K164" s="1" t="str">
        <f>"2017-04-13 16:45:24"</f>
        <v>2017-04-13 16:45:24</v>
      </c>
      <c r="L164" s="1" t="str">
        <f>"-"</f>
        <v>-</v>
      </c>
      <c r="M164" s="2">
        <v>0</v>
      </c>
      <c r="N164" s="1" t="s">
        <v>33</v>
      </c>
      <c r="O164" s="1" t="s">
        <v>34</v>
      </c>
      <c r="P164" s="2">
        <v>5.7870370370370366E-5</v>
      </c>
      <c r="Q164" s="1" t="str">
        <f>""</f>
        <v/>
      </c>
      <c r="R164" s="1">
        <v>0</v>
      </c>
      <c r="S164" s="1" t="str">
        <f>""</f>
        <v/>
      </c>
      <c r="T164" s="1" t="s">
        <v>29</v>
      </c>
      <c r="U164" s="1" t="s">
        <v>30</v>
      </c>
      <c r="V164" s="1">
        <v>0</v>
      </c>
    </row>
    <row r="165" spans="2:22" x14ac:dyDescent="0.15">
      <c r="B165" s="1" t="str">
        <f>"157****4678"</f>
        <v>157****4678</v>
      </c>
      <c r="C165" s="1" t="s">
        <v>23</v>
      </c>
      <c r="D165" s="1" t="str">
        <f t="shared" si="13"/>
        <v>89177328</v>
      </c>
      <c r="E165" s="1" t="s">
        <v>24</v>
      </c>
      <c r="F165" s="1" t="str">
        <f t="shared" si="14"/>
        <v>0010</v>
      </c>
      <c r="G165" s="1" t="str">
        <f>""</f>
        <v/>
      </c>
      <c r="H165" s="1" t="str">
        <f>"0033"</f>
        <v>0033</v>
      </c>
      <c r="I165" s="1" t="s">
        <v>106</v>
      </c>
      <c r="J165" s="1" t="str">
        <f>"01043977567"</f>
        <v>01043977567</v>
      </c>
      <c r="K165" s="1" t="str">
        <f>"2017-04-13 16:44:59"</f>
        <v>2017-04-13 16:44:59</v>
      </c>
      <c r="L165" s="1" t="str">
        <f>"-"</f>
        <v>-</v>
      </c>
      <c r="M165" s="2">
        <v>0</v>
      </c>
      <c r="N165" s="1" t="s">
        <v>33</v>
      </c>
      <c r="O165" s="1" t="s">
        <v>34</v>
      </c>
      <c r="P165" s="2">
        <v>5.7870370370370366E-5</v>
      </c>
      <c r="Q165" s="1" t="str">
        <f>""</f>
        <v/>
      </c>
      <c r="R165" s="1">
        <v>0</v>
      </c>
      <c r="S165" s="1" t="str">
        <f>""</f>
        <v/>
      </c>
      <c r="T165" s="1" t="s">
        <v>29</v>
      </c>
      <c r="U165" s="1" t="s">
        <v>30</v>
      </c>
      <c r="V165" s="1">
        <v>0</v>
      </c>
    </row>
    <row r="166" spans="2:22" x14ac:dyDescent="0.15">
      <c r="B166" s="1" t="str">
        <f>"150****6033"</f>
        <v>150****6033</v>
      </c>
      <c r="C166" s="1" t="s">
        <v>23</v>
      </c>
      <c r="D166" s="1" t="str">
        <f t="shared" si="13"/>
        <v>89177328</v>
      </c>
      <c r="E166" s="1" t="s">
        <v>24</v>
      </c>
      <c r="F166" s="1" t="str">
        <f t="shared" si="14"/>
        <v>0010</v>
      </c>
      <c r="G166" s="1" t="str">
        <f>""</f>
        <v/>
      </c>
      <c r="H166" s="1" t="str">
        <f>"0035"</f>
        <v>0035</v>
      </c>
      <c r="I166" s="1" t="s">
        <v>25</v>
      </c>
      <c r="J166" s="1" t="str">
        <f>"01043977569"</f>
        <v>01043977569</v>
      </c>
      <c r="K166" s="1" t="str">
        <f>"2017-04-13 16:44:33"</f>
        <v>2017-04-13 16:44:33</v>
      </c>
      <c r="L166" s="1" t="str">
        <f>"2017-04-13 16:44:43"</f>
        <v>2017-04-13 16:44:43</v>
      </c>
      <c r="M166" s="2">
        <v>9.0277777777777784E-4</v>
      </c>
      <c r="N166" s="1" t="s">
        <v>26</v>
      </c>
      <c r="O166" s="1" t="s">
        <v>34</v>
      </c>
      <c r="P166" s="2">
        <v>1.0185185185185186E-3</v>
      </c>
      <c r="Q166" s="1" t="s">
        <v>208</v>
      </c>
      <c r="R166" s="1">
        <v>0</v>
      </c>
      <c r="S166" s="1" t="str">
        <f>""</f>
        <v/>
      </c>
      <c r="T166" s="1" t="s">
        <v>29</v>
      </c>
      <c r="U166" s="1" t="s">
        <v>30</v>
      </c>
      <c r="V166" s="1">
        <v>0</v>
      </c>
    </row>
    <row r="167" spans="2:22" x14ac:dyDescent="0.15">
      <c r="B167" s="1" t="str">
        <f>"138****6491"</f>
        <v>138****6491</v>
      </c>
      <c r="C167" s="1" t="s">
        <v>23</v>
      </c>
      <c r="D167" s="1" t="str">
        <f t="shared" si="13"/>
        <v>89177328</v>
      </c>
      <c r="E167" s="1" t="s">
        <v>24</v>
      </c>
      <c r="F167" s="1" t="str">
        <f t="shared" si="14"/>
        <v>0010</v>
      </c>
      <c r="G167" s="1" t="str">
        <f>""</f>
        <v/>
      </c>
      <c r="H167" s="1" t="str">
        <f>"0018"</f>
        <v>0018</v>
      </c>
      <c r="I167" s="1" t="s">
        <v>36</v>
      </c>
      <c r="J167" s="1" t="str">
        <f>"01043977572"</f>
        <v>01043977572</v>
      </c>
      <c r="K167" s="1" t="str">
        <f>"2017-04-13 16:44:06"</f>
        <v>2017-04-13 16:44:06</v>
      </c>
      <c r="L167" s="1" t="str">
        <f>"2017-04-13 16:44:17"</f>
        <v>2017-04-13 16:44:17</v>
      </c>
      <c r="M167" s="2">
        <v>1.4120370370370369E-3</v>
      </c>
      <c r="N167" s="1" t="s">
        <v>26</v>
      </c>
      <c r="O167" s="1" t="s">
        <v>34</v>
      </c>
      <c r="P167" s="2">
        <v>1.5393518518518519E-3</v>
      </c>
      <c r="Q167" s="1" t="s">
        <v>209</v>
      </c>
      <c r="R167" s="1">
        <v>0</v>
      </c>
      <c r="S167" s="1" t="str">
        <f>""</f>
        <v/>
      </c>
      <c r="T167" s="1" t="s">
        <v>29</v>
      </c>
      <c r="U167" s="1" t="s">
        <v>30</v>
      </c>
      <c r="V167" s="1">
        <v>0</v>
      </c>
    </row>
    <row r="168" spans="2:22" x14ac:dyDescent="0.15">
      <c r="B168" s="1" t="str">
        <f>"157****4678"</f>
        <v>157****4678</v>
      </c>
      <c r="C168" s="1" t="s">
        <v>23</v>
      </c>
      <c r="D168" s="1" t="str">
        <f t="shared" si="13"/>
        <v>89177328</v>
      </c>
      <c r="E168" s="1" t="s">
        <v>24</v>
      </c>
      <c r="F168" s="1" t="str">
        <f t="shared" si="14"/>
        <v>0010</v>
      </c>
      <c r="G168" s="1" t="str">
        <f>""</f>
        <v/>
      </c>
      <c r="H168" s="1" t="str">
        <f>"0018"</f>
        <v>0018</v>
      </c>
      <c r="I168" s="1" t="s">
        <v>36</v>
      </c>
      <c r="J168" s="1" t="str">
        <f>"01043977572"</f>
        <v>01043977572</v>
      </c>
      <c r="K168" s="1" t="str">
        <f>"2017-04-13 16:41:53"</f>
        <v>2017-04-13 16:41:53</v>
      </c>
      <c r="L168" s="1" t="str">
        <f>"-"</f>
        <v>-</v>
      </c>
      <c r="M168" s="2">
        <v>0</v>
      </c>
      <c r="N168" s="1" t="s">
        <v>33</v>
      </c>
      <c r="O168" s="1" t="s">
        <v>34</v>
      </c>
      <c r="P168" s="2">
        <v>4.6296296296296294E-5</v>
      </c>
      <c r="Q168" s="1" t="str">
        <f>""</f>
        <v/>
      </c>
      <c r="R168" s="1">
        <v>0</v>
      </c>
      <c r="S168" s="1" t="str">
        <f>""</f>
        <v/>
      </c>
      <c r="T168" s="1" t="s">
        <v>29</v>
      </c>
      <c r="U168" s="1" t="s">
        <v>30</v>
      </c>
      <c r="V168" s="1">
        <v>0</v>
      </c>
    </row>
    <row r="169" spans="2:22" x14ac:dyDescent="0.15">
      <c r="B169" s="1" t="str">
        <f>"131****0246"</f>
        <v>131****0246</v>
      </c>
      <c r="C169" s="1" t="s">
        <v>23</v>
      </c>
      <c r="D169" s="1" t="str">
        <f t="shared" si="13"/>
        <v>89177328</v>
      </c>
      <c r="E169" s="1" t="s">
        <v>24</v>
      </c>
      <c r="F169" s="1" t="str">
        <f t="shared" si="14"/>
        <v>0010</v>
      </c>
      <c r="G169" s="1" t="str">
        <f>""</f>
        <v/>
      </c>
      <c r="H169" s="1" t="str">
        <f t="shared" ref="H169:H175" si="15">"0034"</f>
        <v>0034</v>
      </c>
      <c r="I169" s="1" t="s">
        <v>31</v>
      </c>
      <c r="J169" s="1" t="str">
        <f t="shared" ref="J169:J175" si="16">"01043977568"</f>
        <v>01043977568</v>
      </c>
      <c r="K169" s="1" t="str">
        <f>"2017-04-13 16:40:30"</f>
        <v>2017-04-13 16:40:30</v>
      </c>
      <c r="L169" s="1" t="str">
        <f>"2017-04-13 16:40:46"</f>
        <v>2017-04-13 16:40:46</v>
      </c>
      <c r="M169" s="2">
        <v>3.9814814814814817E-3</v>
      </c>
      <c r="N169" s="1" t="s">
        <v>26</v>
      </c>
      <c r="O169" s="1" t="s">
        <v>27</v>
      </c>
      <c r="P169" s="2">
        <v>4.1666666666666666E-3</v>
      </c>
      <c r="Q169" s="1" t="s">
        <v>210</v>
      </c>
      <c r="R169" s="1">
        <v>0</v>
      </c>
      <c r="S169" s="1" t="str">
        <f>""</f>
        <v/>
      </c>
      <c r="T169" s="1" t="s">
        <v>29</v>
      </c>
      <c r="U169" s="1" t="s">
        <v>30</v>
      </c>
      <c r="V169" s="1">
        <v>0</v>
      </c>
    </row>
    <row r="170" spans="2:22" x14ac:dyDescent="0.15">
      <c r="B170" s="1" t="str">
        <f>"177****0206"</f>
        <v>177****0206</v>
      </c>
      <c r="C170" s="1" t="s">
        <v>23</v>
      </c>
      <c r="D170" s="1" t="str">
        <f t="shared" si="13"/>
        <v>89177328</v>
      </c>
      <c r="E170" s="1" t="s">
        <v>24</v>
      </c>
      <c r="F170" s="1" t="str">
        <f t="shared" si="14"/>
        <v>0010</v>
      </c>
      <c r="G170" s="1" t="str">
        <f>""</f>
        <v/>
      </c>
      <c r="H170" s="1" t="str">
        <f t="shared" si="15"/>
        <v>0034</v>
      </c>
      <c r="I170" s="1" t="s">
        <v>31</v>
      </c>
      <c r="J170" s="1" t="str">
        <f t="shared" si="16"/>
        <v>01043977568</v>
      </c>
      <c r="K170" s="1" t="str">
        <f>"2017-04-13 16:39:46"</f>
        <v>2017-04-13 16:39:46</v>
      </c>
      <c r="L170" s="1" t="str">
        <f>"-"</f>
        <v>-</v>
      </c>
      <c r="M170" s="2">
        <v>0</v>
      </c>
      <c r="N170" s="1" t="s">
        <v>33</v>
      </c>
      <c r="O170" s="1" t="s">
        <v>34</v>
      </c>
      <c r="P170" s="2">
        <v>8.1018518518518516E-5</v>
      </c>
      <c r="Q170" s="1" t="str">
        <f>""</f>
        <v/>
      </c>
      <c r="R170" s="1">
        <v>0</v>
      </c>
      <c r="S170" s="1" t="str">
        <f>""</f>
        <v/>
      </c>
      <c r="T170" s="1" t="s">
        <v>29</v>
      </c>
      <c r="U170" s="1" t="s">
        <v>30</v>
      </c>
      <c r="V170" s="1">
        <v>0</v>
      </c>
    </row>
    <row r="171" spans="2:22" x14ac:dyDescent="0.15">
      <c r="B171" s="1" t="str">
        <f>"157****4678"</f>
        <v>157****4678</v>
      </c>
      <c r="C171" s="1" t="s">
        <v>23</v>
      </c>
      <c r="D171" s="1" t="str">
        <f t="shared" si="13"/>
        <v>89177328</v>
      </c>
      <c r="E171" s="1" t="s">
        <v>24</v>
      </c>
      <c r="F171" s="1" t="str">
        <f t="shared" si="14"/>
        <v>0010</v>
      </c>
      <c r="G171" s="1" t="str">
        <f>""</f>
        <v/>
      </c>
      <c r="H171" s="1" t="str">
        <f t="shared" si="15"/>
        <v>0034</v>
      </c>
      <c r="I171" s="1" t="s">
        <v>31</v>
      </c>
      <c r="J171" s="1" t="str">
        <f t="shared" si="16"/>
        <v>01043977568</v>
      </c>
      <c r="K171" s="1" t="str">
        <f>"2017-04-13 16:39:20"</f>
        <v>2017-04-13 16:39:20</v>
      </c>
      <c r="L171" s="1" t="str">
        <f>"-"</f>
        <v>-</v>
      </c>
      <c r="M171" s="2">
        <v>0</v>
      </c>
      <c r="N171" s="1" t="s">
        <v>33</v>
      </c>
      <c r="O171" s="1" t="s">
        <v>34</v>
      </c>
      <c r="P171" s="2">
        <v>4.6296296296296294E-5</v>
      </c>
      <c r="Q171" s="1" t="str">
        <f>""</f>
        <v/>
      </c>
      <c r="R171" s="1">
        <v>0</v>
      </c>
      <c r="S171" s="1" t="str">
        <f>""</f>
        <v/>
      </c>
      <c r="T171" s="1" t="s">
        <v>29</v>
      </c>
      <c r="U171" s="1" t="s">
        <v>30</v>
      </c>
      <c r="V171" s="1">
        <v>0</v>
      </c>
    </row>
    <row r="172" spans="2:22" x14ac:dyDescent="0.15">
      <c r="B172" s="1" t="str">
        <f>"177****0206"</f>
        <v>177****0206</v>
      </c>
      <c r="C172" s="1" t="s">
        <v>23</v>
      </c>
      <c r="D172" s="1" t="str">
        <f t="shared" si="13"/>
        <v>89177328</v>
      </c>
      <c r="E172" s="1" t="s">
        <v>24</v>
      </c>
      <c r="F172" s="1" t="str">
        <f t="shared" si="14"/>
        <v>0010</v>
      </c>
      <c r="G172" s="1" t="str">
        <f>""</f>
        <v/>
      </c>
      <c r="H172" s="1" t="str">
        <f t="shared" si="15"/>
        <v>0034</v>
      </c>
      <c r="I172" s="1" t="s">
        <v>31</v>
      </c>
      <c r="J172" s="1" t="str">
        <f t="shared" si="16"/>
        <v>01043977568</v>
      </c>
      <c r="K172" s="1" t="str">
        <f>"2017-04-13 16:37:55"</f>
        <v>2017-04-13 16:37:55</v>
      </c>
      <c r="L172" s="1" t="str">
        <f>"-"</f>
        <v>-</v>
      </c>
      <c r="M172" s="2">
        <v>0</v>
      </c>
      <c r="N172" s="1" t="s">
        <v>33</v>
      </c>
      <c r="O172" s="1" t="s">
        <v>34</v>
      </c>
      <c r="P172" s="2">
        <v>8.1018518518518516E-5</v>
      </c>
      <c r="Q172" s="1" t="str">
        <f>""</f>
        <v/>
      </c>
      <c r="R172" s="1">
        <v>0</v>
      </c>
      <c r="S172" s="1" t="str">
        <f>""</f>
        <v/>
      </c>
      <c r="T172" s="1" t="s">
        <v>29</v>
      </c>
      <c r="U172" s="1" t="s">
        <v>30</v>
      </c>
      <c r="V172" s="1">
        <v>0</v>
      </c>
    </row>
    <row r="173" spans="2:22" x14ac:dyDescent="0.15">
      <c r="B173" s="1" t="str">
        <f>"183****4280"</f>
        <v>183****4280</v>
      </c>
      <c r="C173" s="1" t="s">
        <v>23</v>
      </c>
      <c r="D173" s="1" t="str">
        <f t="shared" si="13"/>
        <v>89177328</v>
      </c>
      <c r="E173" s="1" t="s">
        <v>24</v>
      </c>
      <c r="F173" s="1" t="str">
        <f t="shared" si="14"/>
        <v>0010</v>
      </c>
      <c r="G173" s="1" t="str">
        <f>""</f>
        <v/>
      </c>
      <c r="H173" s="1" t="str">
        <f t="shared" si="15"/>
        <v>0034</v>
      </c>
      <c r="I173" s="1" t="s">
        <v>31</v>
      </c>
      <c r="J173" s="1" t="str">
        <f t="shared" si="16"/>
        <v>01043977568</v>
      </c>
      <c r="K173" s="1" t="str">
        <f>"2017-04-13 16:33:49"</f>
        <v>2017-04-13 16:33:49</v>
      </c>
      <c r="L173" s="1" t="str">
        <f>"-"</f>
        <v>-</v>
      </c>
      <c r="M173" s="2">
        <v>0</v>
      </c>
      <c r="N173" s="1" t="s">
        <v>33</v>
      </c>
      <c r="O173" s="1" t="s">
        <v>34</v>
      </c>
      <c r="P173" s="2">
        <v>6.9444444444444444E-5</v>
      </c>
      <c r="Q173" s="1" t="str">
        <f>""</f>
        <v/>
      </c>
      <c r="R173" s="1">
        <v>0</v>
      </c>
      <c r="S173" s="1" t="str">
        <f>""</f>
        <v/>
      </c>
      <c r="T173" s="1" t="s">
        <v>29</v>
      </c>
      <c r="U173" s="1" t="s">
        <v>30</v>
      </c>
      <c r="V173" s="1">
        <v>0</v>
      </c>
    </row>
    <row r="174" spans="2:22" x14ac:dyDescent="0.15">
      <c r="B174" s="1" t="str">
        <f>"183****4280"</f>
        <v>183****4280</v>
      </c>
      <c r="C174" s="1" t="s">
        <v>23</v>
      </c>
      <c r="D174" s="1" t="str">
        <f t="shared" si="13"/>
        <v>89177328</v>
      </c>
      <c r="E174" s="1" t="s">
        <v>24</v>
      </c>
      <c r="F174" s="1" t="str">
        <f t="shared" si="14"/>
        <v>0010</v>
      </c>
      <c r="G174" s="1" t="str">
        <f>""</f>
        <v/>
      </c>
      <c r="H174" s="1" t="str">
        <f t="shared" si="15"/>
        <v>0034</v>
      </c>
      <c r="I174" s="1" t="s">
        <v>31</v>
      </c>
      <c r="J174" s="1" t="str">
        <f t="shared" si="16"/>
        <v>01043977568</v>
      </c>
      <c r="K174" s="1" t="str">
        <f>"2017-04-13 16:29:48"</f>
        <v>2017-04-13 16:29:48</v>
      </c>
      <c r="L174" s="1" t="str">
        <f>"-"</f>
        <v>-</v>
      </c>
      <c r="M174" s="2">
        <v>0</v>
      </c>
      <c r="N174" s="1" t="s">
        <v>33</v>
      </c>
      <c r="O174" s="1" t="s">
        <v>34</v>
      </c>
      <c r="P174" s="2">
        <v>8.1018518518518516E-5</v>
      </c>
      <c r="Q174" s="1" t="str">
        <f>""</f>
        <v/>
      </c>
      <c r="R174" s="1">
        <v>0</v>
      </c>
      <c r="S174" s="1" t="str">
        <f>""</f>
        <v/>
      </c>
      <c r="T174" s="1" t="s">
        <v>29</v>
      </c>
      <c r="U174" s="1" t="s">
        <v>30</v>
      </c>
      <c r="V174" s="1">
        <v>0</v>
      </c>
    </row>
    <row r="175" spans="2:22" x14ac:dyDescent="0.15">
      <c r="B175" s="1" t="str">
        <f>"0316015663311169"</f>
        <v>0316015663311169</v>
      </c>
      <c r="C175" s="1" t="s">
        <v>51</v>
      </c>
      <c r="D175" s="1" t="str">
        <f t="shared" si="13"/>
        <v>89177328</v>
      </c>
      <c r="E175" s="1" t="s">
        <v>24</v>
      </c>
      <c r="F175" s="1" t="str">
        <f t="shared" si="14"/>
        <v>0010</v>
      </c>
      <c r="G175" s="1" t="str">
        <f>""</f>
        <v/>
      </c>
      <c r="H175" s="1" t="str">
        <f t="shared" si="15"/>
        <v>0034</v>
      </c>
      <c r="I175" s="1" t="s">
        <v>31</v>
      </c>
      <c r="J175" s="1" t="str">
        <f t="shared" si="16"/>
        <v>01043977568</v>
      </c>
      <c r="K175" s="1" t="str">
        <f>"2017-04-13 16:17:49"</f>
        <v>2017-04-13 16:17:49</v>
      </c>
      <c r="L175" s="1" t="str">
        <f>"2017-04-13 16:17:55"</f>
        <v>2017-04-13 16:17:55</v>
      </c>
      <c r="M175" s="2">
        <v>4.5717592592592589E-3</v>
      </c>
      <c r="N175" s="1" t="s">
        <v>26</v>
      </c>
      <c r="O175" s="1" t="s">
        <v>27</v>
      </c>
      <c r="P175" s="2">
        <v>4.6412037037037038E-3</v>
      </c>
      <c r="Q175" s="1" t="s">
        <v>211</v>
      </c>
      <c r="R175" s="1">
        <v>0</v>
      </c>
      <c r="S175" s="1" t="str">
        <f>""</f>
        <v/>
      </c>
      <c r="T175" s="1" t="s">
        <v>29</v>
      </c>
      <c r="U175" s="1" t="s">
        <v>30</v>
      </c>
      <c r="V175" s="1">
        <v>0</v>
      </c>
    </row>
    <row r="176" spans="2:22" x14ac:dyDescent="0.15">
      <c r="B176" s="1" t="str">
        <f>"177****8809"</f>
        <v>177****8809</v>
      </c>
      <c r="C176" s="1" t="s">
        <v>200</v>
      </c>
      <c r="D176" s="1" t="str">
        <f t="shared" si="13"/>
        <v>89177328</v>
      </c>
      <c r="E176" s="1" t="s">
        <v>24</v>
      </c>
      <c r="F176" s="1" t="str">
        <f t="shared" si="14"/>
        <v>0010</v>
      </c>
      <c r="G176" s="1" t="str">
        <f>""</f>
        <v/>
      </c>
      <c r="H176" s="1" t="str">
        <f>"0017"</f>
        <v>0017</v>
      </c>
      <c r="I176" s="1" t="s">
        <v>135</v>
      </c>
      <c r="J176" s="1" t="str">
        <f>"01043989717"</f>
        <v>01043989717</v>
      </c>
      <c r="K176" s="1" t="str">
        <f>"2017-04-13 16:14:35"</f>
        <v>2017-04-13 16:14:35</v>
      </c>
      <c r="L176" s="1" t="str">
        <f>"2017-04-13 16:14:43"</f>
        <v>2017-04-13 16:14:43</v>
      </c>
      <c r="M176" s="2">
        <v>7.6041666666666662E-3</v>
      </c>
      <c r="N176" s="1" t="s">
        <v>26</v>
      </c>
      <c r="O176" s="1" t="s">
        <v>34</v>
      </c>
      <c r="P176" s="2">
        <v>7.69675925925926E-3</v>
      </c>
      <c r="Q176" s="1" t="s">
        <v>212</v>
      </c>
      <c r="R176" s="1">
        <v>0</v>
      </c>
      <c r="S176" s="1" t="str">
        <f>""</f>
        <v/>
      </c>
      <c r="T176" s="1" t="s">
        <v>29</v>
      </c>
      <c r="U176" s="1" t="s">
        <v>30</v>
      </c>
      <c r="V176" s="1">
        <v>0</v>
      </c>
    </row>
    <row r="177" spans="2:22" x14ac:dyDescent="0.15">
      <c r="B177" s="1" t="str">
        <f>"188****8593"</f>
        <v>188****8593</v>
      </c>
      <c r="C177" s="1" t="s">
        <v>23</v>
      </c>
      <c r="D177" s="1" t="str">
        <f t="shared" si="13"/>
        <v>89177328</v>
      </c>
      <c r="E177" s="1" t="s">
        <v>24</v>
      </c>
      <c r="F177" s="1" t="str">
        <f t="shared" si="14"/>
        <v>0010</v>
      </c>
      <c r="G177" s="1" t="str">
        <f>""</f>
        <v/>
      </c>
      <c r="H177" s="1" t="str">
        <f>"0035"</f>
        <v>0035</v>
      </c>
      <c r="I177" s="1" t="s">
        <v>25</v>
      </c>
      <c r="J177" s="1" t="str">
        <f>"01043977569"</f>
        <v>01043977569</v>
      </c>
      <c r="K177" s="1" t="str">
        <f>"2017-04-13 16:14:04"</f>
        <v>2017-04-13 16:14:04</v>
      </c>
      <c r="L177" s="1" t="str">
        <f>"2017-04-13 16:14:14"</f>
        <v>2017-04-13 16:14:14</v>
      </c>
      <c r="M177" s="2">
        <v>4.5138888888888893E-3</v>
      </c>
      <c r="N177" s="1" t="s">
        <v>26</v>
      </c>
      <c r="O177" s="1" t="s">
        <v>27</v>
      </c>
      <c r="P177" s="2">
        <v>4.6296296296296302E-3</v>
      </c>
      <c r="Q177" s="1" t="s">
        <v>213</v>
      </c>
      <c r="R177" s="1">
        <v>0</v>
      </c>
      <c r="S177" s="1" t="str">
        <f>""</f>
        <v/>
      </c>
      <c r="T177" s="1" t="s">
        <v>29</v>
      </c>
      <c r="U177" s="1" t="s">
        <v>30</v>
      </c>
      <c r="V177" s="1">
        <v>0</v>
      </c>
    </row>
    <row r="178" spans="2:22" x14ac:dyDescent="0.15">
      <c r="B178" s="1" t="str">
        <f>"189****0240"</f>
        <v>189****0240</v>
      </c>
      <c r="C178" s="1" t="s">
        <v>23</v>
      </c>
      <c r="D178" s="1" t="str">
        <f t="shared" si="13"/>
        <v>89177328</v>
      </c>
      <c r="E178" s="1" t="s">
        <v>24</v>
      </c>
      <c r="F178" s="1" t="str">
        <f t="shared" si="14"/>
        <v>0010</v>
      </c>
      <c r="G178" s="1" t="str">
        <f>""</f>
        <v/>
      </c>
      <c r="H178" s="1" t="str">
        <f>"0034"</f>
        <v>0034</v>
      </c>
      <c r="I178" s="1" t="s">
        <v>31</v>
      </c>
      <c r="J178" s="1" t="str">
        <f>"01043977568"</f>
        <v>01043977568</v>
      </c>
      <c r="K178" s="1" t="str">
        <f>"2017-04-13 16:11:39"</f>
        <v>2017-04-13 16:11:39</v>
      </c>
      <c r="L178" s="1" t="str">
        <f>"2017-04-13 16:11:46"</f>
        <v>2017-04-13 16:11:46</v>
      </c>
      <c r="M178" s="2">
        <v>3.7268518518518514E-3</v>
      </c>
      <c r="N178" s="1" t="s">
        <v>26</v>
      </c>
      <c r="O178" s="1" t="s">
        <v>27</v>
      </c>
      <c r="P178" s="2">
        <v>3.8078703703703707E-3</v>
      </c>
      <c r="Q178" s="1" t="s">
        <v>214</v>
      </c>
      <c r="R178" s="1">
        <v>0</v>
      </c>
      <c r="S178" s="1" t="str">
        <f>""</f>
        <v/>
      </c>
      <c r="T178" s="1" t="s">
        <v>29</v>
      </c>
      <c r="U178" s="1" t="s">
        <v>30</v>
      </c>
      <c r="V178" s="1">
        <v>0</v>
      </c>
    </row>
    <row r="179" spans="2:22" x14ac:dyDescent="0.15">
      <c r="B179" s="1" t="str">
        <f>"137****6350"</f>
        <v>137****6350</v>
      </c>
      <c r="C179" s="1" t="s">
        <v>23</v>
      </c>
      <c r="D179" s="1" t="str">
        <f t="shared" si="13"/>
        <v>89177328</v>
      </c>
      <c r="E179" s="1" t="s">
        <v>24</v>
      </c>
      <c r="F179" s="1" t="str">
        <f t="shared" si="14"/>
        <v>0010</v>
      </c>
      <c r="G179" s="1" t="str">
        <f>""</f>
        <v/>
      </c>
      <c r="H179" s="1" t="str">
        <f>"0034"</f>
        <v>0034</v>
      </c>
      <c r="I179" s="1" t="s">
        <v>31</v>
      </c>
      <c r="J179" s="1" t="str">
        <f>"01043977568"</f>
        <v>01043977568</v>
      </c>
      <c r="K179" s="1" t="str">
        <f>"2017-04-13 16:04:16"</f>
        <v>2017-04-13 16:04:16</v>
      </c>
      <c r="L179" s="1" t="str">
        <f>"2017-04-13 16:04:28"</f>
        <v>2017-04-13 16:04:28</v>
      </c>
      <c r="M179" s="2">
        <v>2.3611111111111111E-3</v>
      </c>
      <c r="N179" s="1" t="s">
        <v>26</v>
      </c>
      <c r="O179" s="1" t="s">
        <v>27</v>
      </c>
      <c r="P179" s="2">
        <v>2.5000000000000001E-3</v>
      </c>
      <c r="Q179" s="1" t="s">
        <v>215</v>
      </c>
      <c r="R179" s="1">
        <v>0</v>
      </c>
      <c r="S179" s="1" t="str">
        <f>""</f>
        <v/>
      </c>
      <c r="T179" s="1" t="s">
        <v>29</v>
      </c>
      <c r="U179" s="1" t="s">
        <v>30</v>
      </c>
      <c r="V179" s="1">
        <v>0</v>
      </c>
    </row>
    <row r="180" spans="2:22" x14ac:dyDescent="0.15">
      <c r="B180" s="1" t="str">
        <f>"188****8593"</f>
        <v>188****8593</v>
      </c>
      <c r="C180" s="1" t="s">
        <v>23</v>
      </c>
      <c r="D180" s="1" t="str">
        <f t="shared" si="13"/>
        <v>89177328</v>
      </c>
      <c r="E180" s="1" t="s">
        <v>24</v>
      </c>
      <c r="F180" s="1" t="str">
        <f t="shared" si="14"/>
        <v>0010</v>
      </c>
      <c r="G180" s="1" t="str">
        <f>""</f>
        <v/>
      </c>
      <c r="H180" s="1" t="str">
        <f>"0017"</f>
        <v>0017</v>
      </c>
      <c r="I180" s="1" t="s">
        <v>135</v>
      </c>
      <c r="J180" s="1" t="str">
        <f>"01043989717"</f>
        <v>01043989717</v>
      </c>
      <c r="K180" s="1" t="str">
        <f>"2017-04-13 15:56:50"</f>
        <v>2017-04-13 15:56:50</v>
      </c>
      <c r="L180" s="1" t="str">
        <f>"2017-04-13 15:57:00"</f>
        <v>2017-04-13 15:57:00</v>
      </c>
      <c r="M180" s="2">
        <v>8.113425925925925E-3</v>
      </c>
      <c r="N180" s="1" t="s">
        <v>26</v>
      </c>
      <c r="O180" s="1" t="s">
        <v>27</v>
      </c>
      <c r="P180" s="2">
        <v>8.2291666666666659E-3</v>
      </c>
      <c r="Q180" s="1" t="s">
        <v>216</v>
      </c>
      <c r="R180" s="1">
        <v>0</v>
      </c>
      <c r="S180" s="1" t="str">
        <f>""</f>
        <v/>
      </c>
      <c r="T180" s="1" t="s">
        <v>29</v>
      </c>
      <c r="U180" s="1" t="s">
        <v>30</v>
      </c>
      <c r="V180" s="1">
        <v>0</v>
      </c>
    </row>
    <row r="181" spans="2:22" x14ac:dyDescent="0.15">
      <c r="B181" s="1" t="str">
        <f>"130****5656"</f>
        <v>130****5656</v>
      </c>
      <c r="C181" s="1" t="s">
        <v>112</v>
      </c>
      <c r="D181" s="1" t="str">
        <f t="shared" si="13"/>
        <v>89177328</v>
      </c>
      <c r="E181" s="1" t="s">
        <v>24</v>
      </c>
      <c r="F181" s="1" t="str">
        <f t="shared" si="14"/>
        <v>0010</v>
      </c>
      <c r="G181" s="1" t="str">
        <f>""</f>
        <v/>
      </c>
      <c r="H181" s="1" t="str">
        <f>"0032"</f>
        <v>0032</v>
      </c>
      <c r="I181" s="1" t="s">
        <v>119</v>
      </c>
      <c r="J181" s="1" t="str">
        <f>"01043977566"</f>
        <v>01043977566</v>
      </c>
      <c r="K181" s="1" t="str">
        <f>"2017-04-13 15:56:15"</f>
        <v>2017-04-13 15:56:15</v>
      </c>
      <c r="L181" s="1" t="str">
        <f>"-"</f>
        <v>-</v>
      </c>
      <c r="M181" s="2">
        <v>0</v>
      </c>
      <c r="N181" s="1" t="s">
        <v>33</v>
      </c>
      <c r="O181" s="1" t="s">
        <v>34</v>
      </c>
      <c r="P181" s="2">
        <v>8.1018518518518516E-5</v>
      </c>
      <c r="Q181" s="1" t="str">
        <f>""</f>
        <v/>
      </c>
      <c r="R181" s="1">
        <v>0</v>
      </c>
      <c r="S181" s="1" t="str">
        <f>""</f>
        <v/>
      </c>
      <c r="T181" s="1" t="s">
        <v>29</v>
      </c>
      <c r="U181" s="1" t="s">
        <v>30</v>
      </c>
      <c r="V181" s="1">
        <v>0</v>
      </c>
    </row>
    <row r="182" spans="2:22" x14ac:dyDescent="0.15">
      <c r="B182" s="1" t="str">
        <f>"186****0604"</f>
        <v>186****0604</v>
      </c>
      <c r="C182" s="1" t="s">
        <v>23</v>
      </c>
      <c r="D182" s="1" t="str">
        <f t="shared" si="13"/>
        <v>89177328</v>
      </c>
      <c r="E182" s="1" t="s">
        <v>24</v>
      </c>
      <c r="F182" s="1" t="str">
        <f t="shared" si="14"/>
        <v>0010</v>
      </c>
      <c r="G182" s="1" t="str">
        <f>""</f>
        <v/>
      </c>
      <c r="H182" s="1" t="str">
        <f>"0032"</f>
        <v>0032</v>
      </c>
      <c r="I182" s="1" t="s">
        <v>119</v>
      </c>
      <c r="J182" s="1" t="str">
        <f>"01043977566"</f>
        <v>01043977566</v>
      </c>
      <c r="K182" s="1" t="str">
        <f>"2017-04-13 15:56:06"</f>
        <v>2017-04-13 15:56:06</v>
      </c>
      <c r="L182" s="1" t="str">
        <f>"-"</f>
        <v>-</v>
      </c>
      <c r="M182" s="2">
        <v>0</v>
      </c>
      <c r="N182" s="1" t="s">
        <v>33</v>
      </c>
      <c r="O182" s="1" t="s">
        <v>34</v>
      </c>
      <c r="P182" s="2">
        <v>6.9444444444444444E-5</v>
      </c>
      <c r="Q182" s="1" t="str">
        <f>""</f>
        <v/>
      </c>
      <c r="R182" s="1">
        <v>0</v>
      </c>
      <c r="S182" s="1" t="str">
        <f>""</f>
        <v/>
      </c>
      <c r="T182" s="1" t="s">
        <v>29</v>
      </c>
      <c r="U182" s="1" t="s">
        <v>30</v>
      </c>
      <c r="V182" s="1">
        <v>0</v>
      </c>
    </row>
    <row r="183" spans="2:22" x14ac:dyDescent="0.15">
      <c r="B183" s="1" t="str">
        <f>"130****5656"</f>
        <v>130****5656</v>
      </c>
      <c r="C183" s="1" t="s">
        <v>112</v>
      </c>
      <c r="D183" s="1" t="str">
        <f t="shared" si="13"/>
        <v>89177328</v>
      </c>
      <c r="E183" s="1" t="s">
        <v>24</v>
      </c>
      <c r="F183" s="1" t="str">
        <f t="shared" si="14"/>
        <v>0010</v>
      </c>
      <c r="G183" s="1" t="str">
        <f>""</f>
        <v/>
      </c>
      <c r="H183" s="1" t="str">
        <f>"0017"</f>
        <v>0017</v>
      </c>
      <c r="I183" s="1" t="s">
        <v>135</v>
      </c>
      <c r="J183" s="1" t="str">
        <f>"01043989717"</f>
        <v>01043989717</v>
      </c>
      <c r="K183" s="1" t="str">
        <f>"2017-04-13 15:53:39"</f>
        <v>2017-04-13 15:53:39</v>
      </c>
      <c r="L183" s="1" t="str">
        <f>"-"</f>
        <v>-</v>
      </c>
      <c r="M183" s="2">
        <v>0</v>
      </c>
      <c r="N183" s="1" t="s">
        <v>33</v>
      </c>
      <c r="O183" s="1" t="s">
        <v>34</v>
      </c>
      <c r="P183" s="2">
        <v>2.3148148148148147E-5</v>
      </c>
      <c r="Q183" s="1" t="str">
        <f>""</f>
        <v/>
      </c>
      <c r="R183" s="1">
        <v>0</v>
      </c>
      <c r="S183" s="1" t="str">
        <f>""</f>
        <v/>
      </c>
      <c r="T183" s="1" t="s">
        <v>29</v>
      </c>
      <c r="U183" s="1" t="s">
        <v>30</v>
      </c>
      <c r="V183" s="1">
        <v>0</v>
      </c>
    </row>
    <row r="184" spans="2:22" x14ac:dyDescent="0.15">
      <c r="B184" s="1" t="str">
        <f>"186****0604"</f>
        <v>186****0604</v>
      </c>
      <c r="C184" s="1" t="s">
        <v>23</v>
      </c>
      <c r="D184" s="1" t="str">
        <f t="shared" si="13"/>
        <v>89177328</v>
      </c>
      <c r="E184" s="1" t="s">
        <v>24</v>
      </c>
      <c r="F184" s="1" t="str">
        <f t="shared" si="14"/>
        <v>0010</v>
      </c>
      <c r="G184" s="1" t="str">
        <f>""</f>
        <v/>
      </c>
      <c r="H184" s="1" t="str">
        <f>"0017"</f>
        <v>0017</v>
      </c>
      <c r="I184" s="1" t="s">
        <v>135</v>
      </c>
      <c r="J184" s="1" t="str">
        <f>"01043989717"</f>
        <v>01043989717</v>
      </c>
      <c r="K184" s="1" t="str">
        <f>"2017-04-13 15:53:30"</f>
        <v>2017-04-13 15:53:30</v>
      </c>
      <c r="L184" s="1" t="str">
        <f>"-"</f>
        <v>-</v>
      </c>
      <c r="M184" s="2">
        <v>0</v>
      </c>
      <c r="N184" s="1" t="s">
        <v>33</v>
      </c>
      <c r="O184" s="1" t="s">
        <v>34</v>
      </c>
      <c r="P184" s="2">
        <v>2.3148148148148147E-5</v>
      </c>
      <c r="Q184" s="1" t="str">
        <f>""</f>
        <v/>
      </c>
      <c r="R184" s="1">
        <v>0</v>
      </c>
      <c r="S184" s="1" t="str">
        <f>""</f>
        <v/>
      </c>
      <c r="T184" s="1" t="s">
        <v>29</v>
      </c>
      <c r="U184" s="1" t="s">
        <v>30</v>
      </c>
      <c r="V184" s="1">
        <v>0</v>
      </c>
    </row>
    <row r="185" spans="2:22" x14ac:dyDescent="0.15">
      <c r="B185" s="1" t="str">
        <f>"130****5656"</f>
        <v>130****5656</v>
      </c>
      <c r="C185" s="1" t="s">
        <v>112</v>
      </c>
      <c r="D185" s="1" t="str">
        <f t="shared" si="13"/>
        <v>89177328</v>
      </c>
      <c r="E185" s="1" t="s">
        <v>24</v>
      </c>
      <c r="F185" s="1" t="str">
        <f t="shared" si="14"/>
        <v>0010</v>
      </c>
      <c r="G185" s="1" t="str">
        <f>""</f>
        <v/>
      </c>
      <c r="H185" s="1" t="str">
        <f>"0017"</f>
        <v>0017</v>
      </c>
      <c r="I185" s="1" t="s">
        <v>135</v>
      </c>
      <c r="J185" s="1" t="str">
        <f>"01043989717"</f>
        <v>01043989717</v>
      </c>
      <c r="K185" s="1" t="str">
        <f>"2017-04-13 15:51:20"</f>
        <v>2017-04-13 15:51:20</v>
      </c>
      <c r="L185" s="1" t="str">
        <f>"-"</f>
        <v>-</v>
      </c>
      <c r="M185" s="2">
        <v>0</v>
      </c>
      <c r="N185" s="1" t="s">
        <v>33</v>
      </c>
      <c r="O185" s="1" t="s">
        <v>34</v>
      </c>
      <c r="P185" s="2">
        <v>4.6296296296296294E-5</v>
      </c>
      <c r="Q185" s="1" t="str">
        <f>""</f>
        <v/>
      </c>
      <c r="R185" s="1">
        <v>0</v>
      </c>
      <c r="S185" s="1" t="str">
        <f>""</f>
        <v/>
      </c>
      <c r="T185" s="1" t="s">
        <v>29</v>
      </c>
      <c r="U185" s="1" t="s">
        <v>30</v>
      </c>
      <c r="V185" s="1">
        <v>0</v>
      </c>
    </row>
    <row r="186" spans="2:22" x14ac:dyDescent="0.15">
      <c r="B186" s="1" t="str">
        <f>"135****5573"</f>
        <v>135****5573</v>
      </c>
      <c r="C186" s="1" t="s">
        <v>23</v>
      </c>
      <c r="D186" s="1" t="str">
        <f t="shared" si="13"/>
        <v>89177328</v>
      </c>
      <c r="E186" s="1" t="s">
        <v>24</v>
      </c>
      <c r="F186" s="1" t="str">
        <f t="shared" si="14"/>
        <v>0010</v>
      </c>
      <c r="G186" s="1" t="str">
        <f>""</f>
        <v/>
      </c>
      <c r="H186" s="1" t="str">
        <f>"0018"</f>
        <v>0018</v>
      </c>
      <c r="I186" s="1" t="s">
        <v>36</v>
      </c>
      <c r="J186" s="1" t="str">
        <f>"01043977572"</f>
        <v>01043977572</v>
      </c>
      <c r="K186" s="1" t="str">
        <f>"2017-04-13 15:47:59"</f>
        <v>2017-04-13 15:47:59</v>
      </c>
      <c r="L186" s="1" t="str">
        <f>"2017-04-13 15:48:08"</f>
        <v>2017-04-13 15:48:08</v>
      </c>
      <c r="M186" s="2">
        <v>9.3287037037037036E-3</v>
      </c>
      <c r="N186" s="1" t="s">
        <v>26</v>
      </c>
      <c r="O186" s="1" t="s">
        <v>34</v>
      </c>
      <c r="P186" s="2">
        <v>9.432870370370371E-3</v>
      </c>
      <c r="Q186" s="1" t="s">
        <v>217</v>
      </c>
      <c r="R186" s="1">
        <v>0</v>
      </c>
      <c r="S186" s="1" t="str">
        <f>""</f>
        <v/>
      </c>
      <c r="T186" s="1" t="s">
        <v>29</v>
      </c>
      <c r="U186" s="1" t="s">
        <v>30</v>
      </c>
      <c r="V186" s="1">
        <v>0</v>
      </c>
    </row>
    <row r="187" spans="2:22" x14ac:dyDescent="0.15">
      <c r="B187" s="1" t="str">
        <f>"136****8031"</f>
        <v>136****8031</v>
      </c>
      <c r="C187" s="1" t="s">
        <v>23</v>
      </c>
      <c r="D187" s="1" t="str">
        <f t="shared" si="13"/>
        <v>89177328</v>
      </c>
      <c r="E187" s="1" t="s">
        <v>24</v>
      </c>
      <c r="F187" s="1" t="str">
        <f t="shared" si="14"/>
        <v>0010</v>
      </c>
      <c r="G187" s="1" t="str">
        <f>""</f>
        <v/>
      </c>
      <c r="H187" s="1" t="str">
        <f>"0036"</f>
        <v>0036</v>
      </c>
      <c r="I187" s="1" t="s">
        <v>143</v>
      </c>
      <c r="J187" s="1" t="str">
        <f>"01043977573"</f>
        <v>01043977573</v>
      </c>
      <c r="K187" s="1" t="str">
        <f>"2017-04-13 15:43:17"</f>
        <v>2017-04-13 15:43:17</v>
      </c>
      <c r="L187" s="1" t="str">
        <f>"2017-04-13 15:43:23"</f>
        <v>2017-04-13 15:43:23</v>
      </c>
      <c r="M187" s="2">
        <v>1.0474537037037037E-2</v>
      </c>
      <c r="N187" s="1" t="s">
        <v>26</v>
      </c>
      <c r="O187" s="1" t="s">
        <v>27</v>
      </c>
      <c r="P187" s="2">
        <v>1.0543981481481481E-2</v>
      </c>
      <c r="Q187" s="1" t="s">
        <v>218</v>
      </c>
      <c r="R187" s="1">
        <v>0</v>
      </c>
      <c r="S187" s="1" t="str">
        <f>""</f>
        <v/>
      </c>
      <c r="T187" s="1" t="s">
        <v>29</v>
      </c>
      <c r="U187" s="1" t="s">
        <v>30</v>
      </c>
      <c r="V187" s="1">
        <v>0</v>
      </c>
    </row>
    <row r="188" spans="2:22" x14ac:dyDescent="0.15">
      <c r="B188" s="1" t="str">
        <f>"010****6666"</f>
        <v>010****6666</v>
      </c>
      <c r="C188" s="1" t="s">
        <v>23</v>
      </c>
      <c r="D188" s="1" t="str">
        <f t="shared" si="13"/>
        <v>89177328</v>
      </c>
      <c r="E188" s="1" t="s">
        <v>24</v>
      </c>
      <c r="F188" s="1" t="str">
        <f t="shared" si="14"/>
        <v>0010</v>
      </c>
      <c r="G188" s="1" t="str">
        <f>""</f>
        <v/>
      </c>
      <c r="H188" s="1" t="str">
        <f>"0034"</f>
        <v>0034</v>
      </c>
      <c r="I188" s="1" t="s">
        <v>31</v>
      </c>
      <c r="J188" s="1" t="str">
        <f>"01043977568"</f>
        <v>01043977568</v>
      </c>
      <c r="K188" s="1" t="str">
        <f>"2017-04-13 15:36:49"</f>
        <v>2017-04-13 15:36:49</v>
      </c>
      <c r="L188" s="1" t="str">
        <f>"2017-04-13 15:36:59"</f>
        <v>2017-04-13 15:36:59</v>
      </c>
      <c r="M188" s="2">
        <v>1.4178240740740741E-2</v>
      </c>
      <c r="N188" s="1" t="s">
        <v>26</v>
      </c>
      <c r="O188" s="1" t="s">
        <v>27</v>
      </c>
      <c r="P188" s="2">
        <v>1.4293981481481482E-2</v>
      </c>
      <c r="Q188" s="1" t="s">
        <v>219</v>
      </c>
      <c r="R188" s="1">
        <v>0</v>
      </c>
      <c r="S188" s="1" t="str">
        <f>""</f>
        <v/>
      </c>
      <c r="T188" s="1" t="s">
        <v>29</v>
      </c>
      <c r="U188" s="1" t="s">
        <v>30</v>
      </c>
      <c r="V188" s="1">
        <v>0</v>
      </c>
    </row>
    <row r="189" spans="2:22" x14ac:dyDescent="0.15">
      <c r="B189" s="1" t="str">
        <f>"136****8031"</f>
        <v>136****8031</v>
      </c>
      <c r="C189" s="1" t="s">
        <v>23</v>
      </c>
      <c r="D189" s="1" t="str">
        <f t="shared" si="13"/>
        <v>89177328</v>
      </c>
      <c r="E189" s="1" t="s">
        <v>24</v>
      </c>
      <c r="F189" s="1" t="str">
        <f t="shared" si="14"/>
        <v>0010</v>
      </c>
      <c r="G189" s="1" t="str">
        <f>""</f>
        <v/>
      </c>
      <c r="H189" s="1" t="str">
        <f>""</f>
        <v/>
      </c>
      <c r="I189" s="1" t="str">
        <f>""</f>
        <v/>
      </c>
      <c r="J189" s="1" t="str">
        <f>""</f>
        <v/>
      </c>
      <c r="K189" s="1" t="str">
        <f>"2017-04-13 15:26:45"</f>
        <v>2017-04-13 15:26:45</v>
      </c>
      <c r="L189" s="1" t="str">
        <f>"-"</f>
        <v>-</v>
      </c>
      <c r="M189" s="2">
        <v>0</v>
      </c>
      <c r="N189" s="1" t="s">
        <v>55</v>
      </c>
      <c r="O189" s="1" t="s">
        <v>27</v>
      </c>
      <c r="P189" s="2">
        <v>5.7870370370370366E-5</v>
      </c>
      <c r="Q189" s="1" t="str">
        <f>""</f>
        <v/>
      </c>
      <c r="R189" s="1">
        <v>0</v>
      </c>
      <c r="S189" s="1" t="str">
        <f>""</f>
        <v/>
      </c>
      <c r="T189" s="1" t="s">
        <v>29</v>
      </c>
      <c r="U189" s="1" t="s">
        <v>30</v>
      </c>
      <c r="V189" s="1">
        <v>0</v>
      </c>
    </row>
    <row r="190" spans="2:22" x14ac:dyDescent="0.15">
      <c r="B190" s="1" t="str">
        <f>"173****9554"</f>
        <v>173****9554</v>
      </c>
      <c r="C190" s="1" t="s">
        <v>220</v>
      </c>
      <c r="D190" s="1" t="str">
        <f t="shared" si="13"/>
        <v>89177328</v>
      </c>
      <c r="E190" s="1" t="s">
        <v>24</v>
      </c>
      <c r="F190" s="1" t="str">
        <f t="shared" si="14"/>
        <v>0010</v>
      </c>
      <c r="G190" s="1" t="str">
        <f>""</f>
        <v/>
      </c>
      <c r="H190" s="1" t="str">
        <f>"0017"</f>
        <v>0017</v>
      </c>
      <c r="I190" s="1" t="s">
        <v>135</v>
      </c>
      <c r="J190" s="1" t="str">
        <f>"01043989717"</f>
        <v>01043989717</v>
      </c>
      <c r="K190" s="1" t="str">
        <f>"2017-04-13 15:25:59"</f>
        <v>2017-04-13 15:25:59</v>
      </c>
      <c r="L190" s="1" t="str">
        <f>"2017-04-13 15:26:06"</f>
        <v>2017-04-13 15:26:06</v>
      </c>
      <c r="M190" s="2">
        <v>1.1006944444444444E-2</v>
      </c>
      <c r="N190" s="1" t="s">
        <v>26</v>
      </c>
      <c r="O190" s="1" t="s">
        <v>27</v>
      </c>
      <c r="P190" s="2">
        <v>1.1087962962962964E-2</v>
      </c>
      <c r="Q190" s="1" t="s">
        <v>221</v>
      </c>
      <c r="R190" s="1">
        <v>0</v>
      </c>
      <c r="S190" s="1" t="str">
        <f>""</f>
        <v/>
      </c>
      <c r="T190" s="1" t="s">
        <v>29</v>
      </c>
      <c r="U190" s="1" t="s">
        <v>30</v>
      </c>
      <c r="V190" s="1">
        <v>0</v>
      </c>
    </row>
    <row r="191" spans="2:22" x14ac:dyDescent="0.15">
      <c r="B191" s="1" t="str">
        <f>"135****1889"</f>
        <v>135****1889</v>
      </c>
      <c r="C191" s="1" t="s">
        <v>23</v>
      </c>
      <c r="D191" s="1" t="str">
        <f t="shared" si="13"/>
        <v>89177328</v>
      </c>
      <c r="E191" s="1" t="s">
        <v>24</v>
      </c>
      <c r="F191" s="1" t="str">
        <f t="shared" si="14"/>
        <v>0010</v>
      </c>
      <c r="G191" s="1" t="str">
        <f>""</f>
        <v/>
      </c>
      <c r="H191" s="1" t="str">
        <f>"0032"</f>
        <v>0032</v>
      </c>
      <c r="I191" s="1" t="s">
        <v>119</v>
      </c>
      <c r="J191" s="1" t="str">
        <f>"01043977566"</f>
        <v>01043977566</v>
      </c>
      <c r="K191" s="1" t="str">
        <f>"2017-04-13 15:25:57"</f>
        <v>2017-04-13 15:25:57</v>
      </c>
      <c r="L191" s="1" t="str">
        <f>"2017-04-13 15:26:07"</f>
        <v>2017-04-13 15:26:07</v>
      </c>
      <c r="M191" s="2">
        <v>1.8078703703703704E-2</v>
      </c>
      <c r="N191" s="1" t="s">
        <v>26</v>
      </c>
      <c r="O191" s="1" t="s">
        <v>34</v>
      </c>
      <c r="P191" s="2">
        <v>1.8194444444444444E-2</v>
      </c>
      <c r="Q191" s="1" t="s">
        <v>222</v>
      </c>
      <c r="R191" s="1">
        <v>0</v>
      </c>
      <c r="S191" s="1" t="str">
        <f>""</f>
        <v/>
      </c>
      <c r="T191" s="1" t="s">
        <v>29</v>
      </c>
      <c r="U191" s="1" t="s">
        <v>30</v>
      </c>
      <c r="V191" s="1">
        <v>0</v>
      </c>
    </row>
    <row r="192" spans="2:22" x14ac:dyDescent="0.15">
      <c r="B192" s="1" t="str">
        <f>"173****1344"</f>
        <v>173****1344</v>
      </c>
      <c r="C192" s="1" t="s">
        <v>23</v>
      </c>
      <c r="D192" s="1" t="str">
        <f>"4000108333"</f>
        <v>4000108333</v>
      </c>
      <c r="E192" s="1" t="s">
        <v>53</v>
      </c>
      <c r="F192" s="1" t="str">
        <f>"0000"</f>
        <v>0000</v>
      </c>
      <c r="G192" s="1" t="str">
        <f>""</f>
        <v/>
      </c>
      <c r="H192" s="1" t="str">
        <f>"1010"</f>
        <v>1010</v>
      </c>
      <c r="I192" s="1" t="s">
        <v>148</v>
      </c>
      <c r="J192" s="1" t="str">
        <f>"13718091869"</f>
        <v>13718091869</v>
      </c>
      <c r="K192" s="1" t="str">
        <f>"2017-04-13 15:22:25"</f>
        <v>2017-04-13 15:22:25</v>
      </c>
      <c r="L192" s="1" t="str">
        <f>"2017-04-13 15:22:54"</f>
        <v>2017-04-13 15:22:54</v>
      </c>
      <c r="M192" s="2">
        <v>1.8171296296296297E-2</v>
      </c>
      <c r="N192" s="1" t="s">
        <v>26</v>
      </c>
      <c r="O192" s="1" t="s">
        <v>34</v>
      </c>
      <c r="P192" s="2">
        <v>1.8506944444444444E-2</v>
      </c>
      <c r="Q192" s="1" t="s">
        <v>223</v>
      </c>
      <c r="R192" s="1">
        <v>3.24</v>
      </c>
      <c r="S192" s="1" t="str">
        <f>""</f>
        <v/>
      </c>
      <c r="T192" s="1" t="s">
        <v>29</v>
      </c>
      <c r="U192" s="1" t="s">
        <v>30</v>
      </c>
      <c r="V192" s="1">
        <v>0</v>
      </c>
    </row>
    <row r="193" spans="2:22" x14ac:dyDescent="0.15">
      <c r="B193" s="1" t="str">
        <f>"173****1344"</f>
        <v>173****1344</v>
      </c>
      <c r="C193" s="1" t="s">
        <v>23</v>
      </c>
      <c r="D193" s="1" t="str">
        <f>"4000108333"</f>
        <v>4000108333</v>
      </c>
      <c r="E193" s="1" t="s">
        <v>53</v>
      </c>
      <c r="F193" s="1" t="str">
        <f>"0000"</f>
        <v>0000</v>
      </c>
      <c r="G193" s="1" t="str">
        <f>""</f>
        <v/>
      </c>
      <c r="H193" s="1" t="str">
        <f>"1010"</f>
        <v>1010</v>
      </c>
      <c r="I193" s="1" t="s">
        <v>148</v>
      </c>
      <c r="J193" s="1" t="str">
        <f>"13718091869"</f>
        <v>13718091869</v>
      </c>
      <c r="K193" s="1" t="str">
        <f>"2017-04-13 15:20:40"</f>
        <v>2017-04-13 15:20:40</v>
      </c>
      <c r="L193" s="1" t="str">
        <f>"2017-04-13 15:21:10"</f>
        <v>2017-04-13 15:21:10</v>
      </c>
      <c r="M193" s="2">
        <v>6.9444444444444447E-4</v>
      </c>
      <c r="N193" s="1" t="s">
        <v>26</v>
      </c>
      <c r="O193" s="1" t="s">
        <v>34</v>
      </c>
      <c r="P193" s="2">
        <v>1.0416666666666667E-3</v>
      </c>
      <c r="Q193" s="1" t="s">
        <v>224</v>
      </c>
      <c r="R193" s="1">
        <v>0.24</v>
      </c>
      <c r="S193" s="1" t="str">
        <f>""</f>
        <v/>
      </c>
      <c r="T193" s="1" t="s">
        <v>29</v>
      </c>
      <c r="U193" s="1" t="s">
        <v>30</v>
      </c>
      <c r="V193" s="1">
        <v>0</v>
      </c>
    </row>
    <row r="194" spans="2:22" x14ac:dyDescent="0.15">
      <c r="B194" s="1" t="str">
        <f>"132****8880"</f>
        <v>132****8880</v>
      </c>
      <c r="C194" s="1" t="s">
        <v>97</v>
      </c>
      <c r="D194" s="1" t="str">
        <f t="shared" ref="D194:D199" si="17">"89177328"</f>
        <v>89177328</v>
      </c>
      <c r="E194" s="1" t="s">
        <v>24</v>
      </c>
      <c r="F194" s="1" t="str">
        <f t="shared" ref="F194:F199" si="18">"0010"</f>
        <v>0010</v>
      </c>
      <c r="G194" s="1" t="str">
        <f>""</f>
        <v/>
      </c>
      <c r="H194" s="1" t="str">
        <f>"0034"</f>
        <v>0034</v>
      </c>
      <c r="I194" s="1" t="s">
        <v>31</v>
      </c>
      <c r="J194" s="1" t="str">
        <f>"01043977568"</f>
        <v>01043977568</v>
      </c>
      <c r="K194" s="1" t="str">
        <f>"2017-04-13 15:17:03"</f>
        <v>2017-04-13 15:17:03</v>
      </c>
      <c r="L194" s="1" t="str">
        <f>"2017-04-13 15:17:12"</f>
        <v>2017-04-13 15:17:12</v>
      </c>
      <c r="M194" s="2">
        <v>9.2708333333333341E-3</v>
      </c>
      <c r="N194" s="1" t="s">
        <v>26</v>
      </c>
      <c r="O194" s="1" t="s">
        <v>34</v>
      </c>
      <c r="P194" s="2">
        <v>9.3749999999999997E-3</v>
      </c>
      <c r="Q194" s="1" t="s">
        <v>225</v>
      </c>
      <c r="R194" s="1">
        <v>0</v>
      </c>
      <c r="S194" s="1" t="str">
        <f>""</f>
        <v/>
      </c>
      <c r="T194" s="1" t="s">
        <v>29</v>
      </c>
      <c r="U194" s="1" t="s">
        <v>30</v>
      </c>
      <c r="V194" s="1">
        <v>0</v>
      </c>
    </row>
    <row r="195" spans="2:22" x14ac:dyDescent="0.15">
      <c r="B195" s="1" t="str">
        <f>"04750475"</f>
        <v>04750475</v>
      </c>
      <c r="C195" s="1" t="s">
        <v>226</v>
      </c>
      <c r="D195" s="1" t="str">
        <f t="shared" si="17"/>
        <v>89177328</v>
      </c>
      <c r="E195" s="1" t="s">
        <v>24</v>
      </c>
      <c r="F195" s="1" t="str">
        <f t="shared" si="18"/>
        <v>0010</v>
      </c>
      <c r="G195" s="1" t="str">
        <f>""</f>
        <v/>
      </c>
      <c r="H195" s="1" t="str">
        <f>"0036"</f>
        <v>0036</v>
      </c>
      <c r="I195" s="1" t="s">
        <v>143</v>
      </c>
      <c r="J195" s="1" t="str">
        <f>"01043977573"</f>
        <v>01043977573</v>
      </c>
      <c r="K195" s="1" t="str">
        <f>"2017-04-13 15:11:22"</f>
        <v>2017-04-13 15:11:22</v>
      </c>
      <c r="L195" s="1" t="str">
        <f>"2017-04-13 15:11:31"</f>
        <v>2017-04-13 15:11:31</v>
      </c>
      <c r="M195" s="2">
        <v>1.4293981481481482E-2</v>
      </c>
      <c r="N195" s="1" t="s">
        <v>26</v>
      </c>
      <c r="O195" s="1" t="s">
        <v>34</v>
      </c>
      <c r="P195" s="2">
        <v>1.4398148148148148E-2</v>
      </c>
      <c r="Q195" s="1" t="s">
        <v>227</v>
      </c>
      <c r="R195" s="1">
        <v>0</v>
      </c>
      <c r="S195" s="1" t="str">
        <f>""</f>
        <v/>
      </c>
      <c r="T195" s="1" t="s">
        <v>29</v>
      </c>
      <c r="U195" s="1" t="s">
        <v>30</v>
      </c>
      <c r="V195" s="1">
        <v>0</v>
      </c>
    </row>
    <row r="196" spans="2:22" x14ac:dyDescent="0.15">
      <c r="B196" s="1" t="str">
        <f>"135****1703"</f>
        <v>135****1703</v>
      </c>
      <c r="C196" s="1" t="s">
        <v>23</v>
      </c>
      <c r="D196" s="1" t="str">
        <f t="shared" si="17"/>
        <v>89177328</v>
      </c>
      <c r="E196" s="1" t="s">
        <v>24</v>
      </c>
      <c r="F196" s="1" t="str">
        <f t="shared" si="18"/>
        <v>0010</v>
      </c>
      <c r="G196" s="1" t="str">
        <f>""</f>
        <v/>
      </c>
      <c r="H196" s="1" t="str">
        <f>"0034"</f>
        <v>0034</v>
      </c>
      <c r="I196" s="1" t="s">
        <v>31</v>
      </c>
      <c r="J196" s="1" t="str">
        <f>"01043977568"</f>
        <v>01043977568</v>
      </c>
      <c r="K196" s="1" t="str">
        <f>"2017-04-13 14:59:10"</f>
        <v>2017-04-13 14:59:10</v>
      </c>
      <c r="L196" s="1" t="str">
        <f>"2017-04-13 14:59:22"</f>
        <v>2017-04-13 14:59:22</v>
      </c>
      <c r="M196" s="2">
        <v>4.2476851851851851E-3</v>
      </c>
      <c r="N196" s="1" t="s">
        <v>26</v>
      </c>
      <c r="O196" s="1" t="s">
        <v>34</v>
      </c>
      <c r="P196" s="2">
        <v>4.386574074074074E-3</v>
      </c>
      <c r="Q196" s="1" t="s">
        <v>228</v>
      </c>
      <c r="R196" s="1">
        <v>0</v>
      </c>
      <c r="S196" s="1" t="str">
        <f>""</f>
        <v/>
      </c>
      <c r="T196" s="1" t="s">
        <v>29</v>
      </c>
      <c r="U196" s="1" t="s">
        <v>30</v>
      </c>
      <c r="V196" s="1">
        <v>0</v>
      </c>
    </row>
    <row r="197" spans="2:22" x14ac:dyDescent="0.15">
      <c r="B197" s="1" t="str">
        <f>"152****2100"</f>
        <v>152****2100</v>
      </c>
      <c r="C197" s="1" t="s">
        <v>188</v>
      </c>
      <c r="D197" s="1" t="str">
        <f t="shared" si="17"/>
        <v>89177328</v>
      </c>
      <c r="E197" s="1" t="s">
        <v>24</v>
      </c>
      <c r="F197" s="1" t="str">
        <f t="shared" si="18"/>
        <v>0010</v>
      </c>
      <c r="G197" s="1" t="str">
        <f>""</f>
        <v/>
      </c>
      <c r="H197" s="1" t="str">
        <f>"0018"</f>
        <v>0018</v>
      </c>
      <c r="I197" s="1" t="s">
        <v>36</v>
      </c>
      <c r="J197" s="1" t="str">
        <f>"01043977572"</f>
        <v>01043977572</v>
      </c>
      <c r="K197" s="1" t="str">
        <f>"2017-04-13 14:30:07"</f>
        <v>2017-04-13 14:30:07</v>
      </c>
      <c r="L197" s="1" t="str">
        <f>"2017-04-13 14:30:18"</f>
        <v>2017-04-13 14:30:18</v>
      </c>
      <c r="M197" s="2">
        <v>7.175925925925927E-4</v>
      </c>
      <c r="N197" s="1" t="s">
        <v>26</v>
      </c>
      <c r="O197" s="1" t="s">
        <v>34</v>
      </c>
      <c r="P197" s="2">
        <v>8.449074074074075E-4</v>
      </c>
      <c r="Q197" s="1" t="s">
        <v>229</v>
      </c>
      <c r="R197" s="1">
        <v>0</v>
      </c>
      <c r="S197" s="1" t="str">
        <f>""</f>
        <v/>
      </c>
      <c r="T197" s="1" t="s">
        <v>29</v>
      </c>
      <c r="U197" s="1" t="s">
        <v>30</v>
      </c>
      <c r="V197" s="1">
        <v>0</v>
      </c>
    </row>
    <row r="198" spans="2:22" x14ac:dyDescent="0.15">
      <c r="B198" s="1" t="str">
        <f>"137****2283"</f>
        <v>137****2283</v>
      </c>
      <c r="C198" s="1" t="s">
        <v>23</v>
      </c>
      <c r="D198" s="1" t="str">
        <f t="shared" si="17"/>
        <v>89177328</v>
      </c>
      <c r="E198" s="1" t="s">
        <v>24</v>
      </c>
      <c r="F198" s="1" t="str">
        <f t="shared" si="18"/>
        <v>0010</v>
      </c>
      <c r="G198" s="1" t="str">
        <f>""</f>
        <v/>
      </c>
      <c r="H198" s="1" t="str">
        <f>"0031"</f>
        <v>0031</v>
      </c>
      <c r="I198" s="1" t="s">
        <v>95</v>
      </c>
      <c r="J198" s="1" t="str">
        <f>"01043977565"</f>
        <v>01043977565</v>
      </c>
      <c r="K198" s="1" t="str">
        <f>"2017-04-13 14:23:26"</f>
        <v>2017-04-13 14:23:26</v>
      </c>
      <c r="L198" s="1" t="str">
        <f>"2017-04-13 14:23:32"</f>
        <v>2017-04-13 14:23:32</v>
      </c>
      <c r="M198" s="2">
        <v>2.5196759259259256E-2</v>
      </c>
      <c r="N198" s="1" t="s">
        <v>26</v>
      </c>
      <c r="O198" s="1" t="s">
        <v>27</v>
      </c>
      <c r="P198" s="2">
        <v>2.5266203703703704E-2</v>
      </c>
      <c r="Q198" s="1" t="s">
        <v>230</v>
      </c>
      <c r="R198" s="1">
        <v>0</v>
      </c>
      <c r="S198" s="1" t="str">
        <f>""</f>
        <v/>
      </c>
      <c r="T198" s="1" t="s">
        <v>29</v>
      </c>
      <c r="U198" s="1" t="s">
        <v>30</v>
      </c>
      <c r="V198" s="1">
        <v>0</v>
      </c>
    </row>
    <row r="199" spans="2:22" x14ac:dyDescent="0.15">
      <c r="B199" s="1" t="str">
        <f>"152****5916"</f>
        <v>152****5916</v>
      </c>
      <c r="C199" s="1" t="s">
        <v>23</v>
      </c>
      <c r="D199" s="1" t="str">
        <f t="shared" si="17"/>
        <v>89177328</v>
      </c>
      <c r="E199" s="1" t="s">
        <v>24</v>
      </c>
      <c r="F199" s="1" t="str">
        <f t="shared" si="18"/>
        <v>0010</v>
      </c>
      <c r="G199" s="1" t="str">
        <f>""</f>
        <v/>
      </c>
      <c r="H199" s="1" t="str">
        <f>"0031"</f>
        <v>0031</v>
      </c>
      <c r="I199" s="1" t="s">
        <v>95</v>
      </c>
      <c r="J199" s="1" t="str">
        <f>"01043977565"</f>
        <v>01043977565</v>
      </c>
      <c r="K199" s="1" t="str">
        <f>"2017-04-13 14:20:54"</f>
        <v>2017-04-13 14:20:54</v>
      </c>
      <c r="L199" s="1" t="str">
        <f>"2017-04-13 14:20:57"</f>
        <v>2017-04-13 14:20:57</v>
      </c>
      <c r="M199" s="2">
        <v>1.0185185185185186E-3</v>
      </c>
      <c r="N199" s="1" t="s">
        <v>26</v>
      </c>
      <c r="O199" s="1" t="s">
        <v>27</v>
      </c>
      <c r="P199" s="2">
        <v>1.0532407407407407E-3</v>
      </c>
      <c r="Q199" s="1" t="s">
        <v>231</v>
      </c>
      <c r="R199" s="1">
        <v>0</v>
      </c>
      <c r="S199" s="1" t="str">
        <f>""</f>
        <v/>
      </c>
      <c r="T199" s="1" t="s">
        <v>29</v>
      </c>
      <c r="U199" s="1" t="s">
        <v>30</v>
      </c>
      <c r="V199" s="1">
        <v>0</v>
      </c>
    </row>
    <row r="200" spans="2:22" x14ac:dyDescent="0.15">
      <c r="B200" s="1" t="str">
        <f>"189****1320"</f>
        <v>189****1320</v>
      </c>
      <c r="C200" s="1" t="s">
        <v>23</v>
      </c>
      <c r="D200" s="1" t="str">
        <f>"4000108333"</f>
        <v>4000108333</v>
      </c>
      <c r="E200" s="1" t="s">
        <v>53</v>
      </c>
      <c r="F200" s="1" t="str">
        <f>""</f>
        <v/>
      </c>
      <c r="G200" s="1" t="str">
        <f>""</f>
        <v/>
      </c>
      <c r="H200" s="1" t="str">
        <f>""</f>
        <v/>
      </c>
      <c r="I200" s="1" t="str">
        <f>""</f>
        <v/>
      </c>
      <c r="J200" s="1" t="str">
        <f>""</f>
        <v/>
      </c>
      <c r="K200" s="1" t="str">
        <f>"2017-04-13 14:19:43"</f>
        <v>2017-04-13 14:19:43</v>
      </c>
      <c r="L200" s="1" t="str">
        <f>"-"</f>
        <v>-</v>
      </c>
      <c r="M200" s="2">
        <v>0</v>
      </c>
      <c r="N200" s="1" t="s">
        <v>55</v>
      </c>
      <c r="O200" s="1" t="s">
        <v>34</v>
      </c>
      <c r="P200" s="2">
        <v>1.3888888888888889E-4</v>
      </c>
      <c r="Q200" s="1" t="str">
        <f>""</f>
        <v/>
      </c>
      <c r="R200" s="1">
        <v>0.12</v>
      </c>
      <c r="S200" s="1" t="str">
        <f>""</f>
        <v/>
      </c>
      <c r="T200" s="1" t="s">
        <v>29</v>
      </c>
      <c r="U200" s="1" t="s">
        <v>30</v>
      </c>
      <c r="V200" s="1">
        <v>0</v>
      </c>
    </row>
    <row r="201" spans="2:22" x14ac:dyDescent="0.15">
      <c r="B201" s="1" t="str">
        <f>"151****2267"</f>
        <v>151****2267</v>
      </c>
      <c r="C201" s="1" t="s">
        <v>232</v>
      </c>
      <c r="D201" s="1" t="str">
        <f t="shared" ref="D201:D228" si="19">"89177328"</f>
        <v>89177328</v>
      </c>
      <c r="E201" s="1" t="s">
        <v>24</v>
      </c>
      <c r="F201" s="1" t="str">
        <f t="shared" ref="F201:F228" si="20">"0010"</f>
        <v>0010</v>
      </c>
      <c r="G201" s="1" t="str">
        <f>""</f>
        <v/>
      </c>
      <c r="H201" s="1" t="str">
        <f>"0017"</f>
        <v>0017</v>
      </c>
      <c r="I201" s="1" t="s">
        <v>135</v>
      </c>
      <c r="J201" s="1" t="str">
        <f>"01043989717"</f>
        <v>01043989717</v>
      </c>
      <c r="K201" s="1" t="str">
        <f>"2017-04-13 14:13:21"</f>
        <v>2017-04-13 14:13:21</v>
      </c>
      <c r="L201" s="1" t="str">
        <f>"2017-04-13 14:13:27"</f>
        <v>2017-04-13 14:13:27</v>
      </c>
      <c r="M201" s="2">
        <v>5.1504629629629635E-3</v>
      </c>
      <c r="N201" s="1" t="s">
        <v>26</v>
      </c>
      <c r="O201" s="1" t="s">
        <v>27</v>
      </c>
      <c r="P201" s="2">
        <v>5.2199074074074066E-3</v>
      </c>
      <c r="Q201" s="1" t="s">
        <v>233</v>
      </c>
      <c r="R201" s="1">
        <v>0</v>
      </c>
      <c r="S201" s="1" t="str">
        <f>""</f>
        <v/>
      </c>
      <c r="T201" s="1" t="s">
        <v>29</v>
      </c>
      <c r="U201" s="1" t="s">
        <v>30</v>
      </c>
      <c r="V201" s="1">
        <v>0</v>
      </c>
    </row>
    <row r="202" spans="2:22" x14ac:dyDescent="0.15">
      <c r="B202" s="1" t="str">
        <f>"152****5916"</f>
        <v>152****5916</v>
      </c>
      <c r="C202" s="1" t="s">
        <v>23</v>
      </c>
      <c r="D202" s="1" t="str">
        <f t="shared" si="19"/>
        <v>89177328</v>
      </c>
      <c r="E202" s="1" t="s">
        <v>24</v>
      </c>
      <c r="F202" s="1" t="str">
        <f t="shared" si="20"/>
        <v>0010</v>
      </c>
      <c r="G202" s="1" t="str">
        <f>""</f>
        <v/>
      </c>
      <c r="H202" s="1" t="str">
        <f>"0031"</f>
        <v>0031</v>
      </c>
      <c r="I202" s="1" t="s">
        <v>95</v>
      </c>
      <c r="J202" s="1" t="str">
        <f>"01043977565"</f>
        <v>01043977565</v>
      </c>
      <c r="K202" s="1" t="str">
        <f>"2017-04-13 13:53:55"</f>
        <v>2017-04-13 13:53:55</v>
      </c>
      <c r="L202" s="1" t="str">
        <f>"2017-04-13 13:54:04"</f>
        <v>2017-04-13 13:54:04</v>
      </c>
      <c r="M202" s="2">
        <v>4.4444444444444444E-3</v>
      </c>
      <c r="N202" s="1" t="s">
        <v>26</v>
      </c>
      <c r="O202" s="1" t="s">
        <v>27</v>
      </c>
      <c r="P202" s="2">
        <v>4.5486111111111109E-3</v>
      </c>
      <c r="Q202" s="1" t="s">
        <v>234</v>
      </c>
      <c r="R202" s="1">
        <v>0</v>
      </c>
      <c r="S202" s="1" t="str">
        <f>""</f>
        <v/>
      </c>
      <c r="T202" s="1" t="s">
        <v>29</v>
      </c>
      <c r="U202" s="1" t="s">
        <v>30</v>
      </c>
      <c r="V202" s="1">
        <v>0</v>
      </c>
    </row>
    <row r="203" spans="2:22" x14ac:dyDescent="0.15">
      <c r="B203" s="1" t="str">
        <f>"131****9529"</f>
        <v>131****9529</v>
      </c>
      <c r="C203" s="1" t="s">
        <v>23</v>
      </c>
      <c r="D203" s="1" t="str">
        <f t="shared" si="19"/>
        <v>89177328</v>
      </c>
      <c r="E203" s="1" t="s">
        <v>24</v>
      </c>
      <c r="F203" s="1" t="str">
        <f t="shared" si="20"/>
        <v>0010</v>
      </c>
      <c r="G203" s="1" t="str">
        <f>""</f>
        <v/>
      </c>
      <c r="H203" s="1" t="str">
        <f>""</f>
        <v/>
      </c>
      <c r="I203" s="1" t="str">
        <f>""</f>
        <v/>
      </c>
      <c r="J203" s="1" t="str">
        <f>""</f>
        <v/>
      </c>
      <c r="K203" s="1" t="str">
        <f>"2017-04-13 13:11:03"</f>
        <v>2017-04-13 13:11:03</v>
      </c>
      <c r="L203" s="1" t="str">
        <f>"-"</f>
        <v>-</v>
      </c>
      <c r="M203" s="2">
        <v>0</v>
      </c>
      <c r="N203" s="1" t="s">
        <v>55</v>
      </c>
      <c r="O203" s="1" t="s">
        <v>27</v>
      </c>
      <c r="P203" s="2">
        <v>4.6296296296296294E-5</v>
      </c>
      <c r="Q203" s="1" t="str">
        <f>""</f>
        <v/>
      </c>
      <c r="R203" s="1">
        <v>0</v>
      </c>
      <c r="S203" s="1" t="str">
        <f>""</f>
        <v/>
      </c>
      <c r="T203" s="1" t="s">
        <v>29</v>
      </c>
      <c r="U203" s="1" t="s">
        <v>30</v>
      </c>
      <c r="V203" s="1">
        <v>0</v>
      </c>
    </row>
    <row r="204" spans="2:22" x14ac:dyDescent="0.15">
      <c r="B204" s="1" t="str">
        <f>"132****3123"</f>
        <v>132****3123</v>
      </c>
      <c r="C204" s="1" t="s">
        <v>116</v>
      </c>
      <c r="D204" s="1" t="str">
        <f t="shared" si="19"/>
        <v>89177328</v>
      </c>
      <c r="E204" s="1" t="s">
        <v>24</v>
      </c>
      <c r="F204" s="1" t="str">
        <f t="shared" si="20"/>
        <v>0010</v>
      </c>
      <c r="G204" s="1" t="str">
        <f>""</f>
        <v/>
      </c>
      <c r="H204" s="1" t="str">
        <f>"0034"</f>
        <v>0034</v>
      </c>
      <c r="I204" s="1" t="s">
        <v>31</v>
      </c>
      <c r="J204" s="1" t="str">
        <f>"01043977568"</f>
        <v>01043977568</v>
      </c>
      <c r="K204" s="1" t="str">
        <f>"2017-04-13 13:07:30"</f>
        <v>2017-04-13 13:07:30</v>
      </c>
      <c r="L204" s="1" t="str">
        <f>"2017-04-13 13:07:40"</f>
        <v>2017-04-13 13:07:40</v>
      </c>
      <c r="M204" s="2">
        <v>1.2326388888888888E-2</v>
      </c>
      <c r="N204" s="1" t="s">
        <v>26</v>
      </c>
      <c r="O204" s="1" t="s">
        <v>34</v>
      </c>
      <c r="P204" s="2">
        <v>1.2442129629629629E-2</v>
      </c>
      <c r="Q204" s="1" t="s">
        <v>235</v>
      </c>
      <c r="R204" s="1">
        <v>0</v>
      </c>
      <c r="S204" s="1" t="str">
        <f>""</f>
        <v/>
      </c>
      <c r="T204" s="1" t="s">
        <v>29</v>
      </c>
      <c r="U204" s="1" t="s">
        <v>30</v>
      </c>
      <c r="V204" s="1">
        <v>0</v>
      </c>
    </row>
    <row r="205" spans="2:22" x14ac:dyDescent="0.15">
      <c r="B205" s="1" t="str">
        <f>"010****9628"</f>
        <v>010****9628</v>
      </c>
      <c r="C205" s="1" t="s">
        <v>23</v>
      </c>
      <c r="D205" s="1" t="str">
        <f t="shared" si="19"/>
        <v>89177328</v>
      </c>
      <c r="E205" s="1" t="s">
        <v>24</v>
      </c>
      <c r="F205" s="1" t="str">
        <f t="shared" si="20"/>
        <v>0010</v>
      </c>
      <c r="G205" s="1" t="str">
        <f>""</f>
        <v/>
      </c>
      <c r="H205" s="1" t="str">
        <f>"0031"</f>
        <v>0031</v>
      </c>
      <c r="I205" s="1" t="s">
        <v>95</v>
      </c>
      <c r="J205" s="1" t="str">
        <f>"01043977565"</f>
        <v>01043977565</v>
      </c>
      <c r="K205" s="1" t="str">
        <f>"2017-04-13 12:59:42"</f>
        <v>2017-04-13 12:59:42</v>
      </c>
      <c r="L205" s="1" t="str">
        <f>"2017-04-13 12:59:51"</f>
        <v>2017-04-13 12:59:51</v>
      </c>
      <c r="M205" s="2">
        <v>1.4780092592592595E-2</v>
      </c>
      <c r="N205" s="1" t="s">
        <v>26</v>
      </c>
      <c r="O205" s="1" t="s">
        <v>27</v>
      </c>
      <c r="P205" s="2">
        <v>1.4884259259259259E-2</v>
      </c>
      <c r="Q205" s="1" t="s">
        <v>236</v>
      </c>
      <c r="R205" s="1">
        <v>0</v>
      </c>
      <c r="S205" s="1" t="str">
        <f>""</f>
        <v/>
      </c>
      <c r="T205" s="1" t="s">
        <v>29</v>
      </c>
      <c r="U205" s="1" t="s">
        <v>30</v>
      </c>
      <c r="V205" s="1">
        <v>0</v>
      </c>
    </row>
    <row r="206" spans="2:22" x14ac:dyDescent="0.15">
      <c r="B206" s="1" t="str">
        <f>"138****3949"</f>
        <v>138****3949</v>
      </c>
      <c r="C206" s="1" t="s">
        <v>237</v>
      </c>
      <c r="D206" s="1" t="str">
        <f t="shared" si="19"/>
        <v>89177328</v>
      </c>
      <c r="E206" s="1" t="s">
        <v>24</v>
      </c>
      <c r="F206" s="1" t="str">
        <f t="shared" si="20"/>
        <v>0010</v>
      </c>
      <c r="G206" s="1" t="str">
        <f>""</f>
        <v/>
      </c>
      <c r="H206" s="1" t="str">
        <f>"0032"</f>
        <v>0032</v>
      </c>
      <c r="I206" s="1" t="s">
        <v>119</v>
      </c>
      <c r="J206" s="1" t="str">
        <f>"01043977566"</f>
        <v>01043977566</v>
      </c>
      <c r="K206" s="1" t="str">
        <f>"2017-04-13 12:21:03"</f>
        <v>2017-04-13 12:21:03</v>
      </c>
      <c r="L206" s="1" t="str">
        <f>"-"</f>
        <v>-</v>
      </c>
      <c r="M206" s="2">
        <v>0</v>
      </c>
      <c r="N206" s="1" t="s">
        <v>33</v>
      </c>
      <c r="O206" s="1" t="s">
        <v>34</v>
      </c>
      <c r="P206" s="2">
        <v>2.3148148148148147E-5</v>
      </c>
      <c r="Q206" s="1" t="str">
        <f>""</f>
        <v/>
      </c>
      <c r="R206" s="1">
        <v>0</v>
      </c>
      <c r="S206" s="1" t="str">
        <f>""</f>
        <v/>
      </c>
      <c r="T206" s="1" t="s">
        <v>29</v>
      </c>
      <c r="U206" s="1" t="s">
        <v>30</v>
      </c>
      <c r="V206" s="1">
        <v>0</v>
      </c>
    </row>
    <row r="207" spans="2:22" x14ac:dyDescent="0.15">
      <c r="B207" s="1" t="str">
        <f>"156****6666"</f>
        <v>156****6666</v>
      </c>
      <c r="C207" s="1" t="s">
        <v>113</v>
      </c>
      <c r="D207" s="1" t="str">
        <f t="shared" si="19"/>
        <v>89177328</v>
      </c>
      <c r="E207" s="1" t="s">
        <v>24</v>
      </c>
      <c r="F207" s="1" t="str">
        <f t="shared" si="20"/>
        <v>0010</v>
      </c>
      <c r="G207" s="1" t="str">
        <f>""</f>
        <v/>
      </c>
      <c r="H207" s="1" t="str">
        <f>"0034"</f>
        <v>0034</v>
      </c>
      <c r="I207" s="1" t="s">
        <v>31</v>
      </c>
      <c r="J207" s="1" t="str">
        <f>"01043977568"</f>
        <v>01043977568</v>
      </c>
      <c r="K207" s="1" t="str">
        <f>"2017-04-13 12:10:35"</f>
        <v>2017-04-13 12:10:35</v>
      </c>
      <c r="L207" s="1" t="str">
        <f>"2017-04-13 12:10:46"</f>
        <v>2017-04-13 12:10:46</v>
      </c>
      <c r="M207" s="2">
        <v>4.409722222222222E-3</v>
      </c>
      <c r="N207" s="1" t="s">
        <v>26</v>
      </c>
      <c r="O207" s="1" t="s">
        <v>27</v>
      </c>
      <c r="P207" s="2">
        <v>4.5370370370370365E-3</v>
      </c>
      <c r="Q207" s="1" t="s">
        <v>238</v>
      </c>
      <c r="R207" s="1">
        <v>0</v>
      </c>
      <c r="S207" s="1" t="str">
        <f>""</f>
        <v/>
      </c>
      <c r="T207" s="1" t="s">
        <v>29</v>
      </c>
      <c r="U207" s="1" t="s">
        <v>30</v>
      </c>
      <c r="V207" s="1">
        <v>0</v>
      </c>
    </row>
    <row r="208" spans="2:22" x14ac:dyDescent="0.15">
      <c r="B208" s="1" t="str">
        <f>"136****3733"</f>
        <v>136****3733</v>
      </c>
      <c r="C208" s="1" t="s">
        <v>23</v>
      </c>
      <c r="D208" s="1" t="str">
        <f t="shared" si="19"/>
        <v>89177328</v>
      </c>
      <c r="E208" s="1" t="s">
        <v>24</v>
      </c>
      <c r="F208" s="1" t="str">
        <f t="shared" si="20"/>
        <v>0010</v>
      </c>
      <c r="G208" s="1" t="str">
        <f>""</f>
        <v/>
      </c>
      <c r="H208" s="1" t="str">
        <f>"0035"</f>
        <v>0035</v>
      </c>
      <c r="I208" s="1" t="s">
        <v>25</v>
      </c>
      <c r="J208" s="1" t="str">
        <f>"01043977569"</f>
        <v>01043977569</v>
      </c>
      <c r="K208" s="1" t="str">
        <f>"2017-04-13 11:50:00"</f>
        <v>2017-04-13 11:50:00</v>
      </c>
      <c r="L208" s="1" t="str">
        <f>"2017-04-13 11:50:09"</f>
        <v>2017-04-13 11:50:09</v>
      </c>
      <c r="M208" s="2">
        <v>2.3148148148148147E-5</v>
      </c>
      <c r="N208" s="1" t="s">
        <v>26</v>
      </c>
      <c r="O208" s="1" t="s">
        <v>34</v>
      </c>
      <c r="P208" s="2">
        <v>1.273148148148148E-4</v>
      </c>
      <c r="Q208" s="1" t="str">
        <f>""</f>
        <v/>
      </c>
      <c r="R208" s="1">
        <v>0</v>
      </c>
      <c r="S208" s="1" t="str">
        <f>""</f>
        <v/>
      </c>
      <c r="T208" s="1" t="s">
        <v>29</v>
      </c>
      <c r="U208" s="1" t="s">
        <v>30</v>
      </c>
      <c r="V208" s="1">
        <v>0</v>
      </c>
    </row>
    <row r="209" spans="2:22" x14ac:dyDescent="0.15">
      <c r="B209" s="1" t="str">
        <f>"158****2319"</f>
        <v>158****2319</v>
      </c>
      <c r="C209" s="1" t="s">
        <v>51</v>
      </c>
      <c r="D209" s="1" t="str">
        <f t="shared" si="19"/>
        <v>89177328</v>
      </c>
      <c r="E209" s="1" t="s">
        <v>24</v>
      </c>
      <c r="F209" s="1" t="str">
        <f t="shared" si="20"/>
        <v>0010</v>
      </c>
      <c r="G209" s="1" t="str">
        <f>""</f>
        <v/>
      </c>
      <c r="H209" s="1" t="str">
        <f>"0018"</f>
        <v>0018</v>
      </c>
      <c r="I209" s="1" t="s">
        <v>36</v>
      </c>
      <c r="J209" s="1" t="str">
        <f>"01043977572"</f>
        <v>01043977572</v>
      </c>
      <c r="K209" s="1" t="str">
        <f>"2017-04-13 11:45:55"</f>
        <v>2017-04-13 11:45:55</v>
      </c>
      <c r="L209" s="1" t="str">
        <f>"2017-04-13 11:46:04"</f>
        <v>2017-04-13 11:46:04</v>
      </c>
      <c r="M209" s="2">
        <v>4.3981481481481481E-4</v>
      </c>
      <c r="N209" s="1" t="s">
        <v>26</v>
      </c>
      <c r="O209" s="1" t="s">
        <v>34</v>
      </c>
      <c r="P209" s="2">
        <v>5.4398148148148144E-4</v>
      </c>
      <c r="Q209" s="1" t="s">
        <v>239</v>
      </c>
      <c r="R209" s="1">
        <v>0</v>
      </c>
      <c r="S209" s="1" t="str">
        <f>""</f>
        <v/>
      </c>
      <c r="T209" s="1" t="s">
        <v>29</v>
      </c>
      <c r="U209" s="1" t="s">
        <v>30</v>
      </c>
      <c r="V209" s="1">
        <v>0</v>
      </c>
    </row>
    <row r="210" spans="2:22" x14ac:dyDescent="0.15">
      <c r="B210" s="1" t="str">
        <f>"156****1782"</f>
        <v>156****1782</v>
      </c>
      <c r="C210" s="1" t="s">
        <v>23</v>
      </c>
      <c r="D210" s="1" t="str">
        <f t="shared" si="19"/>
        <v>89177328</v>
      </c>
      <c r="E210" s="1" t="s">
        <v>24</v>
      </c>
      <c r="F210" s="1" t="str">
        <f t="shared" si="20"/>
        <v>0010</v>
      </c>
      <c r="G210" s="1" t="str">
        <f>""</f>
        <v/>
      </c>
      <c r="H210" s="1" t="str">
        <f>"0033"</f>
        <v>0033</v>
      </c>
      <c r="I210" s="1" t="s">
        <v>106</v>
      </c>
      <c r="J210" s="1" t="str">
        <f>"01043977567"</f>
        <v>01043977567</v>
      </c>
      <c r="K210" s="1" t="str">
        <f>"2017-04-13 11:28:45"</f>
        <v>2017-04-13 11:28:45</v>
      </c>
      <c r="L210" s="1" t="str">
        <f>"2017-04-13 11:28:55"</f>
        <v>2017-04-13 11:28:55</v>
      </c>
      <c r="M210" s="2">
        <v>1.1956018518518517E-2</v>
      </c>
      <c r="N210" s="1" t="s">
        <v>26</v>
      </c>
      <c r="O210" s="1" t="s">
        <v>27</v>
      </c>
      <c r="P210" s="2">
        <v>1.207175925925926E-2</v>
      </c>
      <c r="Q210" s="1" t="s">
        <v>240</v>
      </c>
      <c r="R210" s="1">
        <v>0</v>
      </c>
      <c r="S210" s="1" t="str">
        <f>""</f>
        <v/>
      </c>
      <c r="T210" s="1" t="s">
        <v>29</v>
      </c>
      <c r="U210" s="1" t="s">
        <v>30</v>
      </c>
      <c r="V210" s="1">
        <v>0</v>
      </c>
    </row>
    <row r="211" spans="2:22" x14ac:dyDescent="0.15">
      <c r="B211" s="1" t="str">
        <f>"189****5707"</f>
        <v>189****5707</v>
      </c>
      <c r="C211" s="1" t="s">
        <v>241</v>
      </c>
      <c r="D211" s="1" t="str">
        <f t="shared" si="19"/>
        <v>89177328</v>
      </c>
      <c r="E211" s="1" t="s">
        <v>24</v>
      </c>
      <c r="F211" s="1" t="str">
        <f t="shared" si="20"/>
        <v>0010</v>
      </c>
      <c r="G211" s="1" t="str">
        <f>""</f>
        <v/>
      </c>
      <c r="H211" s="1" t="str">
        <f>"0036"</f>
        <v>0036</v>
      </c>
      <c r="I211" s="1" t="s">
        <v>143</v>
      </c>
      <c r="J211" s="1" t="str">
        <f>"01043977573"</f>
        <v>01043977573</v>
      </c>
      <c r="K211" s="1" t="str">
        <f>"2017-04-13 11:09:54"</f>
        <v>2017-04-13 11:09:54</v>
      </c>
      <c r="L211" s="1" t="str">
        <f>"2017-04-13 11:10:03"</f>
        <v>2017-04-13 11:10:03</v>
      </c>
      <c r="M211" s="2">
        <v>9.6527777777777775E-3</v>
      </c>
      <c r="N211" s="1" t="s">
        <v>26</v>
      </c>
      <c r="O211" s="1" t="s">
        <v>34</v>
      </c>
      <c r="P211" s="2">
        <v>9.7569444444444448E-3</v>
      </c>
      <c r="Q211" s="1" t="s">
        <v>242</v>
      </c>
      <c r="R211" s="1">
        <v>0</v>
      </c>
      <c r="S211" s="1" t="str">
        <f>""</f>
        <v/>
      </c>
      <c r="T211" s="1" t="s">
        <v>29</v>
      </c>
      <c r="U211" s="1" t="s">
        <v>30</v>
      </c>
      <c r="V211" s="1">
        <v>0</v>
      </c>
    </row>
    <row r="212" spans="2:22" x14ac:dyDescent="0.15">
      <c r="B212" s="1" t="str">
        <f>"158****5306"</f>
        <v>158****5306</v>
      </c>
      <c r="C212" s="1" t="s">
        <v>23</v>
      </c>
      <c r="D212" s="1" t="str">
        <f t="shared" si="19"/>
        <v>89177328</v>
      </c>
      <c r="E212" s="1" t="s">
        <v>24</v>
      </c>
      <c r="F212" s="1" t="str">
        <f t="shared" si="20"/>
        <v>0010</v>
      </c>
      <c r="G212" s="1" t="str">
        <f>""</f>
        <v/>
      </c>
      <c r="H212" s="1" t="str">
        <f>"0018"</f>
        <v>0018</v>
      </c>
      <c r="I212" s="1" t="s">
        <v>36</v>
      </c>
      <c r="J212" s="1" t="str">
        <f>"01043977572"</f>
        <v>01043977572</v>
      </c>
      <c r="K212" s="1" t="str">
        <f>"2017-04-13 11:00:38"</f>
        <v>2017-04-13 11:00:38</v>
      </c>
      <c r="L212" s="1" t="str">
        <f>"2017-04-13 11:00:48"</f>
        <v>2017-04-13 11:00:48</v>
      </c>
      <c r="M212" s="2">
        <v>8.4722222222222213E-3</v>
      </c>
      <c r="N212" s="1" t="s">
        <v>26</v>
      </c>
      <c r="O212" s="1" t="s">
        <v>34</v>
      </c>
      <c r="P212" s="2">
        <v>8.5879629629629622E-3</v>
      </c>
      <c r="Q212" s="1" t="s">
        <v>243</v>
      </c>
      <c r="R212" s="1">
        <v>0</v>
      </c>
      <c r="S212" s="1" t="str">
        <f>""</f>
        <v/>
      </c>
      <c r="T212" s="1" t="s">
        <v>29</v>
      </c>
      <c r="U212" s="1" t="s">
        <v>30</v>
      </c>
      <c r="V212" s="1">
        <v>0</v>
      </c>
    </row>
    <row r="213" spans="2:22" x14ac:dyDescent="0.15">
      <c r="B213" s="1" t="str">
        <f>"132****0063"</f>
        <v>132****0063</v>
      </c>
      <c r="C213" s="1" t="s">
        <v>23</v>
      </c>
      <c r="D213" s="1" t="str">
        <f t="shared" si="19"/>
        <v>89177328</v>
      </c>
      <c r="E213" s="1" t="s">
        <v>24</v>
      </c>
      <c r="F213" s="1" t="str">
        <f t="shared" si="20"/>
        <v>0010</v>
      </c>
      <c r="G213" s="1" t="str">
        <f>""</f>
        <v/>
      </c>
      <c r="H213" s="1" t="str">
        <f>""</f>
        <v/>
      </c>
      <c r="I213" s="1" t="str">
        <f>""</f>
        <v/>
      </c>
      <c r="J213" s="1" t="str">
        <f>""</f>
        <v/>
      </c>
      <c r="K213" s="1" t="str">
        <f>"2017-04-13 10:45:02"</f>
        <v>2017-04-13 10:45:02</v>
      </c>
      <c r="L213" s="1" t="str">
        <f>"-"</f>
        <v>-</v>
      </c>
      <c r="M213" s="2">
        <v>0</v>
      </c>
      <c r="N213" s="1" t="s">
        <v>55</v>
      </c>
      <c r="O213" s="1" t="s">
        <v>27</v>
      </c>
      <c r="P213" s="2">
        <v>4.6296296296296294E-5</v>
      </c>
      <c r="Q213" s="1" t="str">
        <f>""</f>
        <v/>
      </c>
      <c r="R213" s="1">
        <v>0</v>
      </c>
      <c r="S213" s="1" t="str">
        <f>""</f>
        <v/>
      </c>
      <c r="T213" s="1" t="s">
        <v>29</v>
      </c>
      <c r="U213" s="1" t="s">
        <v>30</v>
      </c>
      <c r="V213" s="1">
        <v>0</v>
      </c>
    </row>
    <row r="214" spans="2:22" x14ac:dyDescent="0.15">
      <c r="B214" s="1" t="str">
        <f>"151****7777"</f>
        <v>151****7777</v>
      </c>
      <c r="C214" s="1" t="s">
        <v>244</v>
      </c>
      <c r="D214" s="1" t="str">
        <f t="shared" si="19"/>
        <v>89177328</v>
      </c>
      <c r="E214" s="1" t="s">
        <v>24</v>
      </c>
      <c r="F214" s="1" t="str">
        <f t="shared" si="20"/>
        <v>0010</v>
      </c>
      <c r="G214" s="1" t="str">
        <f>""</f>
        <v/>
      </c>
      <c r="H214" s="1" t="str">
        <f>"0018"</f>
        <v>0018</v>
      </c>
      <c r="I214" s="1" t="s">
        <v>36</v>
      </c>
      <c r="J214" s="1" t="str">
        <f>"01043977572"</f>
        <v>01043977572</v>
      </c>
      <c r="K214" s="1" t="str">
        <f>"2017-04-13 10:42:18"</f>
        <v>2017-04-13 10:42:18</v>
      </c>
      <c r="L214" s="1" t="str">
        <f>"2017-04-13 10:42:27"</f>
        <v>2017-04-13 10:42:27</v>
      </c>
      <c r="M214" s="2">
        <v>7.1643518518518514E-3</v>
      </c>
      <c r="N214" s="1" t="s">
        <v>26</v>
      </c>
      <c r="O214" s="1" t="s">
        <v>34</v>
      </c>
      <c r="P214" s="2">
        <v>7.2685185185185188E-3</v>
      </c>
      <c r="Q214" s="1" t="s">
        <v>245</v>
      </c>
      <c r="R214" s="1">
        <v>0</v>
      </c>
      <c r="S214" s="1" t="str">
        <f>""</f>
        <v/>
      </c>
      <c r="T214" s="1" t="s">
        <v>29</v>
      </c>
      <c r="U214" s="1" t="s">
        <v>30</v>
      </c>
      <c r="V214" s="1">
        <v>0</v>
      </c>
    </row>
    <row r="215" spans="2:22" x14ac:dyDescent="0.15">
      <c r="B215" s="1" t="str">
        <f>"182****6774"</f>
        <v>182****6774</v>
      </c>
      <c r="C215" s="1" t="s">
        <v>23</v>
      </c>
      <c r="D215" s="1" t="str">
        <f t="shared" si="19"/>
        <v>89177328</v>
      </c>
      <c r="E215" s="1" t="s">
        <v>24</v>
      </c>
      <c r="F215" s="1" t="str">
        <f t="shared" si="20"/>
        <v>0010</v>
      </c>
      <c r="G215" s="1" t="str">
        <f>""</f>
        <v/>
      </c>
      <c r="H215" s="1" t="str">
        <f>"0035"</f>
        <v>0035</v>
      </c>
      <c r="I215" s="1" t="s">
        <v>25</v>
      </c>
      <c r="J215" s="1" t="str">
        <f>"01043977569"</f>
        <v>01043977569</v>
      </c>
      <c r="K215" s="1" t="str">
        <f>"2017-04-13 10:39:54"</f>
        <v>2017-04-13 10:39:54</v>
      </c>
      <c r="L215" s="1" t="str">
        <f>"2017-04-13 10:40:03"</f>
        <v>2017-04-13 10:40:03</v>
      </c>
      <c r="M215" s="2">
        <v>1.8518518518518521E-2</v>
      </c>
      <c r="N215" s="1" t="s">
        <v>26</v>
      </c>
      <c r="O215" s="1" t="s">
        <v>27</v>
      </c>
      <c r="P215" s="2">
        <v>1.8622685185185183E-2</v>
      </c>
      <c r="Q215" s="1" t="s">
        <v>246</v>
      </c>
      <c r="R215" s="1">
        <v>0</v>
      </c>
      <c r="S215" s="1" t="str">
        <f>""</f>
        <v/>
      </c>
      <c r="T215" s="1" t="s">
        <v>29</v>
      </c>
      <c r="U215" s="1" t="s">
        <v>30</v>
      </c>
      <c r="V215" s="1">
        <v>0</v>
      </c>
    </row>
    <row r="216" spans="2:22" x14ac:dyDescent="0.15">
      <c r="B216" s="1" t="str">
        <f>"010****4645"</f>
        <v>010****4645</v>
      </c>
      <c r="C216" s="1" t="s">
        <v>23</v>
      </c>
      <c r="D216" s="1" t="str">
        <f t="shared" si="19"/>
        <v>89177328</v>
      </c>
      <c r="E216" s="1" t="s">
        <v>24</v>
      </c>
      <c r="F216" s="1" t="str">
        <f t="shared" si="20"/>
        <v>0010</v>
      </c>
      <c r="G216" s="1" t="str">
        <f>""</f>
        <v/>
      </c>
      <c r="H216" s="1" t="str">
        <f>"0017"</f>
        <v>0017</v>
      </c>
      <c r="I216" s="1" t="s">
        <v>135</v>
      </c>
      <c r="J216" s="1" t="str">
        <f>"01043989717"</f>
        <v>01043989717</v>
      </c>
      <c r="K216" s="1" t="str">
        <f>"2017-04-13 10:38:44"</f>
        <v>2017-04-13 10:38:44</v>
      </c>
      <c r="L216" s="1" t="str">
        <f>"2017-04-13 10:38:50"</f>
        <v>2017-04-13 10:38:50</v>
      </c>
      <c r="M216" s="2">
        <v>1.3356481481481483E-2</v>
      </c>
      <c r="N216" s="1" t="s">
        <v>26</v>
      </c>
      <c r="O216" s="1" t="s">
        <v>27</v>
      </c>
      <c r="P216" s="2">
        <v>1.3425925925925924E-2</v>
      </c>
      <c r="Q216" s="1" t="s">
        <v>247</v>
      </c>
      <c r="R216" s="1">
        <v>0</v>
      </c>
      <c r="S216" s="1" t="str">
        <f>""</f>
        <v/>
      </c>
      <c r="T216" s="1" t="s">
        <v>29</v>
      </c>
      <c r="U216" s="1" t="s">
        <v>30</v>
      </c>
      <c r="V216" s="1">
        <v>0</v>
      </c>
    </row>
    <row r="217" spans="2:22" x14ac:dyDescent="0.15">
      <c r="B217" s="1" t="str">
        <f>"135****9944"</f>
        <v>135****9944</v>
      </c>
      <c r="C217" s="1" t="s">
        <v>23</v>
      </c>
      <c r="D217" s="1" t="str">
        <f t="shared" si="19"/>
        <v>89177328</v>
      </c>
      <c r="E217" s="1" t="s">
        <v>24</v>
      </c>
      <c r="F217" s="1" t="str">
        <f t="shared" si="20"/>
        <v>0010</v>
      </c>
      <c r="G217" s="1" t="str">
        <f>""</f>
        <v/>
      </c>
      <c r="H217" s="1" t="str">
        <f>"0033"</f>
        <v>0033</v>
      </c>
      <c r="I217" s="1" t="s">
        <v>106</v>
      </c>
      <c r="J217" s="1" t="str">
        <f>"01043977567"</f>
        <v>01043977567</v>
      </c>
      <c r="K217" s="1" t="str">
        <f>"2017-04-13 10:38:15"</f>
        <v>2017-04-13 10:38:15</v>
      </c>
      <c r="L217" s="1" t="str">
        <f>"2017-04-13 10:38:27"</f>
        <v>2017-04-13 10:38:27</v>
      </c>
      <c r="M217" s="2">
        <v>1.3391203703703704E-2</v>
      </c>
      <c r="N217" s="1" t="s">
        <v>26</v>
      </c>
      <c r="O217" s="1" t="s">
        <v>27</v>
      </c>
      <c r="P217" s="2">
        <v>1.3530092592592594E-2</v>
      </c>
      <c r="Q217" s="1" t="s">
        <v>248</v>
      </c>
      <c r="R217" s="1">
        <v>0</v>
      </c>
      <c r="S217" s="1" t="str">
        <f>""</f>
        <v/>
      </c>
      <c r="T217" s="1" t="s">
        <v>29</v>
      </c>
      <c r="U217" s="1" t="s">
        <v>30</v>
      </c>
      <c r="V217" s="1">
        <v>0</v>
      </c>
    </row>
    <row r="218" spans="2:22" x14ac:dyDescent="0.15">
      <c r="B218" s="1" t="str">
        <f>"188****7867"</f>
        <v>188****7867</v>
      </c>
      <c r="C218" s="1" t="s">
        <v>23</v>
      </c>
      <c r="D218" s="1" t="str">
        <f t="shared" si="19"/>
        <v>89177328</v>
      </c>
      <c r="E218" s="1" t="s">
        <v>24</v>
      </c>
      <c r="F218" s="1" t="str">
        <f t="shared" si="20"/>
        <v>0010</v>
      </c>
      <c r="G218" s="1" t="str">
        <f>""</f>
        <v/>
      </c>
      <c r="H218" s="1" t="str">
        <f>"0033"</f>
        <v>0033</v>
      </c>
      <c r="I218" s="1" t="s">
        <v>106</v>
      </c>
      <c r="J218" s="1" t="str">
        <f>"01043977567"</f>
        <v>01043977567</v>
      </c>
      <c r="K218" s="1" t="str">
        <f>"2017-04-13 10:35:55"</f>
        <v>2017-04-13 10:35:55</v>
      </c>
      <c r="L218" s="1" t="str">
        <f>"-"</f>
        <v>-</v>
      </c>
      <c r="M218" s="2">
        <v>0</v>
      </c>
      <c r="N218" s="1" t="s">
        <v>33</v>
      </c>
      <c r="O218" s="1" t="s">
        <v>34</v>
      </c>
      <c r="P218" s="2">
        <v>6.9444444444444444E-5</v>
      </c>
      <c r="Q218" s="1" t="str">
        <f>""</f>
        <v/>
      </c>
      <c r="R218" s="1">
        <v>0</v>
      </c>
      <c r="S218" s="1" t="str">
        <f>""</f>
        <v/>
      </c>
      <c r="T218" s="1" t="s">
        <v>29</v>
      </c>
      <c r="U218" s="1" t="s">
        <v>30</v>
      </c>
      <c r="V218" s="1">
        <v>0</v>
      </c>
    </row>
    <row r="219" spans="2:22" x14ac:dyDescent="0.15">
      <c r="B219" s="1" t="str">
        <f>"130****5656"</f>
        <v>130****5656</v>
      </c>
      <c r="C219" s="1" t="s">
        <v>112</v>
      </c>
      <c r="D219" s="1" t="str">
        <f t="shared" si="19"/>
        <v>89177328</v>
      </c>
      <c r="E219" s="1" t="s">
        <v>24</v>
      </c>
      <c r="F219" s="1" t="str">
        <f t="shared" si="20"/>
        <v>0010</v>
      </c>
      <c r="G219" s="1" t="str">
        <f>""</f>
        <v/>
      </c>
      <c r="H219" s="1" t="str">
        <f>"0033"</f>
        <v>0033</v>
      </c>
      <c r="I219" s="1" t="s">
        <v>106</v>
      </c>
      <c r="J219" s="1" t="str">
        <f>"01043977567"</f>
        <v>01043977567</v>
      </c>
      <c r="K219" s="1" t="str">
        <f>"2017-04-13 10:33:06"</f>
        <v>2017-04-13 10:33:06</v>
      </c>
      <c r="L219" s="1" t="str">
        <f>"-"</f>
        <v>-</v>
      </c>
      <c r="M219" s="2">
        <v>0</v>
      </c>
      <c r="N219" s="1" t="s">
        <v>33</v>
      </c>
      <c r="O219" s="1" t="s">
        <v>34</v>
      </c>
      <c r="P219" s="2">
        <v>5.7870370370370366E-5</v>
      </c>
      <c r="Q219" s="1" t="str">
        <f>""</f>
        <v/>
      </c>
      <c r="R219" s="1">
        <v>0</v>
      </c>
      <c r="S219" s="1" t="str">
        <f>""</f>
        <v/>
      </c>
      <c r="T219" s="1" t="s">
        <v>29</v>
      </c>
      <c r="U219" s="1" t="s">
        <v>30</v>
      </c>
      <c r="V219" s="1">
        <v>0</v>
      </c>
    </row>
    <row r="220" spans="2:22" x14ac:dyDescent="0.15">
      <c r="B220" s="1" t="str">
        <f>"188****7867"</f>
        <v>188****7867</v>
      </c>
      <c r="C220" s="1" t="s">
        <v>23</v>
      </c>
      <c r="D220" s="1" t="str">
        <f t="shared" si="19"/>
        <v>89177328</v>
      </c>
      <c r="E220" s="1" t="s">
        <v>24</v>
      </c>
      <c r="F220" s="1" t="str">
        <f t="shared" si="20"/>
        <v>0010</v>
      </c>
      <c r="G220" s="1" t="str">
        <f>""</f>
        <v/>
      </c>
      <c r="H220" s="1" t="str">
        <f>"0033"</f>
        <v>0033</v>
      </c>
      <c r="I220" s="1" t="s">
        <v>106</v>
      </c>
      <c r="J220" s="1" t="str">
        <f>"01043977567"</f>
        <v>01043977567</v>
      </c>
      <c r="K220" s="1" t="str">
        <f>"2017-04-13 10:32:14"</f>
        <v>2017-04-13 10:32:14</v>
      </c>
      <c r="L220" s="1" t="str">
        <f>"-"</f>
        <v>-</v>
      </c>
      <c r="M220" s="2">
        <v>0</v>
      </c>
      <c r="N220" s="1" t="s">
        <v>33</v>
      </c>
      <c r="O220" s="1" t="s">
        <v>34</v>
      </c>
      <c r="P220" s="2">
        <v>2.3148148148148147E-5</v>
      </c>
      <c r="Q220" s="1" t="str">
        <f>""</f>
        <v/>
      </c>
      <c r="R220" s="1">
        <v>0</v>
      </c>
      <c r="S220" s="1" t="str">
        <f>""</f>
        <v/>
      </c>
      <c r="T220" s="1" t="s">
        <v>29</v>
      </c>
      <c r="U220" s="1" t="s">
        <v>30</v>
      </c>
      <c r="V220" s="1">
        <v>0</v>
      </c>
    </row>
    <row r="221" spans="2:22" x14ac:dyDescent="0.15">
      <c r="B221" s="1" t="str">
        <f>"130****5656"</f>
        <v>130****5656</v>
      </c>
      <c r="C221" s="1" t="s">
        <v>112</v>
      </c>
      <c r="D221" s="1" t="str">
        <f t="shared" si="19"/>
        <v>89177328</v>
      </c>
      <c r="E221" s="1" t="s">
        <v>24</v>
      </c>
      <c r="F221" s="1" t="str">
        <f t="shared" si="20"/>
        <v>0010</v>
      </c>
      <c r="G221" s="1" t="str">
        <f>""</f>
        <v/>
      </c>
      <c r="H221" s="1" t="str">
        <f>"0033"</f>
        <v>0033</v>
      </c>
      <c r="I221" s="1" t="s">
        <v>106</v>
      </c>
      <c r="J221" s="1" t="str">
        <f>"01043977567"</f>
        <v>01043977567</v>
      </c>
      <c r="K221" s="1" t="str">
        <f>"2017-04-13 10:30:14"</f>
        <v>2017-04-13 10:30:14</v>
      </c>
      <c r="L221" s="1" t="str">
        <f>"-"</f>
        <v>-</v>
      </c>
      <c r="M221" s="2">
        <v>0</v>
      </c>
      <c r="N221" s="1" t="s">
        <v>33</v>
      </c>
      <c r="O221" s="1" t="s">
        <v>34</v>
      </c>
      <c r="P221" s="2">
        <v>4.6296296296296294E-5</v>
      </c>
      <c r="Q221" s="1" t="str">
        <f>""</f>
        <v/>
      </c>
      <c r="R221" s="1">
        <v>0</v>
      </c>
      <c r="S221" s="1" t="str">
        <f>""</f>
        <v/>
      </c>
      <c r="T221" s="1" t="s">
        <v>29</v>
      </c>
      <c r="U221" s="1" t="s">
        <v>30</v>
      </c>
      <c r="V221" s="1">
        <v>0</v>
      </c>
    </row>
    <row r="222" spans="2:22" x14ac:dyDescent="0.15">
      <c r="B222" s="1" t="str">
        <f>"139****8241"</f>
        <v>139****8241</v>
      </c>
      <c r="C222" s="1" t="s">
        <v>249</v>
      </c>
      <c r="D222" s="1" t="str">
        <f t="shared" si="19"/>
        <v>89177328</v>
      </c>
      <c r="E222" s="1" t="s">
        <v>24</v>
      </c>
      <c r="F222" s="1" t="str">
        <f t="shared" si="20"/>
        <v>0010</v>
      </c>
      <c r="G222" s="1" t="str">
        <f>""</f>
        <v/>
      </c>
      <c r="H222" s="1" t="str">
        <f>"0036"</f>
        <v>0036</v>
      </c>
      <c r="I222" s="1" t="s">
        <v>143</v>
      </c>
      <c r="J222" s="1" t="str">
        <f>"01043977573"</f>
        <v>01043977573</v>
      </c>
      <c r="K222" s="1" t="str">
        <f>"2017-04-13 10:25:25"</f>
        <v>2017-04-13 10:25:25</v>
      </c>
      <c r="L222" s="1" t="str">
        <f>"2017-04-13 10:25:28"</f>
        <v>2017-04-13 10:25:28</v>
      </c>
      <c r="M222" s="2">
        <v>2.1562499999999998E-2</v>
      </c>
      <c r="N222" s="1" t="s">
        <v>26</v>
      </c>
      <c r="O222" s="1" t="s">
        <v>27</v>
      </c>
      <c r="P222" s="2">
        <v>2.1597222222222223E-2</v>
      </c>
      <c r="Q222" s="1" t="s">
        <v>250</v>
      </c>
      <c r="R222" s="1">
        <v>0</v>
      </c>
      <c r="S222" s="1" t="str">
        <f>""</f>
        <v/>
      </c>
      <c r="T222" s="1" t="s">
        <v>29</v>
      </c>
      <c r="U222" s="1" t="s">
        <v>30</v>
      </c>
      <c r="V222" s="1">
        <v>0</v>
      </c>
    </row>
    <row r="223" spans="2:22" x14ac:dyDescent="0.15">
      <c r="B223" s="1" t="str">
        <f>"010****4532"</f>
        <v>010****4532</v>
      </c>
      <c r="C223" s="1" t="s">
        <v>23</v>
      </c>
      <c r="D223" s="1" t="str">
        <f t="shared" si="19"/>
        <v>89177328</v>
      </c>
      <c r="E223" s="1" t="s">
        <v>24</v>
      </c>
      <c r="F223" s="1" t="str">
        <f t="shared" si="20"/>
        <v>0010</v>
      </c>
      <c r="G223" s="1" t="str">
        <f>""</f>
        <v/>
      </c>
      <c r="H223" s="1" t="str">
        <f>"0017"</f>
        <v>0017</v>
      </c>
      <c r="I223" s="1" t="s">
        <v>135</v>
      </c>
      <c r="J223" s="1" t="str">
        <f>"01043989717"</f>
        <v>01043989717</v>
      </c>
      <c r="K223" s="1" t="str">
        <f>"2017-04-13 10:13:13"</f>
        <v>2017-04-13 10:13:13</v>
      </c>
      <c r="L223" s="1" t="str">
        <f>"2017-04-13 10:13:22"</f>
        <v>2017-04-13 10:13:22</v>
      </c>
      <c r="M223" s="2">
        <v>5.5787037037037038E-3</v>
      </c>
      <c r="N223" s="1" t="s">
        <v>26</v>
      </c>
      <c r="O223" s="1" t="s">
        <v>27</v>
      </c>
      <c r="P223" s="2">
        <v>5.6828703703703702E-3</v>
      </c>
      <c r="Q223" s="1" t="s">
        <v>251</v>
      </c>
      <c r="R223" s="1">
        <v>0</v>
      </c>
      <c r="S223" s="1" t="str">
        <f>""</f>
        <v/>
      </c>
      <c r="T223" s="1" t="s">
        <v>29</v>
      </c>
      <c r="U223" s="1" t="s">
        <v>30</v>
      </c>
      <c r="V223" s="1">
        <v>0</v>
      </c>
    </row>
    <row r="224" spans="2:22" x14ac:dyDescent="0.15">
      <c r="B224" s="1" t="str">
        <f>"130****5656"</f>
        <v>130****5656</v>
      </c>
      <c r="C224" s="1" t="s">
        <v>112</v>
      </c>
      <c r="D224" s="1" t="str">
        <f t="shared" si="19"/>
        <v>89177328</v>
      </c>
      <c r="E224" s="1" t="s">
        <v>24</v>
      </c>
      <c r="F224" s="1" t="str">
        <f t="shared" si="20"/>
        <v>0010</v>
      </c>
      <c r="G224" s="1" t="str">
        <f>""</f>
        <v/>
      </c>
      <c r="H224" s="1" t="str">
        <f>"0017"</f>
        <v>0017</v>
      </c>
      <c r="I224" s="1" t="s">
        <v>135</v>
      </c>
      <c r="J224" s="1" t="str">
        <f>"01043989717"</f>
        <v>01043989717</v>
      </c>
      <c r="K224" s="1" t="str">
        <f>"2017-04-13 10:12:59"</f>
        <v>2017-04-13 10:12:59</v>
      </c>
      <c r="L224" s="1" t="str">
        <f>"-"</f>
        <v>-</v>
      </c>
      <c r="M224" s="2">
        <v>0</v>
      </c>
      <c r="N224" s="1" t="s">
        <v>33</v>
      </c>
      <c r="O224" s="1" t="s">
        <v>34</v>
      </c>
      <c r="P224" s="2">
        <v>4.6296296296296294E-5</v>
      </c>
      <c r="Q224" s="1" t="str">
        <f>""</f>
        <v/>
      </c>
      <c r="R224" s="1">
        <v>0</v>
      </c>
      <c r="S224" s="1" t="str">
        <f>""</f>
        <v/>
      </c>
      <c r="T224" s="1" t="s">
        <v>29</v>
      </c>
      <c r="U224" s="1" t="s">
        <v>30</v>
      </c>
      <c r="V224" s="1">
        <v>0</v>
      </c>
    </row>
    <row r="225" spans="2:22" x14ac:dyDescent="0.15">
      <c r="B225" s="1" t="str">
        <f>"186****0604"</f>
        <v>186****0604</v>
      </c>
      <c r="C225" s="1" t="s">
        <v>23</v>
      </c>
      <c r="D225" s="1" t="str">
        <f t="shared" si="19"/>
        <v>89177328</v>
      </c>
      <c r="E225" s="1" t="s">
        <v>24</v>
      </c>
      <c r="F225" s="1" t="str">
        <f t="shared" si="20"/>
        <v>0010</v>
      </c>
      <c r="G225" s="1" t="str">
        <f>""</f>
        <v/>
      </c>
      <c r="H225" s="1" t="str">
        <f>"0017"</f>
        <v>0017</v>
      </c>
      <c r="I225" s="1" t="s">
        <v>135</v>
      </c>
      <c r="J225" s="1" t="str">
        <f>"01043989717"</f>
        <v>01043989717</v>
      </c>
      <c r="K225" s="1" t="str">
        <f>"2017-04-13 10:10:03"</f>
        <v>2017-04-13 10:10:03</v>
      </c>
      <c r="L225" s="1" t="str">
        <f>"-"</f>
        <v>-</v>
      </c>
      <c r="M225" s="2">
        <v>0</v>
      </c>
      <c r="N225" s="1" t="s">
        <v>33</v>
      </c>
      <c r="O225" s="1" t="s">
        <v>34</v>
      </c>
      <c r="P225" s="2">
        <v>6.9444444444444444E-5</v>
      </c>
      <c r="Q225" s="1" t="str">
        <f>""</f>
        <v/>
      </c>
      <c r="R225" s="1">
        <v>0</v>
      </c>
      <c r="S225" s="1" t="str">
        <f>""</f>
        <v/>
      </c>
      <c r="T225" s="1" t="s">
        <v>29</v>
      </c>
      <c r="U225" s="1" t="s">
        <v>30</v>
      </c>
      <c r="V225" s="1">
        <v>0</v>
      </c>
    </row>
    <row r="226" spans="2:22" x14ac:dyDescent="0.15">
      <c r="B226" s="1" t="str">
        <f>"150****9186"</f>
        <v>150****9186</v>
      </c>
      <c r="C226" s="1" t="s">
        <v>23</v>
      </c>
      <c r="D226" s="1" t="str">
        <f t="shared" si="19"/>
        <v>89177328</v>
      </c>
      <c r="E226" s="1" t="s">
        <v>24</v>
      </c>
      <c r="F226" s="1" t="str">
        <f t="shared" si="20"/>
        <v>0010</v>
      </c>
      <c r="G226" s="1" t="str">
        <f>""</f>
        <v/>
      </c>
      <c r="H226" s="1" t="str">
        <f>"0036"</f>
        <v>0036</v>
      </c>
      <c r="I226" s="1" t="s">
        <v>143</v>
      </c>
      <c r="J226" s="1" t="str">
        <f>"01043977573"</f>
        <v>01043977573</v>
      </c>
      <c r="K226" s="1" t="str">
        <f>"2017-04-13 10:04:46"</f>
        <v>2017-04-13 10:04:46</v>
      </c>
      <c r="L226" s="1" t="str">
        <f>"2017-04-13 10:04:55"</f>
        <v>2017-04-13 10:04:55</v>
      </c>
      <c r="M226" s="2">
        <v>5.7638888888888887E-3</v>
      </c>
      <c r="N226" s="1" t="s">
        <v>26</v>
      </c>
      <c r="O226" s="1" t="s">
        <v>27</v>
      </c>
      <c r="P226" s="2">
        <v>5.8680555555555543E-3</v>
      </c>
      <c r="Q226" s="1" t="s">
        <v>252</v>
      </c>
      <c r="R226" s="1">
        <v>0</v>
      </c>
      <c r="S226" s="1" t="str">
        <f>""</f>
        <v/>
      </c>
      <c r="T226" s="1" t="s">
        <v>29</v>
      </c>
      <c r="U226" s="1" t="s">
        <v>30</v>
      </c>
      <c r="V226" s="1">
        <v>0</v>
      </c>
    </row>
    <row r="227" spans="2:22" x14ac:dyDescent="0.15">
      <c r="B227" s="1" t="str">
        <f>"133****8818"</f>
        <v>133****8818</v>
      </c>
      <c r="C227" s="1" t="s">
        <v>23</v>
      </c>
      <c r="D227" s="1" t="str">
        <f t="shared" si="19"/>
        <v>89177328</v>
      </c>
      <c r="E227" s="1" t="s">
        <v>24</v>
      </c>
      <c r="F227" s="1" t="str">
        <f t="shared" si="20"/>
        <v>0010</v>
      </c>
      <c r="G227" s="1" t="str">
        <f>""</f>
        <v/>
      </c>
      <c r="H227" s="1" t="str">
        <f>"0018"</f>
        <v>0018</v>
      </c>
      <c r="I227" s="1" t="s">
        <v>36</v>
      </c>
      <c r="J227" s="1" t="str">
        <f>"01043977572"</f>
        <v>01043977572</v>
      </c>
      <c r="K227" s="1" t="str">
        <f>"2017-04-13 10:03:30"</f>
        <v>2017-04-13 10:03:30</v>
      </c>
      <c r="L227" s="1" t="str">
        <f>"2017-04-13 10:03:40"</f>
        <v>2017-04-13 10:03:40</v>
      </c>
      <c r="M227" s="2">
        <v>2.6365740740740742E-2</v>
      </c>
      <c r="N227" s="1" t="s">
        <v>26</v>
      </c>
      <c r="O227" s="1" t="s">
        <v>34</v>
      </c>
      <c r="P227" s="2">
        <v>2.6481481481481481E-2</v>
      </c>
      <c r="Q227" s="1" t="s">
        <v>253</v>
      </c>
      <c r="R227" s="1">
        <v>0</v>
      </c>
      <c r="S227" s="1" t="str">
        <f>""</f>
        <v/>
      </c>
      <c r="T227" s="1" t="s">
        <v>29</v>
      </c>
      <c r="U227" s="1" t="s">
        <v>30</v>
      </c>
      <c r="V227" s="1">
        <v>0</v>
      </c>
    </row>
    <row r="228" spans="2:22" x14ac:dyDescent="0.15">
      <c r="B228" s="1" t="str">
        <f>"186****0604"</f>
        <v>186****0604</v>
      </c>
      <c r="C228" s="1" t="s">
        <v>23</v>
      </c>
      <c r="D228" s="1" t="str">
        <f t="shared" si="19"/>
        <v>89177328</v>
      </c>
      <c r="E228" s="1" t="s">
        <v>24</v>
      </c>
      <c r="F228" s="1" t="str">
        <f t="shared" si="20"/>
        <v>0010</v>
      </c>
      <c r="G228" s="1" t="str">
        <f>""</f>
        <v/>
      </c>
      <c r="H228" s="1" t="str">
        <f>"0036"</f>
        <v>0036</v>
      </c>
      <c r="I228" s="1" t="s">
        <v>143</v>
      </c>
      <c r="J228" s="1" t="str">
        <f>"01043977573"</f>
        <v>01043977573</v>
      </c>
      <c r="K228" s="1" t="str">
        <f>"2017-04-13 10:03:08"</f>
        <v>2017-04-13 10:03:08</v>
      </c>
      <c r="L228" s="1" t="str">
        <f>"2017-04-13 10:03:13"</f>
        <v>2017-04-13 10:03:13</v>
      </c>
      <c r="M228" s="2">
        <v>2.3148148148148147E-5</v>
      </c>
      <c r="N228" s="1" t="s">
        <v>26</v>
      </c>
      <c r="O228" s="1" t="s">
        <v>34</v>
      </c>
      <c r="P228" s="2">
        <v>8.1018518518518516E-5</v>
      </c>
      <c r="Q228" s="1" t="str">
        <f>""</f>
        <v/>
      </c>
      <c r="R228" s="1">
        <v>0</v>
      </c>
      <c r="S228" s="1" t="str">
        <f>""</f>
        <v/>
      </c>
      <c r="T228" s="1" t="s">
        <v>29</v>
      </c>
      <c r="U228" s="1" t="s">
        <v>30</v>
      </c>
      <c r="V228" s="1">
        <v>0</v>
      </c>
    </row>
    <row r="229" spans="2:22" x14ac:dyDescent="0.15">
      <c r="B229" s="1" t="str">
        <f>"130****2864"</f>
        <v>130****2864</v>
      </c>
      <c r="C229" s="1" t="s">
        <v>23</v>
      </c>
      <c r="D229" s="1" t="str">
        <f>"4000108333"</f>
        <v>4000108333</v>
      </c>
      <c r="E229" s="1" t="s">
        <v>53</v>
      </c>
      <c r="F229" s="1" t="str">
        <f>"0000"</f>
        <v>0000</v>
      </c>
      <c r="G229" s="1" t="str">
        <f>""</f>
        <v/>
      </c>
      <c r="H229" s="1" t="str">
        <f>"1010"</f>
        <v>1010</v>
      </c>
      <c r="I229" s="1" t="s">
        <v>148</v>
      </c>
      <c r="J229" s="1" t="str">
        <f>"13718091869"</f>
        <v>13718091869</v>
      </c>
      <c r="K229" s="1" t="str">
        <f>"2017-04-13 09:59:05"</f>
        <v>2017-04-13 09:59:05</v>
      </c>
      <c r="L229" s="1" t="str">
        <f>"2017-04-13 09:59:35"</f>
        <v>2017-04-13 09:59:35</v>
      </c>
      <c r="M229" s="2">
        <v>9.6643518518518511E-3</v>
      </c>
      <c r="N229" s="1" t="s">
        <v>26</v>
      </c>
      <c r="O229" s="1" t="s">
        <v>34</v>
      </c>
      <c r="P229" s="2">
        <v>1.0011574074074074E-2</v>
      </c>
      <c r="Q229" s="1" t="s">
        <v>254</v>
      </c>
      <c r="R229" s="1">
        <v>1.8</v>
      </c>
      <c r="S229" s="1" t="str">
        <f>""</f>
        <v/>
      </c>
      <c r="T229" s="1" t="s">
        <v>29</v>
      </c>
      <c r="U229" s="1" t="s">
        <v>30</v>
      </c>
      <c r="V229" s="1">
        <v>0</v>
      </c>
    </row>
    <row r="230" spans="2:22" x14ac:dyDescent="0.15">
      <c r="B230" s="1" t="str">
        <f>"137****6909"</f>
        <v>137****6909</v>
      </c>
      <c r="C230" s="1" t="s">
        <v>23</v>
      </c>
      <c r="D230" s="1" t="str">
        <f t="shared" ref="D230:D246" si="21">"89177328"</f>
        <v>89177328</v>
      </c>
      <c r="E230" s="1" t="s">
        <v>24</v>
      </c>
      <c r="F230" s="1" t="str">
        <f t="shared" ref="F230:F238" si="22">"0010"</f>
        <v>0010</v>
      </c>
      <c r="G230" s="1" t="str">
        <f>""</f>
        <v/>
      </c>
      <c r="H230" s="1" t="str">
        <f>"0018"</f>
        <v>0018</v>
      </c>
      <c r="I230" s="1" t="s">
        <v>36</v>
      </c>
      <c r="J230" s="1" t="str">
        <f>"01043977572"</f>
        <v>01043977572</v>
      </c>
      <c r="K230" s="1" t="str">
        <f>"2017-04-13 09:58:00"</f>
        <v>2017-04-13 09:58:00</v>
      </c>
      <c r="L230" s="1" t="str">
        <f>"2017-04-13 09:58:09"</f>
        <v>2017-04-13 09:58:09</v>
      </c>
      <c r="M230" s="2">
        <v>2.5462962962962961E-4</v>
      </c>
      <c r="N230" s="1" t="s">
        <v>26</v>
      </c>
      <c r="O230" s="1" t="s">
        <v>34</v>
      </c>
      <c r="P230" s="2">
        <v>3.5879629629629635E-4</v>
      </c>
      <c r="Q230" s="1" t="s">
        <v>255</v>
      </c>
      <c r="R230" s="1">
        <v>0</v>
      </c>
      <c r="S230" s="1" t="str">
        <f>""</f>
        <v/>
      </c>
      <c r="T230" s="1" t="s">
        <v>29</v>
      </c>
      <c r="U230" s="1" t="s">
        <v>30</v>
      </c>
      <c r="V230" s="1">
        <v>0</v>
      </c>
    </row>
    <row r="231" spans="2:22" x14ac:dyDescent="0.15">
      <c r="B231" s="1" t="str">
        <f>"182****2007"</f>
        <v>182****2007</v>
      </c>
      <c r="C231" s="1" t="s">
        <v>109</v>
      </c>
      <c r="D231" s="1" t="str">
        <f t="shared" si="21"/>
        <v>89177328</v>
      </c>
      <c r="E231" s="1" t="s">
        <v>24</v>
      </c>
      <c r="F231" s="1" t="str">
        <f t="shared" si="22"/>
        <v>0010</v>
      </c>
      <c r="G231" s="1" t="str">
        <f>""</f>
        <v/>
      </c>
      <c r="H231" s="1" t="str">
        <f>"0033"</f>
        <v>0033</v>
      </c>
      <c r="I231" s="1" t="s">
        <v>106</v>
      </c>
      <c r="J231" s="1" t="str">
        <f>"01043977567"</f>
        <v>01043977567</v>
      </c>
      <c r="K231" s="1" t="str">
        <f>"2017-04-13 09:41:25"</f>
        <v>2017-04-13 09:41:25</v>
      </c>
      <c r="L231" s="1" t="str">
        <f>"2017-04-13 09:41:35"</f>
        <v>2017-04-13 09:41:35</v>
      </c>
      <c r="M231" s="2">
        <v>6.4120370370370364E-3</v>
      </c>
      <c r="N231" s="1" t="s">
        <v>26</v>
      </c>
      <c r="O231" s="1" t="s">
        <v>27</v>
      </c>
      <c r="P231" s="2">
        <v>6.5277777777777782E-3</v>
      </c>
      <c r="Q231" s="1" t="s">
        <v>256</v>
      </c>
      <c r="R231" s="1">
        <v>0</v>
      </c>
      <c r="S231" s="1" t="str">
        <f>""</f>
        <v/>
      </c>
      <c r="T231" s="1" t="s">
        <v>29</v>
      </c>
      <c r="U231" s="1" t="s">
        <v>30</v>
      </c>
      <c r="V231" s="1">
        <v>0</v>
      </c>
    </row>
    <row r="232" spans="2:22" x14ac:dyDescent="0.15">
      <c r="B232" s="1" t="str">
        <f>"185****2615"</f>
        <v>185****2615</v>
      </c>
      <c r="C232" s="1" t="s">
        <v>23</v>
      </c>
      <c r="D232" s="1" t="str">
        <f t="shared" si="21"/>
        <v>89177328</v>
      </c>
      <c r="E232" s="1" t="s">
        <v>24</v>
      </c>
      <c r="F232" s="1" t="str">
        <f t="shared" si="22"/>
        <v>0010</v>
      </c>
      <c r="G232" s="1" t="str">
        <f>""</f>
        <v/>
      </c>
      <c r="H232" s="1" t="str">
        <f>"0017"</f>
        <v>0017</v>
      </c>
      <c r="I232" s="1" t="s">
        <v>135</v>
      </c>
      <c r="J232" s="1" t="str">
        <f>"01043989717"</f>
        <v>01043989717</v>
      </c>
      <c r="K232" s="1" t="str">
        <f>"2017-04-13 09:27:46"</f>
        <v>2017-04-13 09:27:46</v>
      </c>
      <c r="L232" s="1" t="str">
        <f>"2017-04-13 09:27:54"</f>
        <v>2017-04-13 09:27:54</v>
      </c>
      <c r="M232" s="2">
        <v>6.5509259259259262E-3</v>
      </c>
      <c r="N232" s="1" t="s">
        <v>26</v>
      </c>
      <c r="O232" s="1" t="s">
        <v>27</v>
      </c>
      <c r="P232" s="2">
        <v>6.6435185185185182E-3</v>
      </c>
      <c r="Q232" s="1" t="s">
        <v>257</v>
      </c>
      <c r="R232" s="1">
        <v>0</v>
      </c>
      <c r="S232" s="1" t="str">
        <f>""</f>
        <v/>
      </c>
      <c r="T232" s="1" t="s">
        <v>29</v>
      </c>
      <c r="U232" s="1" t="s">
        <v>30</v>
      </c>
      <c r="V232" s="1">
        <v>0</v>
      </c>
    </row>
    <row r="233" spans="2:22" x14ac:dyDescent="0.15">
      <c r="B233" s="1" t="str">
        <f>"187****2589"</f>
        <v>187****2589</v>
      </c>
      <c r="C233" s="1" t="s">
        <v>23</v>
      </c>
      <c r="D233" s="1" t="str">
        <f t="shared" si="21"/>
        <v>89177328</v>
      </c>
      <c r="E233" s="1" t="s">
        <v>24</v>
      </c>
      <c r="F233" s="1" t="str">
        <f t="shared" si="22"/>
        <v>0010</v>
      </c>
      <c r="G233" s="1" t="str">
        <f>""</f>
        <v/>
      </c>
      <c r="H233" s="1" t="str">
        <f>"0018"</f>
        <v>0018</v>
      </c>
      <c r="I233" s="1" t="s">
        <v>36</v>
      </c>
      <c r="J233" s="1" t="str">
        <f>"01043977572"</f>
        <v>01043977572</v>
      </c>
      <c r="K233" s="1" t="str">
        <f>"2017-04-13 09:26:09"</f>
        <v>2017-04-13 09:26:09</v>
      </c>
      <c r="L233" s="1" t="str">
        <f>"2017-04-13 09:26:18"</f>
        <v>2017-04-13 09:26:18</v>
      </c>
      <c r="M233" s="2">
        <v>5.4050925925925924E-3</v>
      </c>
      <c r="N233" s="1" t="s">
        <v>26</v>
      </c>
      <c r="O233" s="1" t="s">
        <v>34</v>
      </c>
      <c r="P233" s="2">
        <v>5.5092592592592589E-3</v>
      </c>
      <c r="Q233" s="1" t="s">
        <v>258</v>
      </c>
      <c r="R233" s="1">
        <v>0</v>
      </c>
      <c r="S233" s="1" t="str">
        <f>""</f>
        <v/>
      </c>
      <c r="T233" s="1" t="s">
        <v>29</v>
      </c>
      <c r="U233" s="1" t="s">
        <v>30</v>
      </c>
      <c r="V233" s="1">
        <v>0</v>
      </c>
    </row>
    <row r="234" spans="2:22" x14ac:dyDescent="0.15">
      <c r="B234" s="1" t="str">
        <f>"139****2290"</f>
        <v>139****2290</v>
      </c>
      <c r="C234" s="1" t="s">
        <v>94</v>
      </c>
      <c r="D234" s="1" t="str">
        <f t="shared" si="21"/>
        <v>89177328</v>
      </c>
      <c r="E234" s="1" t="s">
        <v>24</v>
      </c>
      <c r="F234" s="1" t="str">
        <f t="shared" si="22"/>
        <v>0010</v>
      </c>
      <c r="G234" s="1" t="str">
        <f>""</f>
        <v/>
      </c>
      <c r="H234" s="1" t="str">
        <f>"0036"</f>
        <v>0036</v>
      </c>
      <c r="I234" s="1" t="s">
        <v>143</v>
      </c>
      <c r="J234" s="1" t="str">
        <f>"01043977573"</f>
        <v>01043977573</v>
      </c>
      <c r="K234" s="1" t="str">
        <f>"2017-04-13 09:15:24"</f>
        <v>2017-04-13 09:15:24</v>
      </c>
      <c r="L234" s="1" t="str">
        <f>"2017-04-13 09:15:36"</f>
        <v>2017-04-13 09:15:36</v>
      </c>
      <c r="M234" s="2">
        <v>1.087962962962963E-2</v>
      </c>
      <c r="N234" s="1" t="s">
        <v>26</v>
      </c>
      <c r="O234" s="1" t="s">
        <v>27</v>
      </c>
      <c r="P234" s="2">
        <v>1.1018518518518518E-2</v>
      </c>
      <c r="Q234" s="1" t="s">
        <v>259</v>
      </c>
      <c r="R234" s="1">
        <v>0</v>
      </c>
      <c r="S234" s="1" t="str">
        <f>""</f>
        <v/>
      </c>
      <c r="T234" s="1" t="s">
        <v>29</v>
      </c>
      <c r="U234" s="1" t="s">
        <v>30</v>
      </c>
      <c r="V234" s="1">
        <v>0</v>
      </c>
    </row>
    <row r="235" spans="2:22" x14ac:dyDescent="0.15">
      <c r="B235" s="1" t="str">
        <f>"187****2589"</f>
        <v>187****2589</v>
      </c>
      <c r="C235" s="1" t="s">
        <v>23</v>
      </c>
      <c r="D235" s="1" t="str">
        <f t="shared" si="21"/>
        <v>89177328</v>
      </c>
      <c r="E235" s="1" t="s">
        <v>24</v>
      </c>
      <c r="F235" s="1" t="str">
        <f t="shared" si="22"/>
        <v>0010</v>
      </c>
      <c r="G235" s="1" t="str">
        <f>""</f>
        <v/>
      </c>
      <c r="H235" s="1" t="str">
        <f>"0035"</f>
        <v>0035</v>
      </c>
      <c r="I235" s="1" t="s">
        <v>25</v>
      </c>
      <c r="J235" s="1" t="str">
        <f>"01043977569"</f>
        <v>01043977569</v>
      </c>
      <c r="K235" s="1" t="str">
        <f>"2017-04-13 08:52:27"</f>
        <v>2017-04-13 08:52:27</v>
      </c>
      <c r="L235" s="1" t="str">
        <f>"2017-04-13 08:53:03"</f>
        <v>2017-04-13 08:53:03</v>
      </c>
      <c r="M235" s="2">
        <v>4.108796296296297E-3</v>
      </c>
      <c r="N235" s="1" t="s">
        <v>26</v>
      </c>
      <c r="O235" s="1" t="s">
        <v>27</v>
      </c>
      <c r="P235" s="2">
        <v>4.5254629629629629E-3</v>
      </c>
      <c r="Q235" s="1" t="s">
        <v>260</v>
      </c>
      <c r="R235" s="1">
        <v>0</v>
      </c>
      <c r="S235" s="1" t="str">
        <f>""</f>
        <v/>
      </c>
      <c r="T235" s="1" t="s">
        <v>29</v>
      </c>
      <c r="U235" s="1" t="s">
        <v>30</v>
      </c>
      <c r="V235" s="1">
        <v>0</v>
      </c>
    </row>
    <row r="236" spans="2:22" x14ac:dyDescent="0.15">
      <c r="B236" s="1" t="str">
        <f>"010****6877"</f>
        <v>010****6877</v>
      </c>
      <c r="C236" s="1" t="s">
        <v>23</v>
      </c>
      <c r="D236" s="1" t="str">
        <f t="shared" si="21"/>
        <v>89177328</v>
      </c>
      <c r="E236" s="1" t="s">
        <v>24</v>
      </c>
      <c r="F236" s="1" t="str">
        <f t="shared" si="22"/>
        <v>0010</v>
      </c>
      <c r="G236" s="1" t="str">
        <f>""</f>
        <v/>
      </c>
      <c r="H236" s="1" t="str">
        <f>"0033"</f>
        <v>0033</v>
      </c>
      <c r="I236" s="1" t="s">
        <v>106</v>
      </c>
      <c r="J236" s="1" t="str">
        <f>"01043977567"</f>
        <v>01043977567</v>
      </c>
      <c r="K236" s="1" t="str">
        <f>"2017-04-13 08:34:14"</f>
        <v>2017-04-13 08:34:14</v>
      </c>
      <c r="L236" s="1" t="str">
        <f>"2017-04-13 08:34:24"</f>
        <v>2017-04-13 08:34:24</v>
      </c>
      <c r="M236" s="2">
        <v>1.622685185185185E-2</v>
      </c>
      <c r="N236" s="1" t="s">
        <v>26</v>
      </c>
      <c r="O236" s="1" t="s">
        <v>27</v>
      </c>
      <c r="P236" s="2">
        <v>1.6342592592592593E-2</v>
      </c>
      <c r="Q236" s="1" t="s">
        <v>261</v>
      </c>
      <c r="R236" s="1">
        <v>0</v>
      </c>
      <c r="S236" s="1" t="str">
        <f>""</f>
        <v/>
      </c>
      <c r="T236" s="1" t="s">
        <v>29</v>
      </c>
      <c r="U236" s="1" t="s">
        <v>30</v>
      </c>
      <c r="V236" s="1">
        <v>0</v>
      </c>
    </row>
    <row r="237" spans="2:22" x14ac:dyDescent="0.15">
      <c r="B237" s="1" t="str">
        <f>"183****6068"</f>
        <v>183****6068</v>
      </c>
      <c r="C237" s="1" t="s">
        <v>23</v>
      </c>
      <c r="D237" s="1" t="str">
        <f t="shared" si="21"/>
        <v>89177328</v>
      </c>
      <c r="E237" s="1" t="s">
        <v>24</v>
      </c>
      <c r="F237" s="1" t="str">
        <f t="shared" si="22"/>
        <v>0010</v>
      </c>
      <c r="G237" s="1" t="str">
        <f>""</f>
        <v/>
      </c>
      <c r="H237" s="1" t="str">
        <f>"0035"</f>
        <v>0035</v>
      </c>
      <c r="I237" s="1" t="s">
        <v>25</v>
      </c>
      <c r="J237" s="1" t="str">
        <f>"01043977569"</f>
        <v>01043977569</v>
      </c>
      <c r="K237" s="1" t="str">
        <f>"2017-04-13 08:32:02"</f>
        <v>2017-04-13 08:32:02</v>
      </c>
      <c r="L237" s="1" t="str">
        <f>"2017-04-13 08:32:39"</f>
        <v>2017-04-13 08:32:39</v>
      </c>
      <c r="M237" s="2">
        <v>1.3252314814814814E-2</v>
      </c>
      <c r="N237" s="1" t="s">
        <v>26</v>
      </c>
      <c r="O237" s="1" t="s">
        <v>27</v>
      </c>
      <c r="P237" s="2">
        <v>1.3680555555555555E-2</v>
      </c>
      <c r="Q237" s="1" t="s">
        <v>262</v>
      </c>
      <c r="R237" s="1">
        <v>0</v>
      </c>
      <c r="S237" s="1" t="str">
        <f>""</f>
        <v/>
      </c>
      <c r="T237" s="1" t="s">
        <v>29</v>
      </c>
      <c r="U237" s="1" t="s">
        <v>30</v>
      </c>
      <c r="V237" s="1">
        <v>0</v>
      </c>
    </row>
    <row r="238" spans="2:22" x14ac:dyDescent="0.15">
      <c r="B238" s="1" t="str">
        <f>"130****2864"</f>
        <v>130****2864</v>
      </c>
      <c r="C238" s="1" t="s">
        <v>23</v>
      </c>
      <c r="D238" s="1" t="str">
        <f t="shared" si="21"/>
        <v>89177328</v>
      </c>
      <c r="E238" s="1" t="s">
        <v>24</v>
      </c>
      <c r="F238" s="1" t="str">
        <f t="shared" si="22"/>
        <v>0010</v>
      </c>
      <c r="G238" s="1" t="str">
        <f>""</f>
        <v/>
      </c>
      <c r="H238" s="1" t="str">
        <f>"0017"</f>
        <v>0017</v>
      </c>
      <c r="I238" s="1" t="s">
        <v>135</v>
      </c>
      <c r="J238" s="1" t="str">
        <f>"01043989717"</f>
        <v>01043989717</v>
      </c>
      <c r="K238" s="1" t="str">
        <f>"2017-04-13 08:09:33"</f>
        <v>2017-04-13 08:09:33</v>
      </c>
      <c r="L238" s="1" t="str">
        <f>"2017-04-13 08:10:06"</f>
        <v>2017-04-13 08:10:06</v>
      </c>
      <c r="M238" s="2">
        <v>1.3321759259259261E-2</v>
      </c>
      <c r="N238" s="1" t="s">
        <v>26</v>
      </c>
      <c r="O238" s="1" t="s">
        <v>27</v>
      </c>
      <c r="P238" s="2">
        <v>1.3703703703703704E-2</v>
      </c>
      <c r="Q238" s="1" t="s">
        <v>263</v>
      </c>
      <c r="R238" s="1">
        <v>0</v>
      </c>
      <c r="S238" s="1" t="str">
        <f>""</f>
        <v/>
      </c>
      <c r="T238" s="1" t="s">
        <v>29</v>
      </c>
      <c r="U238" s="1" t="s">
        <v>30</v>
      </c>
      <c r="V238" s="1">
        <v>0</v>
      </c>
    </row>
    <row r="239" spans="2:22" x14ac:dyDescent="0.15">
      <c r="B239" s="1" t="str">
        <f>"150****2124"</f>
        <v>150****2124</v>
      </c>
      <c r="C239" s="1" t="s">
        <v>23</v>
      </c>
      <c r="D239" s="1" t="str">
        <f t="shared" si="21"/>
        <v>89177328</v>
      </c>
      <c r="E239" s="1" t="s">
        <v>181</v>
      </c>
      <c r="F239" s="1" t="str">
        <f>""</f>
        <v/>
      </c>
      <c r="G239" s="1" t="str">
        <f>""</f>
        <v/>
      </c>
      <c r="H239" s="1" t="str">
        <f>""</f>
        <v/>
      </c>
      <c r="I239" s="1" t="str">
        <f>""</f>
        <v/>
      </c>
      <c r="J239" s="1" t="str">
        <f>""</f>
        <v/>
      </c>
      <c r="K239" s="1" t="str">
        <f>"2017-04-13 07:10:26"</f>
        <v>2017-04-13 07:10:26</v>
      </c>
      <c r="L239" s="1" t="str">
        <f>"2017-04-13 07:10:36"</f>
        <v>2017-04-13 07:10:36</v>
      </c>
      <c r="M239" s="2">
        <v>1.0300925925925926E-3</v>
      </c>
      <c r="N239" s="1" t="s">
        <v>55</v>
      </c>
      <c r="O239" s="1" t="s">
        <v>27</v>
      </c>
      <c r="P239" s="2">
        <v>2.2337962962962967E-3</v>
      </c>
      <c r="Q239" s="1" t="s">
        <v>264</v>
      </c>
      <c r="R239" s="1">
        <v>0</v>
      </c>
      <c r="S239" s="1" t="str">
        <f>""</f>
        <v/>
      </c>
      <c r="T239" s="1" t="s">
        <v>183</v>
      </c>
      <c r="U239" s="1" t="s">
        <v>30</v>
      </c>
      <c r="V239" s="1">
        <v>0</v>
      </c>
    </row>
    <row r="240" spans="2:22" x14ac:dyDescent="0.15">
      <c r="B240" s="1" t="str">
        <f>"153****0523"</f>
        <v>153****0523</v>
      </c>
      <c r="C240" s="1" t="s">
        <v>23</v>
      </c>
      <c r="D240" s="1" t="str">
        <f t="shared" si="21"/>
        <v>89177328</v>
      </c>
      <c r="E240" s="1" t="s">
        <v>24</v>
      </c>
      <c r="F240" s="1" t="str">
        <f t="shared" ref="F240:F246" si="23">"0010"</f>
        <v>0010</v>
      </c>
      <c r="G240" s="1" t="str">
        <f>""</f>
        <v/>
      </c>
      <c r="H240" s="1" t="str">
        <f>"0031"</f>
        <v>0031</v>
      </c>
      <c r="I240" s="1" t="s">
        <v>95</v>
      </c>
      <c r="J240" s="1" t="str">
        <f>"01043977565"</f>
        <v>01043977565</v>
      </c>
      <c r="K240" s="1" t="str">
        <f>"2017-04-12 20:06:46"</f>
        <v>2017-04-12 20:06:46</v>
      </c>
      <c r="L240" s="1" t="str">
        <f>"-"</f>
        <v>-</v>
      </c>
      <c r="M240" s="2">
        <v>0</v>
      </c>
      <c r="N240" s="1" t="s">
        <v>33</v>
      </c>
      <c r="O240" s="1" t="s">
        <v>34</v>
      </c>
      <c r="P240" s="2">
        <v>2.3148148148148147E-5</v>
      </c>
      <c r="Q240" s="1" t="str">
        <f>""</f>
        <v/>
      </c>
      <c r="R240" s="1">
        <v>0</v>
      </c>
      <c r="S240" s="1" t="str">
        <f>""</f>
        <v/>
      </c>
      <c r="T240" s="1" t="s">
        <v>29</v>
      </c>
      <c r="U240" s="1" t="s">
        <v>30</v>
      </c>
      <c r="V240" s="1">
        <v>0</v>
      </c>
    </row>
    <row r="241" spans="2:22" x14ac:dyDescent="0.15">
      <c r="B241" s="1" t="str">
        <f>"133****5195"</f>
        <v>133****5195</v>
      </c>
      <c r="C241" s="1" t="s">
        <v>23</v>
      </c>
      <c r="D241" s="1" t="str">
        <f t="shared" si="21"/>
        <v>89177328</v>
      </c>
      <c r="E241" s="1" t="s">
        <v>24</v>
      </c>
      <c r="F241" s="1" t="str">
        <f t="shared" si="23"/>
        <v>0010</v>
      </c>
      <c r="G241" s="1" t="str">
        <f>""</f>
        <v/>
      </c>
      <c r="H241" s="1" t="str">
        <f>"0034"</f>
        <v>0034</v>
      </c>
      <c r="I241" s="1" t="s">
        <v>31</v>
      </c>
      <c r="J241" s="1" t="str">
        <f>"01043977568"</f>
        <v>01043977568</v>
      </c>
      <c r="K241" s="1" t="str">
        <f>"2017-04-12 19:52:08"</f>
        <v>2017-04-12 19:52:08</v>
      </c>
      <c r="L241" s="1" t="str">
        <f>"2017-04-12 19:52:19"</f>
        <v>2017-04-12 19:52:19</v>
      </c>
      <c r="M241" s="2">
        <v>1.1967592592592592E-2</v>
      </c>
      <c r="N241" s="1" t="s">
        <v>26</v>
      </c>
      <c r="O241" s="1" t="s">
        <v>34</v>
      </c>
      <c r="P241" s="2">
        <v>1.2094907407407408E-2</v>
      </c>
      <c r="Q241" s="1" t="s">
        <v>265</v>
      </c>
      <c r="R241" s="1">
        <v>0</v>
      </c>
      <c r="S241" s="1" t="str">
        <f>""</f>
        <v/>
      </c>
      <c r="T241" s="1" t="s">
        <v>29</v>
      </c>
      <c r="U241" s="1" t="s">
        <v>30</v>
      </c>
      <c r="V241" s="1">
        <v>0</v>
      </c>
    </row>
    <row r="242" spans="2:22" x14ac:dyDescent="0.15">
      <c r="B242" s="1" t="str">
        <f>"133****9491"</f>
        <v>133****9491</v>
      </c>
      <c r="C242" s="1" t="s">
        <v>188</v>
      </c>
      <c r="D242" s="1" t="str">
        <f t="shared" si="21"/>
        <v>89177328</v>
      </c>
      <c r="E242" s="1" t="s">
        <v>24</v>
      </c>
      <c r="F242" s="1" t="str">
        <f t="shared" si="23"/>
        <v>0010</v>
      </c>
      <c r="G242" s="1" t="str">
        <f>""</f>
        <v/>
      </c>
      <c r="H242" s="1" t="str">
        <f>"0031"</f>
        <v>0031</v>
      </c>
      <c r="I242" s="1" t="s">
        <v>95</v>
      </c>
      <c r="J242" s="1" t="str">
        <f>"01043977565"</f>
        <v>01043977565</v>
      </c>
      <c r="K242" s="1" t="str">
        <f>"2017-04-12 19:45:39"</f>
        <v>2017-04-12 19:45:39</v>
      </c>
      <c r="L242" s="1" t="str">
        <f>"2017-04-12 19:45:48"</f>
        <v>2017-04-12 19:45:48</v>
      </c>
      <c r="M242" s="2">
        <v>4.3287037037037035E-3</v>
      </c>
      <c r="N242" s="1" t="s">
        <v>26</v>
      </c>
      <c r="O242" s="1" t="s">
        <v>27</v>
      </c>
      <c r="P242" s="2">
        <v>4.4328703703703709E-3</v>
      </c>
      <c r="Q242" s="1" t="s">
        <v>266</v>
      </c>
      <c r="R242" s="1">
        <v>0</v>
      </c>
      <c r="S242" s="1" t="str">
        <f>""</f>
        <v/>
      </c>
      <c r="T242" s="1" t="s">
        <v>29</v>
      </c>
      <c r="U242" s="1" t="s">
        <v>30</v>
      </c>
      <c r="V242" s="1">
        <v>0</v>
      </c>
    </row>
    <row r="243" spans="2:22" x14ac:dyDescent="0.15">
      <c r="B243" s="1" t="str">
        <f>"133****7088"</f>
        <v>133****7088</v>
      </c>
      <c r="C243" s="1" t="s">
        <v>249</v>
      </c>
      <c r="D243" s="1" t="str">
        <f t="shared" si="21"/>
        <v>89177328</v>
      </c>
      <c r="E243" s="1" t="s">
        <v>24</v>
      </c>
      <c r="F243" s="1" t="str">
        <f t="shared" si="23"/>
        <v>0010</v>
      </c>
      <c r="G243" s="1" t="str">
        <f>""</f>
        <v/>
      </c>
      <c r="H243" s="1" t="str">
        <f>"0034"</f>
        <v>0034</v>
      </c>
      <c r="I243" s="1" t="s">
        <v>31</v>
      </c>
      <c r="J243" s="1" t="str">
        <f>"01043977568"</f>
        <v>01043977568</v>
      </c>
      <c r="K243" s="1" t="str">
        <f>"2017-04-12 19:43:07"</f>
        <v>2017-04-12 19:43:07</v>
      </c>
      <c r="L243" s="1" t="str">
        <f>"2017-04-12 19:43:18"</f>
        <v>2017-04-12 19:43:18</v>
      </c>
      <c r="M243" s="2">
        <v>4.409722222222222E-3</v>
      </c>
      <c r="N243" s="1" t="s">
        <v>26</v>
      </c>
      <c r="O243" s="1" t="s">
        <v>27</v>
      </c>
      <c r="P243" s="2">
        <v>4.5370370370370365E-3</v>
      </c>
      <c r="Q243" s="1" t="s">
        <v>267</v>
      </c>
      <c r="R243" s="1">
        <v>0</v>
      </c>
      <c r="S243" s="1" t="str">
        <f>""</f>
        <v/>
      </c>
      <c r="T243" s="1" t="s">
        <v>29</v>
      </c>
      <c r="U243" s="1" t="s">
        <v>30</v>
      </c>
      <c r="V243" s="1">
        <v>0</v>
      </c>
    </row>
    <row r="244" spans="2:22" x14ac:dyDescent="0.15">
      <c r="B244" s="1" t="str">
        <f>"139****2253"</f>
        <v>139****2253</v>
      </c>
      <c r="C244" s="1" t="s">
        <v>23</v>
      </c>
      <c r="D244" s="1" t="str">
        <f t="shared" si="21"/>
        <v>89177328</v>
      </c>
      <c r="E244" s="1" t="s">
        <v>24</v>
      </c>
      <c r="F244" s="1" t="str">
        <f t="shared" si="23"/>
        <v>0010</v>
      </c>
      <c r="G244" s="1" t="str">
        <f>""</f>
        <v/>
      </c>
      <c r="H244" s="1" t="str">
        <f>"0031"</f>
        <v>0031</v>
      </c>
      <c r="I244" s="1" t="s">
        <v>95</v>
      </c>
      <c r="J244" s="1" t="str">
        <f>"01043977565"</f>
        <v>01043977565</v>
      </c>
      <c r="K244" s="1" t="str">
        <f>"2017-04-12 18:36:39"</f>
        <v>2017-04-12 18:36:39</v>
      </c>
      <c r="L244" s="1" t="str">
        <f>"-"</f>
        <v>-</v>
      </c>
      <c r="M244" s="2">
        <v>0</v>
      </c>
      <c r="N244" s="1" t="s">
        <v>33</v>
      </c>
      <c r="O244" s="1" t="s">
        <v>34</v>
      </c>
      <c r="P244" s="2">
        <v>2.3148148148148147E-5</v>
      </c>
      <c r="Q244" s="1" t="str">
        <f>""</f>
        <v/>
      </c>
      <c r="R244" s="1">
        <v>0</v>
      </c>
      <c r="S244" s="1" t="str">
        <f>""</f>
        <v/>
      </c>
      <c r="T244" s="1" t="s">
        <v>29</v>
      </c>
      <c r="U244" s="1" t="s">
        <v>30</v>
      </c>
      <c r="V244" s="1">
        <v>0</v>
      </c>
    </row>
    <row r="245" spans="2:22" x14ac:dyDescent="0.15">
      <c r="B245" s="1" t="str">
        <f>"152****5997"</f>
        <v>152****5997</v>
      </c>
      <c r="C245" s="1" t="s">
        <v>23</v>
      </c>
      <c r="D245" s="1" t="str">
        <f t="shared" si="21"/>
        <v>89177328</v>
      </c>
      <c r="E245" s="1" t="s">
        <v>24</v>
      </c>
      <c r="F245" s="1" t="str">
        <f t="shared" si="23"/>
        <v>0010</v>
      </c>
      <c r="G245" s="1" t="str">
        <f>""</f>
        <v/>
      </c>
      <c r="H245" s="1" t="str">
        <f>"0034"</f>
        <v>0034</v>
      </c>
      <c r="I245" s="1" t="s">
        <v>31</v>
      </c>
      <c r="J245" s="1" t="str">
        <f>"01043977568"</f>
        <v>01043977568</v>
      </c>
      <c r="K245" s="1" t="str">
        <f>"2017-04-12 18:28:44"</f>
        <v>2017-04-12 18:28:44</v>
      </c>
      <c r="L245" s="1" t="str">
        <f>"2017-04-12 18:28:55"</f>
        <v>2017-04-12 18:28:55</v>
      </c>
      <c r="M245" s="2">
        <v>1.3287037037037036E-2</v>
      </c>
      <c r="N245" s="1" t="s">
        <v>26</v>
      </c>
      <c r="O245" s="1" t="s">
        <v>27</v>
      </c>
      <c r="P245" s="2">
        <v>1.3414351851851851E-2</v>
      </c>
      <c r="Q245" s="1" t="s">
        <v>268</v>
      </c>
      <c r="R245" s="1">
        <v>0</v>
      </c>
      <c r="S245" s="1" t="str">
        <f>""</f>
        <v/>
      </c>
      <c r="T245" s="1" t="s">
        <v>29</v>
      </c>
      <c r="U245" s="1" t="s">
        <v>30</v>
      </c>
      <c r="V245" s="1">
        <v>0</v>
      </c>
    </row>
    <row r="246" spans="2:22" x14ac:dyDescent="0.15">
      <c r="B246" s="1" t="str">
        <f>"133****1022"</f>
        <v>133****1022</v>
      </c>
      <c r="C246" s="1" t="s">
        <v>269</v>
      </c>
      <c r="D246" s="1" t="str">
        <f t="shared" si="21"/>
        <v>89177328</v>
      </c>
      <c r="E246" s="1" t="s">
        <v>24</v>
      </c>
      <c r="F246" s="1" t="str">
        <f t="shared" si="23"/>
        <v>0010</v>
      </c>
      <c r="G246" s="1" t="str">
        <f>""</f>
        <v/>
      </c>
      <c r="H246" s="1" t="str">
        <f>"0017"</f>
        <v>0017</v>
      </c>
      <c r="I246" s="1" t="s">
        <v>135</v>
      </c>
      <c r="J246" s="1" t="str">
        <f>"01043989717"</f>
        <v>01043989717</v>
      </c>
      <c r="K246" s="1" t="str">
        <f>"2017-04-12 17:51:33"</f>
        <v>2017-04-12 17:51:33</v>
      </c>
      <c r="L246" s="1" t="str">
        <f>"2017-04-12 17:52:05"</f>
        <v>2017-04-12 17:52:05</v>
      </c>
      <c r="M246" s="2">
        <v>1.375E-2</v>
      </c>
      <c r="N246" s="1" t="s">
        <v>26</v>
      </c>
      <c r="O246" s="1" t="s">
        <v>27</v>
      </c>
      <c r="P246" s="2">
        <v>1.4120370370370368E-2</v>
      </c>
      <c r="Q246" s="1" t="s">
        <v>270</v>
      </c>
      <c r="R246" s="1">
        <v>0</v>
      </c>
      <c r="S246" s="1" t="str">
        <f>""</f>
        <v/>
      </c>
      <c r="T246" s="1" t="s">
        <v>29</v>
      </c>
      <c r="U246" s="1" t="s">
        <v>30</v>
      </c>
      <c r="V246" s="1">
        <v>0</v>
      </c>
    </row>
    <row r="247" spans="2:22" x14ac:dyDescent="0.15">
      <c r="B247" s="1" t="str">
        <f>"0513****2205"</f>
        <v>0513****2205</v>
      </c>
      <c r="C247" s="1" t="s">
        <v>271</v>
      </c>
      <c r="D247" s="1" t="str">
        <f>"4000108333"</f>
        <v>4000108333</v>
      </c>
      <c r="E247" s="1" t="s">
        <v>53</v>
      </c>
      <c r="F247" s="1" t="str">
        <f>"0000"</f>
        <v>0000</v>
      </c>
      <c r="G247" s="1" t="str">
        <f>""</f>
        <v/>
      </c>
      <c r="H247" s="1" t="str">
        <f>"1010"</f>
        <v>1010</v>
      </c>
      <c r="I247" s="1" t="s">
        <v>148</v>
      </c>
      <c r="J247" s="1" t="str">
        <f>"13718091869"</f>
        <v>13718091869</v>
      </c>
      <c r="K247" s="1" t="str">
        <f>"2017-04-12 17:43:42"</f>
        <v>2017-04-12 17:43:42</v>
      </c>
      <c r="L247" s="1" t="str">
        <f>"2017-04-12 17:44:17"</f>
        <v>2017-04-12 17:44:17</v>
      </c>
      <c r="M247" s="2">
        <v>2.0138888888888888E-3</v>
      </c>
      <c r="N247" s="1" t="s">
        <v>26</v>
      </c>
      <c r="O247" s="1" t="s">
        <v>34</v>
      </c>
      <c r="P247" s="2">
        <v>2.4189814814814816E-3</v>
      </c>
      <c r="Q247" s="1" t="s">
        <v>272</v>
      </c>
      <c r="R247" s="1">
        <v>0.48</v>
      </c>
      <c r="S247" s="1" t="str">
        <f>""</f>
        <v/>
      </c>
      <c r="T247" s="1" t="s">
        <v>29</v>
      </c>
      <c r="U247" s="1" t="s">
        <v>30</v>
      </c>
      <c r="V247" s="1">
        <v>0</v>
      </c>
    </row>
    <row r="248" spans="2:22" x14ac:dyDescent="0.15">
      <c r="B248" s="1" t="str">
        <f>"150****5278"</f>
        <v>150****5278</v>
      </c>
      <c r="C248" s="1" t="s">
        <v>273</v>
      </c>
      <c r="D248" s="1" t="str">
        <f t="shared" ref="D248:D259" si="24">"89177328"</f>
        <v>89177328</v>
      </c>
      <c r="E248" s="1" t="s">
        <v>24</v>
      </c>
      <c r="F248" s="1" t="str">
        <f t="shared" ref="F248:F259" si="25">"0010"</f>
        <v>0010</v>
      </c>
      <c r="G248" s="1" t="str">
        <f>""</f>
        <v/>
      </c>
      <c r="H248" s="1" t="str">
        <f>"0017"</f>
        <v>0017</v>
      </c>
      <c r="I248" s="1" t="s">
        <v>135</v>
      </c>
      <c r="J248" s="1" t="str">
        <f>"01043989717"</f>
        <v>01043989717</v>
      </c>
      <c r="K248" s="1" t="str">
        <f>"2017-04-12 17:39:25"</f>
        <v>2017-04-12 17:39:25</v>
      </c>
      <c r="L248" s="1" t="str">
        <f>"2017-04-12 17:39:35"</f>
        <v>2017-04-12 17:39:35</v>
      </c>
      <c r="M248" s="2">
        <v>7.0601851851851841E-3</v>
      </c>
      <c r="N248" s="1" t="s">
        <v>26</v>
      </c>
      <c r="O248" s="1" t="s">
        <v>27</v>
      </c>
      <c r="P248" s="2">
        <v>7.1759259259259259E-3</v>
      </c>
      <c r="Q248" s="1" t="s">
        <v>274</v>
      </c>
      <c r="R248" s="1">
        <v>0</v>
      </c>
      <c r="S248" s="1" t="str">
        <f>""</f>
        <v/>
      </c>
      <c r="T248" s="1" t="s">
        <v>29</v>
      </c>
      <c r="U248" s="1" t="s">
        <v>30</v>
      </c>
      <c r="V248" s="1">
        <v>0</v>
      </c>
    </row>
    <row r="249" spans="2:22" x14ac:dyDescent="0.15">
      <c r="B249" s="1" t="str">
        <f>"159****5629"</f>
        <v>159****5629</v>
      </c>
      <c r="C249" s="1" t="s">
        <v>64</v>
      </c>
      <c r="D249" s="1" t="str">
        <f t="shared" si="24"/>
        <v>89177328</v>
      </c>
      <c r="E249" s="1" t="s">
        <v>24</v>
      </c>
      <c r="F249" s="1" t="str">
        <f t="shared" si="25"/>
        <v>0010</v>
      </c>
      <c r="G249" s="1" t="str">
        <f>""</f>
        <v/>
      </c>
      <c r="H249" s="1" t="str">
        <f>"0031"</f>
        <v>0031</v>
      </c>
      <c r="I249" s="1" t="s">
        <v>95</v>
      </c>
      <c r="J249" s="1" t="str">
        <f>"01043977565"</f>
        <v>01043977565</v>
      </c>
      <c r="K249" s="1" t="str">
        <f>"2017-04-12 17:01:25"</f>
        <v>2017-04-12 17:01:25</v>
      </c>
      <c r="L249" s="1" t="str">
        <f>"2017-04-12 17:01:34"</f>
        <v>2017-04-12 17:01:34</v>
      </c>
      <c r="M249" s="2">
        <v>5.6597222222222222E-3</v>
      </c>
      <c r="N249" s="1" t="s">
        <v>26</v>
      </c>
      <c r="O249" s="1" t="s">
        <v>34</v>
      </c>
      <c r="P249" s="2">
        <v>5.7638888888888887E-3</v>
      </c>
      <c r="Q249" s="1" t="s">
        <v>275</v>
      </c>
      <c r="R249" s="1">
        <v>0</v>
      </c>
      <c r="S249" s="1" t="str">
        <f>""</f>
        <v/>
      </c>
      <c r="T249" s="1" t="s">
        <v>29</v>
      </c>
      <c r="U249" s="1" t="s">
        <v>30</v>
      </c>
      <c r="V249" s="1">
        <v>0</v>
      </c>
    </row>
    <row r="250" spans="2:22" x14ac:dyDescent="0.15">
      <c r="B250" s="1" t="str">
        <f>"010****3677"</f>
        <v>010****3677</v>
      </c>
      <c r="C250" s="1" t="s">
        <v>23</v>
      </c>
      <c r="D250" s="1" t="str">
        <f t="shared" si="24"/>
        <v>89177328</v>
      </c>
      <c r="E250" s="1" t="s">
        <v>24</v>
      </c>
      <c r="F250" s="1" t="str">
        <f t="shared" si="25"/>
        <v>0010</v>
      </c>
      <c r="G250" s="1" t="str">
        <f>""</f>
        <v/>
      </c>
      <c r="H250" s="1" t="str">
        <f>"0035"</f>
        <v>0035</v>
      </c>
      <c r="I250" s="1" t="s">
        <v>25</v>
      </c>
      <c r="J250" s="1" t="str">
        <f>"01043977569"</f>
        <v>01043977569</v>
      </c>
      <c r="K250" s="1" t="str">
        <f>"2017-04-12 16:42:06"</f>
        <v>2017-04-12 16:42:06</v>
      </c>
      <c r="L250" s="1" t="str">
        <f>"2017-04-12 16:42:14"</f>
        <v>2017-04-12 16:42:14</v>
      </c>
      <c r="M250" s="2">
        <v>2.1006944444444443E-2</v>
      </c>
      <c r="N250" s="1" t="s">
        <v>26</v>
      </c>
      <c r="O250" s="1" t="s">
        <v>27</v>
      </c>
      <c r="P250" s="2">
        <v>2.1099537037037038E-2</v>
      </c>
      <c r="Q250" s="1" t="s">
        <v>276</v>
      </c>
      <c r="R250" s="1">
        <v>0</v>
      </c>
      <c r="S250" s="1" t="str">
        <f>""</f>
        <v/>
      </c>
      <c r="T250" s="1" t="s">
        <v>29</v>
      </c>
      <c r="U250" s="1" t="s">
        <v>30</v>
      </c>
      <c r="V250" s="1">
        <v>0</v>
      </c>
    </row>
    <row r="251" spans="2:22" x14ac:dyDescent="0.15">
      <c r="B251" s="1" t="str">
        <f>"131****8846"</f>
        <v>131****8846</v>
      </c>
      <c r="C251" s="1" t="s">
        <v>23</v>
      </c>
      <c r="D251" s="1" t="str">
        <f t="shared" si="24"/>
        <v>89177328</v>
      </c>
      <c r="E251" s="1" t="s">
        <v>24</v>
      </c>
      <c r="F251" s="1" t="str">
        <f t="shared" si="25"/>
        <v>0010</v>
      </c>
      <c r="G251" s="1" t="str">
        <f>""</f>
        <v/>
      </c>
      <c r="H251" s="1" t="str">
        <f>"0018"</f>
        <v>0018</v>
      </c>
      <c r="I251" s="1" t="s">
        <v>36</v>
      </c>
      <c r="J251" s="1" t="str">
        <f>"01043977572"</f>
        <v>01043977572</v>
      </c>
      <c r="K251" s="1" t="str">
        <f>"2017-04-12 16:39:28"</f>
        <v>2017-04-12 16:39:28</v>
      </c>
      <c r="L251" s="1" t="str">
        <f>"2017-04-12 16:39:37"</f>
        <v>2017-04-12 16:39:37</v>
      </c>
      <c r="M251" s="2">
        <v>1.1226851851851854E-2</v>
      </c>
      <c r="N251" s="1" t="s">
        <v>26</v>
      </c>
      <c r="O251" s="1" t="s">
        <v>34</v>
      </c>
      <c r="P251" s="2">
        <v>1.1331018518518518E-2</v>
      </c>
      <c r="Q251" s="1" t="s">
        <v>277</v>
      </c>
      <c r="R251" s="1">
        <v>0</v>
      </c>
      <c r="S251" s="1" t="str">
        <f>""</f>
        <v/>
      </c>
      <c r="T251" s="1" t="s">
        <v>29</v>
      </c>
      <c r="U251" s="1" t="s">
        <v>30</v>
      </c>
      <c r="V251" s="1">
        <v>0</v>
      </c>
    </row>
    <row r="252" spans="2:22" x14ac:dyDescent="0.15">
      <c r="B252" s="1" t="str">
        <f>"186****0393"</f>
        <v>186****0393</v>
      </c>
      <c r="C252" s="1" t="s">
        <v>23</v>
      </c>
      <c r="D252" s="1" t="str">
        <f t="shared" si="24"/>
        <v>89177328</v>
      </c>
      <c r="E252" s="1" t="s">
        <v>24</v>
      </c>
      <c r="F252" s="1" t="str">
        <f t="shared" si="25"/>
        <v>0010</v>
      </c>
      <c r="G252" s="1" t="str">
        <f>""</f>
        <v/>
      </c>
      <c r="H252" s="1" t="str">
        <f>"0035"</f>
        <v>0035</v>
      </c>
      <c r="I252" s="1" t="s">
        <v>25</v>
      </c>
      <c r="J252" s="1" t="str">
        <f>"01043977569"</f>
        <v>01043977569</v>
      </c>
      <c r="K252" s="1" t="str">
        <f>"2017-04-12 16:38:32"</f>
        <v>2017-04-12 16:38:32</v>
      </c>
      <c r="L252" s="1" t="str">
        <f>"2017-04-12 16:38:41"</f>
        <v>2017-04-12 16:38:41</v>
      </c>
      <c r="M252" s="2">
        <v>7.7546296296296304E-4</v>
      </c>
      <c r="N252" s="1" t="s">
        <v>26</v>
      </c>
      <c r="O252" s="1" t="s">
        <v>27</v>
      </c>
      <c r="P252" s="2">
        <v>8.7962962962962962E-4</v>
      </c>
      <c r="Q252" s="1" t="s">
        <v>278</v>
      </c>
      <c r="R252" s="1">
        <v>0</v>
      </c>
      <c r="S252" s="1" t="str">
        <f>""</f>
        <v/>
      </c>
      <c r="T252" s="1" t="s">
        <v>29</v>
      </c>
      <c r="U252" s="1" t="s">
        <v>30</v>
      </c>
      <c r="V252" s="1">
        <v>0</v>
      </c>
    </row>
    <row r="253" spans="2:22" x14ac:dyDescent="0.15">
      <c r="B253" s="1" t="str">
        <f>"133****9921"</f>
        <v>133****9921</v>
      </c>
      <c r="C253" s="1" t="s">
        <v>23</v>
      </c>
      <c r="D253" s="1" t="str">
        <f t="shared" si="24"/>
        <v>89177328</v>
      </c>
      <c r="E253" s="1" t="s">
        <v>24</v>
      </c>
      <c r="F253" s="1" t="str">
        <f t="shared" si="25"/>
        <v>0010</v>
      </c>
      <c r="G253" s="1" t="str">
        <f>""</f>
        <v/>
      </c>
      <c r="H253" s="1" t="str">
        <f>"0031"</f>
        <v>0031</v>
      </c>
      <c r="I253" s="1" t="s">
        <v>95</v>
      </c>
      <c r="J253" s="1" t="str">
        <f>"01043977565"</f>
        <v>01043977565</v>
      </c>
      <c r="K253" s="1" t="str">
        <f>"2017-04-12 16:32:11"</f>
        <v>2017-04-12 16:32:11</v>
      </c>
      <c r="L253" s="1" t="str">
        <f>"2017-04-12 16:32:20"</f>
        <v>2017-04-12 16:32:20</v>
      </c>
      <c r="M253" s="2">
        <v>1.6168981481481482E-2</v>
      </c>
      <c r="N253" s="1" t="s">
        <v>26</v>
      </c>
      <c r="O253" s="1" t="s">
        <v>27</v>
      </c>
      <c r="P253" s="2">
        <v>1.6273148148148148E-2</v>
      </c>
      <c r="Q253" s="1" t="s">
        <v>279</v>
      </c>
      <c r="R253" s="1">
        <v>0</v>
      </c>
      <c r="S253" s="1" t="str">
        <f>""</f>
        <v/>
      </c>
      <c r="T253" s="1" t="s">
        <v>29</v>
      </c>
      <c r="U253" s="1" t="s">
        <v>30</v>
      </c>
      <c r="V253" s="1">
        <v>0</v>
      </c>
    </row>
    <row r="254" spans="2:22" x14ac:dyDescent="0.15">
      <c r="B254" s="1" t="str">
        <f>"130****3600"</f>
        <v>130****3600</v>
      </c>
      <c r="C254" s="1" t="s">
        <v>78</v>
      </c>
      <c r="D254" s="1" t="str">
        <f t="shared" si="24"/>
        <v>89177328</v>
      </c>
      <c r="E254" s="1" t="s">
        <v>24</v>
      </c>
      <c r="F254" s="1" t="str">
        <f t="shared" si="25"/>
        <v>0010</v>
      </c>
      <c r="G254" s="1" t="str">
        <f>""</f>
        <v/>
      </c>
      <c r="H254" s="1" t="str">
        <f>"0018"</f>
        <v>0018</v>
      </c>
      <c r="I254" s="1" t="s">
        <v>36</v>
      </c>
      <c r="J254" s="1" t="str">
        <f>"01043977572"</f>
        <v>01043977572</v>
      </c>
      <c r="K254" s="1" t="str">
        <f>"2017-04-12 16:23:13"</f>
        <v>2017-04-12 16:23:13</v>
      </c>
      <c r="L254" s="1" t="str">
        <f>"2017-04-12 16:23:23"</f>
        <v>2017-04-12 16:23:23</v>
      </c>
      <c r="M254" s="2">
        <v>1.0902777777777777E-2</v>
      </c>
      <c r="N254" s="1" t="s">
        <v>26</v>
      </c>
      <c r="O254" s="1" t="s">
        <v>34</v>
      </c>
      <c r="P254" s="2">
        <v>1.1018518518518518E-2</v>
      </c>
      <c r="Q254" s="1" t="s">
        <v>280</v>
      </c>
      <c r="R254" s="1">
        <v>0</v>
      </c>
      <c r="S254" s="1" t="str">
        <f>""</f>
        <v/>
      </c>
      <c r="T254" s="1" t="s">
        <v>29</v>
      </c>
      <c r="U254" s="1" t="s">
        <v>30</v>
      </c>
      <c r="V254" s="1">
        <v>0</v>
      </c>
    </row>
    <row r="255" spans="2:22" x14ac:dyDescent="0.15">
      <c r="B255" s="1" t="str">
        <f>"139****8916"</f>
        <v>139****8916</v>
      </c>
      <c r="C255" s="1" t="s">
        <v>188</v>
      </c>
      <c r="D255" s="1" t="str">
        <f t="shared" si="24"/>
        <v>89177328</v>
      </c>
      <c r="E255" s="1" t="s">
        <v>24</v>
      </c>
      <c r="F255" s="1" t="str">
        <f t="shared" si="25"/>
        <v>0010</v>
      </c>
      <c r="G255" s="1" t="str">
        <f>""</f>
        <v/>
      </c>
      <c r="H255" s="1" t="str">
        <f>"0032"</f>
        <v>0032</v>
      </c>
      <c r="I255" s="1" t="s">
        <v>119</v>
      </c>
      <c r="J255" s="1" t="str">
        <f>"01043977566"</f>
        <v>01043977566</v>
      </c>
      <c r="K255" s="1" t="str">
        <f>"2017-04-12 16:19:56"</f>
        <v>2017-04-12 16:19:56</v>
      </c>
      <c r="L255" s="1" t="str">
        <f>"2017-04-12 16:20:11"</f>
        <v>2017-04-12 16:20:11</v>
      </c>
      <c r="M255" s="2">
        <v>1.6631944444444446E-2</v>
      </c>
      <c r="N255" s="1" t="s">
        <v>26</v>
      </c>
      <c r="O255" s="1" t="s">
        <v>34</v>
      </c>
      <c r="P255" s="2">
        <v>1.6805555555555556E-2</v>
      </c>
      <c r="Q255" s="1" t="s">
        <v>281</v>
      </c>
      <c r="R255" s="1">
        <v>0</v>
      </c>
      <c r="S255" s="1" t="str">
        <f>""</f>
        <v/>
      </c>
      <c r="T255" s="1" t="s">
        <v>29</v>
      </c>
      <c r="U255" s="1" t="s">
        <v>30</v>
      </c>
      <c r="V255" s="1">
        <v>0</v>
      </c>
    </row>
    <row r="256" spans="2:22" x14ac:dyDescent="0.15">
      <c r="B256" s="1" t="str">
        <f>"186****6540"</f>
        <v>186****6540</v>
      </c>
      <c r="C256" s="1" t="s">
        <v>23</v>
      </c>
      <c r="D256" s="1" t="str">
        <f t="shared" si="24"/>
        <v>89177328</v>
      </c>
      <c r="E256" s="1" t="s">
        <v>24</v>
      </c>
      <c r="F256" s="1" t="str">
        <f t="shared" si="25"/>
        <v>0010</v>
      </c>
      <c r="G256" s="1" t="str">
        <f>""</f>
        <v/>
      </c>
      <c r="H256" s="1" t="str">
        <f>"0034"</f>
        <v>0034</v>
      </c>
      <c r="I256" s="1" t="s">
        <v>31</v>
      </c>
      <c r="J256" s="1" t="str">
        <f>"01043977568"</f>
        <v>01043977568</v>
      </c>
      <c r="K256" s="1" t="str">
        <f>"2017-04-12 16:18:46"</f>
        <v>2017-04-12 16:18:46</v>
      </c>
      <c r="L256" s="1" t="str">
        <f>"2017-04-12 16:18:58"</f>
        <v>2017-04-12 16:18:58</v>
      </c>
      <c r="M256" s="2">
        <v>1.5972222222222224E-2</v>
      </c>
      <c r="N256" s="1" t="s">
        <v>26</v>
      </c>
      <c r="O256" s="1" t="s">
        <v>34</v>
      </c>
      <c r="P256" s="2">
        <v>1.6111111111111111E-2</v>
      </c>
      <c r="Q256" s="1" t="s">
        <v>282</v>
      </c>
      <c r="R256" s="1">
        <v>0</v>
      </c>
      <c r="S256" s="1" t="str">
        <f>""</f>
        <v/>
      </c>
      <c r="T256" s="1" t="s">
        <v>29</v>
      </c>
      <c r="U256" s="1" t="s">
        <v>30</v>
      </c>
      <c r="V256" s="1">
        <v>0</v>
      </c>
    </row>
    <row r="257" spans="2:22" x14ac:dyDescent="0.15">
      <c r="B257" s="1" t="str">
        <f>"159****1115"</f>
        <v>159****1115</v>
      </c>
      <c r="C257" s="1" t="s">
        <v>283</v>
      </c>
      <c r="D257" s="1" t="str">
        <f t="shared" si="24"/>
        <v>89177328</v>
      </c>
      <c r="E257" s="1" t="s">
        <v>24</v>
      </c>
      <c r="F257" s="1" t="str">
        <f t="shared" si="25"/>
        <v>0010</v>
      </c>
      <c r="G257" s="1" t="str">
        <f>""</f>
        <v/>
      </c>
      <c r="H257" s="1" t="str">
        <f>"0031"</f>
        <v>0031</v>
      </c>
      <c r="I257" s="1" t="s">
        <v>95</v>
      </c>
      <c r="J257" s="1" t="str">
        <f>"01043977565"</f>
        <v>01043977565</v>
      </c>
      <c r="K257" s="1" t="str">
        <f>"2017-04-12 16:11:41"</f>
        <v>2017-04-12 16:11:41</v>
      </c>
      <c r="L257" s="1" t="str">
        <f>"2017-04-12 16:11:49"</f>
        <v>2017-04-12 16:11:49</v>
      </c>
      <c r="M257" s="2">
        <v>1.0381944444444444E-2</v>
      </c>
      <c r="N257" s="1" t="s">
        <v>26</v>
      </c>
      <c r="O257" s="1" t="s">
        <v>27</v>
      </c>
      <c r="P257" s="2">
        <v>1.0474537037037037E-2</v>
      </c>
      <c r="Q257" s="1" t="s">
        <v>284</v>
      </c>
      <c r="R257" s="1">
        <v>0</v>
      </c>
      <c r="S257" s="1" t="str">
        <f>""</f>
        <v/>
      </c>
      <c r="T257" s="1" t="s">
        <v>29</v>
      </c>
      <c r="U257" s="1" t="s">
        <v>30</v>
      </c>
      <c r="V257" s="1">
        <v>0</v>
      </c>
    </row>
    <row r="258" spans="2:22" x14ac:dyDescent="0.15">
      <c r="B258" s="1" t="str">
        <f>"188****9671"</f>
        <v>188****9671</v>
      </c>
      <c r="C258" s="1" t="s">
        <v>23</v>
      </c>
      <c r="D258" s="1" t="str">
        <f t="shared" si="24"/>
        <v>89177328</v>
      </c>
      <c r="E258" s="1" t="s">
        <v>24</v>
      </c>
      <c r="F258" s="1" t="str">
        <f t="shared" si="25"/>
        <v>0010</v>
      </c>
      <c r="G258" s="1" t="str">
        <f>""</f>
        <v/>
      </c>
      <c r="H258" s="1" t="str">
        <f>"0032"</f>
        <v>0032</v>
      </c>
      <c r="I258" s="1" t="s">
        <v>119</v>
      </c>
      <c r="J258" s="1" t="str">
        <f>"01043977566"</f>
        <v>01043977566</v>
      </c>
      <c r="K258" s="1" t="str">
        <f>"2017-04-12 16:00:44"</f>
        <v>2017-04-12 16:00:44</v>
      </c>
      <c r="L258" s="1" t="str">
        <f>"2017-04-12 16:01:19"</f>
        <v>2017-04-12 16:01:19</v>
      </c>
      <c r="M258" s="2">
        <v>6.3541666666666668E-3</v>
      </c>
      <c r="N258" s="1" t="s">
        <v>26</v>
      </c>
      <c r="O258" s="1" t="s">
        <v>34</v>
      </c>
      <c r="P258" s="2">
        <v>6.7592592592592591E-3</v>
      </c>
      <c r="Q258" s="1" t="s">
        <v>285</v>
      </c>
      <c r="R258" s="1">
        <v>0</v>
      </c>
      <c r="S258" s="1" t="str">
        <f>""</f>
        <v/>
      </c>
      <c r="T258" s="1" t="s">
        <v>29</v>
      </c>
      <c r="U258" s="1" t="s">
        <v>30</v>
      </c>
      <c r="V258" s="1">
        <v>0</v>
      </c>
    </row>
    <row r="259" spans="2:22" x14ac:dyDescent="0.15">
      <c r="B259" s="1" t="str">
        <f>"134****9816"</f>
        <v>134****9816</v>
      </c>
      <c r="C259" s="1" t="s">
        <v>23</v>
      </c>
      <c r="D259" s="1" t="str">
        <f t="shared" si="24"/>
        <v>89177328</v>
      </c>
      <c r="E259" s="1" t="s">
        <v>24</v>
      </c>
      <c r="F259" s="1" t="str">
        <f t="shared" si="25"/>
        <v>0010</v>
      </c>
      <c r="G259" s="1" t="str">
        <f>""</f>
        <v/>
      </c>
      <c r="H259" s="1" t="str">
        <f>"0034"</f>
        <v>0034</v>
      </c>
      <c r="I259" s="1" t="s">
        <v>31</v>
      </c>
      <c r="J259" s="1" t="str">
        <f>"01043977568"</f>
        <v>01043977568</v>
      </c>
      <c r="K259" s="1" t="str">
        <f>"2017-04-12 16:00:04"</f>
        <v>2017-04-12 16:00:04</v>
      </c>
      <c r="L259" s="1" t="str">
        <f>"2017-04-12 16:00:13"</f>
        <v>2017-04-12 16:00:13</v>
      </c>
      <c r="M259" s="2">
        <v>3.9583333333333337E-3</v>
      </c>
      <c r="N259" s="1" t="s">
        <v>26</v>
      </c>
      <c r="O259" s="1" t="s">
        <v>34</v>
      </c>
      <c r="P259" s="2">
        <v>4.0624999999999993E-3</v>
      </c>
      <c r="Q259" s="1" t="s">
        <v>286</v>
      </c>
      <c r="R259" s="1">
        <v>0</v>
      </c>
      <c r="S259" s="1" t="str">
        <f>""</f>
        <v/>
      </c>
      <c r="T259" s="1" t="s">
        <v>29</v>
      </c>
      <c r="U259" s="1" t="s">
        <v>30</v>
      </c>
      <c r="V259" s="1">
        <v>0</v>
      </c>
    </row>
    <row r="260" spans="2:22" x14ac:dyDescent="0.15">
      <c r="B260" s="1" t="str">
        <f>"135****4262"</f>
        <v>135****4262</v>
      </c>
      <c r="C260" s="1" t="s">
        <v>51</v>
      </c>
      <c r="D260" s="1" t="str">
        <f>"4000108333"</f>
        <v>4000108333</v>
      </c>
      <c r="E260" s="1" t="s">
        <v>53</v>
      </c>
      <c r="F260" s="1" t="str">
        <f>"0000"</f>
        <v>0000</v>
      </c>
      <c r="G260" s="1" t="str">
        <f>""</f>
        <v/>
      </c>
      <c r="H260" s="1" t="str">
        <f>"1010"</f>
        <v>1010</v>
      </c>
      <c r="I260" s="1" t="s">
        <v>148</v>
      </c>
      <c r="J260" s="1" t="str">
        <f>"13718091869"</f>
        <v>13718091869</v>
      </c>
      <c r="K260" s="1" t="str">
        <f>"2017-04-12 15:48:57"</f>
        <v>2017-04-12 15:48:57</v>
      </c>
      <c r="L260" s="1" t="str">
        <f>"2017-04-12 15:49:36"</f>
        <v>2017-04-12 15:49:36</v>
      </c>
      <c r="M260" s="2">
        <v>1.2824074074074073E-2</v>
      </c>
      <c r="N260" s="1" t="s">
        <v>26</v>
      </c>
      <c r="O260" s="1" t="s">
        <v>27</v>
      </c>
      <c r="P260" s="2">
        <v>1.3275462962962963E-2</v>
      </c>
      <c r="Q260" s="1" t="s">
        <v>287</v>
      </c>
      <c r="R260" s="1">
        <v>2.4</v>
      </c>
      <c r="S260" s="1" t="str">
        <f>""</f>
        <v/>
      </c>
      <c r="T260" s="1" t="s">
        <v>29</v>
      </c>
      <c r="U260" s="1" t="s">
        <v>30</v>
      </c>
      <c r="V260" s="1">
        <v>0</v>
      </c>
    </row>
    <row r="261" spans="2:22" x14ac:dyDescent="0.15">
      <c r="B261" s="1" t="str">
        <f>"137****1345"</f>
        <v>137****1345</v>
      </c>
      <c r="C261" s="1" t="s">
        <v>23</v>
      </c>
      <c r="D261" s="1" t="str">
        <f t="shared" ref="D261:D279" si="26">"89177328"</f>
        <v>89177328</v>
      </c>
      <c r="E261" s="1" t="s">
        <v>24</v>
      </c>
      <c r="F261" s="1" t="str">
        <f t="shared" ref="F261:F279" si="27">"0010"</f>
        <v>0010</v>
      </c>
      <c r="G261" s="1" t="str">
        <f>""</f>
        <v/>
      </c>
      <c r="H261" s="1" t="str">
        <f>"0034"</f>
        <v>0034</v>
      </c>
      <c r="I261" s="1" t="s">
        <v>31</v>
      </c>
      <c r="J261" s="1" t="str">
        <f>"01043977568"</f>
        <v>01043977568</v>
      </c>
      <c r="K261" s="1" t="str">
        <f>"2017-04-12 15:47:33"</f>
        <v>2017-04-12 15:47:33</v>
      </c>
      <c r="L261" s="1" t="str">
        <f>"2017-04-12 15:47:45"</f>
        <v>2017-04-12 15:47:45</v>
      </c>
      <c r="M261" s="2">
        <v>3.7500000000000003E-3</v>
      </c>
      <c r="N261" s="1" t="s">
        <v>26</v>
      </c>
      <c r="O261" s="1" t="s">
        <v>27</v>
      </c>
      <c r="P261" s="2">
        <v>3.8888888888888883E-3</v>
      </c>
      <c r="Q261" s="1" t="s">
        <v>288</v>
      </c>
      <c r="R261" s="1">
        <v>0</v>
      </c>
      <c r="S261" s="1" t="str">
        <f>""</f>
        <v/>
      </c>
      <c r="T261" s="1" t="s">
        <v>29</v>
      </c>
      <c r="U261" s="1" t="s">
        <v>30</v>
      </c>
      <c r="V261" s="1">
        <v>0</v>
      </c>
    </row>
    <row r="262" spans="2:22" x14ac:dyDescent="0.15">
      <c r="B262" s="1" t="str">
        <f>"138****5973"</f>
        <v>138****5973</v>
      </c>
      <c r="C262" s="1" t="s">
        <v>23</v>
      </c>
      <c r="D262" s="1" t="str">
        <f t="shared" si="26"/>
        <v>89177328</v>
      </c>
      <c r="E262" s="1" t="s">
        <v>24</v>
      </c>
      <c r="F262" s="1" t="str">
        <f t="shared" si="27"/>
        <v>0010</v>
      </c>
      <c r="G262" s="1" t="str">
        <f>""</f>
        <v/>
      </c>
      <c r="H262" s="1" t="str">
        <f>"0018"</f>
        <v>0018</v>
      </c>
      <c r="I262" s="1" t="s">
        <v>36</v>
      </c>
      <c r="J262" s="1" t="str">
        <f>"01043977572"</f>
        <v>01043977572</v>
      </c>
      <c r="K262" s="1" t="str">
        <f>"2017-04-12 15:31:42"</f>
        <v>2017-04-12 15:31:42</v>
      </c>
      <c r="L262" s="1" t="str">
        <f>"2017-04-12 15:31:54"</f>
        <v>2017-04-12 15:31:54</v>
      </c>
      <c r="M262" s="2">
        <v>5.1273148148148146E-3</v>
      </c>
      <c r="N262" s="1" t="s">
        <v>26</v>
      </c>
      <c r="O262" s="1" t="s">
        <v>34</v>
      </c>
      <c r="P262" s="2">
        <v>5.2662037037037035E-3</v>
      </c>
      <c r="Q262" s="1" t="s">
        <v>289</v>
      </c>
      <c r="R262" s="1">
        <v>0</v>
      </c>
      <c r="S262" s="1" t="str">
        <f>""</f>
        <v/>
      </c>
      <c r="T262" s="1" t="s">
        <v>29</v>
      </c>
      <c r="U262" s="1" t="s">
        <v>30</v>
      </c>
      <c r="V262" s="1">
        <v>0</v>
      </c>
    </row>
    <row r="263" spans="2:22" x14ac:dyDescent="0.15">
      <c r="B263" s="1" t="str">
        <f>"9152****8801"</f>
        <v>9152****8801</v>
      </c>
      <c r="C263" s="1" t="s">
        <v>159</v>
      </c>
      <c r="D263" s="1" t="str">
        <f t="shared" si="26"/>
        <v>89177328</v>
      </c>
      <c r="E263" s="1" t="s">
        <v>24</v>
      </c>
      <c r="F263" s="1" t="str">
        <f t="shared" si="27"/>
        <v>0010</v>
      </c>
      <c r="G263" s="1" t="str">
        <f>""</f>
        <v/>
      </c>
      <c r="H263" s="1" t="str">
        <f>"0034"</f>
        <v>0034</v>
      </c>
      <c r="I263" s="1" t="s">
        <v>31</v>
      </c>
      <c r="J263" s="1" t="str">
        <f>"01043977568"</f>
        <v>01043977568</v>
      </c>
      <c r="K263" s="1" t="str">
        <f>"2017-04-12 15:31:08"</f>
        <v>2017-04-12 15:31:08</v>
      </c>
      <c r="L263" s="1" t="str">
        <f>"2017-04-12 15:31:18"</f>
        <v>2017-04-12 15:31:18</v>
      </c>
      <c r="M263" s="2">
        <v>2.3842592592592591E-3</v>
      </c>
      <c r="N263" s="1" t="s">
        <v>26</v>
      </c>
      <c r="O263" s="1" t="s">
        <v>27</v>
      </c>
      <c r="P263" s="2">
        <v>2.5000000000000001E-3</v>
      </c>
      <c r="Q263" s="1" t="s">
        <v>290</v>
      </c>
      <c r="R263" s="1">
        <v>0</v>
      </c>
      <c r="S263" s="1" t="str">
        <f>""</f>
        <v/>
      </c>
      <c r="T263" s="1" t="s">
        <v>29</v>
      </c>
      <c r="U263" s="1" t="s">
        <v>30</v>
      </c>
      <c r="V263" s="1">
        <v>0</v>
      </c>
    </row>
    <row r="264" spans="2:22" x14ac:dyDescent="0.15">
      <c r="B264" s="1" t="str">
        <f>"133****9597"</f>
        <v>133****9597</v>
      </c>
      <c r="C264" s="1" t="s">
        <v>23</v>
      </c>
      <c r="D264" s="1" t="str">
        <f t="shared" si="26"/>
        <v>89177328</v>
      </c>
      <c r="E264" s="1" t="s">
        <v>24</v>
      </c>
      <c r="F264" s="1" t="str">
        <f t="shared" si="27"/>
        <v>0010</v>
      </c>
      <c r="G264" s="1" t="str">
        <f>""</f>
        <v/>
      </c>
      <c r="H264" s="1" t="str">
        <f>"0017"</f>
        <v>0017</v>
      </c>
      <c r="I264" s="1" t="s">
        <v>135</v>
      </c>
      <c r="J264" s="1" t="str">
        <f>"01043989717"</f>
        <v>01043989717</v>
      </c>
      <c r="K264" s="1" t="str">
        <f>"2017-04-12 15:14:36"</f>
        <v>2017-04-12 15:14:36</v>
      </c>
      <c r="L264" s="1" t="str">
        <f t="shared" ref="L264:L275" si="28">"-"</f>
        <v>-</v>
      </c>
      <c r="M264" s="2">
        <v>0</v>
      </c>
      <c r="N264" s="1" t="s">
        <v>33</v>
      </c>
      <c r="O264" s="1" t="s">
        <v>34</v>
      </c>
      <c r="P264" s="2">
        <v>1.1574074074074073E-5</v>
      </c>
      <c r="Q264" s="1" t="str">
        <f>""</f>
        <v/>
      </c>
      <c r="R264" s="1">
        <v>0</v>
      </c>
      <c r="S264" s="1" t="str">
        <f>""</f>
        <v/>
      </c>
      <c r="T264" s="1" t="s">
        <v>29</v>
      </c>
      <c r="U264" s="1" t="s">
        <v>30</v>
      </c>
      <c r="V264" s="1">
        <v>0</v>
      </c>
    </row>
    <row r="265" spans="2:22" x14ac:dyDescent="0.15">
      <c r="B265" s="1" t="str">
        <f>"183****4280"</f>
        <v>183****4280</v>
      </c>
      <c r="C265" s="1" t="s">
        <v>23</v>
      </c>
      <c r="D265" s="1" t="str">
        <f t="shared" si="26"/>
        <v>89177328</v>
      </c>
      <c r="E265" s="1" t="s">
        <v>24</v>
      </c>
      <c r="F265" s="1" t="str">
        <f t="shared" si="27"/>
        <v>0010</v>
      </c>
      <c r="G265" s="1" t="str">
        <f>""</f>
        <v/>
      </c>
      <c r="H265" s="1" t="str">
        <f t="shared" ref="H265:H270" si="29">"0032"</f>
        <v>0032</v>
      </c>
      <c r="I265" s="1" t="s">
        <v>119</v>
      </c>
      <c r="J265" s="1" t="str">
        <f t="shared" ref="J265:J270" si="30">"01043977566"</f>
        <v>01043977566</v>
      </c>
      <c r="K265" s="1" t="str">
        <f>"2017-04-12 15:13:12"</f>
        <v>2017-04-12 15:13:12</v>
      </c>
      <c r="L265" s="1" t="str">
        <f t="shared" si="28"/>
        <v>-</v>
      </c>
      <c r="M265" s="2">
        <v>0</v>
      </c>
      <c r="N265" s="1" t="s">
        <v>33</v>
      </c>
      <c r="O265" s="1" t="s">
        <v>34</v>
      </c>
      <c r="P265" s="2">
        <v>6.9444444444444444E-5</v>
      </c>
      <c r="Q265" s="1" t="str">
        <f>""</f>
        <v/>
      </c>
      <c r="R265" s="1">
        <v>0</v>
      </c>
      <c r="S265" s="1" t="str">
        <f>""</f>
        <v/>
      </c>
      <c r="T265" s="1" t="s">
        <v>29</v>
      </c>
      <c r="U265" s="1" t="s">
        <v>30</v>
      </c>
      <c r="V265" s="1">
        <v>0</v>
      </c>
    </row>
    <row r="266" spans="2:22" x14ac:dyDescent="0.15">
      <c r="B266" s="1" t="str">
        <f>"133****9597"</f>
        <v>133****9597</v>
      </c>
      <c r="C266" s="1" t="s">
        <v>23</v>
      </c>
      <c r="D266" s="1" t="str">
        <f t="shared" si="26"/>
        <v>89177328</v>
      </c>
      <c r="E266" s="1" t="s">
        <v>24</v>
      </c>
      <c r="F266" s="1" t="str">
        <f t="shared" si="27"/>
        <v>0010</v>
      </c>
      <c r="G266" s="1" t="str">
        <f>""</f>
        <v/>
      </c>
      <c r="H266" s="1" t="str">
        <f t="shared" si="29"/>
        <v>0032</v>
      </c>
      <c r="I266" s="1" t="s">
        <v>119</v>
      </c>
      <c r="J266" s="1" t="str">
        <f t="shared" si="30"/>
        <v>01043977566</v>
      </c>
      <c r="K266" s="1" t="str">
        <f>"2017-04-12 15:11:48"</f>
        <v>2017-04-12 15:11:48</v>
      </c>
      <c r="L266" s="1" t="str">
        <f t="shared" si="28"/>
        <v>-</v>
      </c>
      <c r="M266" s="2">
        <v>0</v>
      </c>
      <c r="N266" s="1" t="s">
        <v>33</v>
      </c>
      <c r="O266" s="1" t="s">
        <v>34</v>
      </c>
      <c r="P266" s="2">
        <v>4.6296296296296294E-5</v>
      </c>
      <c r="Q266" s="1" t="str">
        <f>""</f>
        <v/>
      </c>
      <c r="R266" s="1">
        <v>0</v>
      </c>
      <c r="S266" s="1" t="str">
        <f>""</f>
        <v/>
      </c>
      <c r="T266" s="1" t="s">
        <v>29</v>
      </c>
      <c r="U266" s="1" t="s">
        <v>30</v>
      </c>
      <c r="V266" s="1">
        <v>0</v>
      </c>
    </row>
    <row r="267" spans="2:22" x14ac:dyDescent="0.15">
      <c r="B267" s="1" t="str">
        <f>"176****5270"</f>
        <v>176****5270</v>
      </c>
      <c r="C267" s="1" t="s">
        <v>23</v>
      </c>
      <c r="D267" s="1" t="str">
        <f t="shared" si="26"/>
        <v>89177328</v>
      </c>
      <c r="E267" s="1" t="s">
        <v>24</v>
      </c>
      <c r="F267" s="1" t="str">
        <f t="shared" si="27"/>
        <v>0010</v>
      </c>
      <c r="G267" s="1" t="str">
        <f>""</f>
        <v/>
      </c>
      <c r="H267" s="1" t="str">
        <f t="shared" si="29"/>
        <v>0032</v>
      </c>
      <c r="I267" s="1" t="s">
        <v>119</v>
      </c>
      <c r="J267" s="1" t="str">
        <f t="shared" si="30"/>
        <v>01043977566</v>
      </c>
      <c r="K267" s="1" t="str">
        <f>"2017-04-12 15:10:11"</f>
        <v>2017-04-12 15:10:11</v>
      </c>
      <c r="L267" s="1" t="str">
        <f t="shared" si="28"/>
        <v>-</v>
      </c>
      <c r="M267" s="2">
        <v>0</v>
      </c>
      <c r="N267" s="1" t="s">
        <v>33</v>
      </c>
      <c r="O267" s="1" t="s">
        <v>34</v>
      </c>
      <c r="P267" s="2">
        <v>5.7870370370370366E-5</v>
      </c>
      <c r="Q267" s="1" t="str">
        <f>""</f>
        <v/>
      </c>
      <c r="R267" s="1">
        <v>0</v>
      </c>
      <c r="S267" s="1" t="str">
        <f>""</f>
        <v/>
      </c>
      <c r="T267" s="1" t="s">
        <v>29</v>
      </c>
      <c r="U267" s="1" t="s">
        <v>30</v>
      </c>
      <c r="V267" s="1">
        <v>0</v>
      </c>
    </row>
    <row r="268" spans="2:22" x14ac:dyDescent="0.15">
      <c r="B268" s="1" t="str">
        <f>"186****0604"</f>
        <v>186****0604</v>
      </c>
      <c r="C268" s="1" t="s">
        <v>23</v>
      </c>
      <c r="D268" s="1" t="str">
        <f t="shared" si="26"/>
        <v>89177328</v>
      </c>
      <c r="E268" s="1" t="s">
        <v>24</v>
      </c>
      <c r="F268" s="1" t="str">
        <f t="shared" si="27"/>
        <v>0010</v>
      </c>
      <c r="G268" s="1" t="str">
        <f>""</f>
        <v/>
      </c>
      <c r="H268" s="1" t="str">
        <f t="shared" si="29"/>
        <v>0032</v>
      </c>
      <c r="I268" s="1" t="s">
        <v>119</v>
      </c>
      <c r="J268" s="1" t="str">
        <f t="shared" si="30"/>
        <v>01043977566</v>
      </c>
      <c r="K268" s="1" t="str">
        <f>"2017-04-12 15:09:07"</f>
        <v>2017-04-12 15:09:07</v>
      </c>
      <c r="L268" s="1" t="str">
        <f t="shared" si="28"/>
        <v>-</v>
      </c>
      <c r="M268" s="2">
        <v>0</v>
      </c>
      <c r="N268" s="1" t="s">
        <v>33</v>
      </c>
      <c r="O268" s="1" t="s">
        <v>34</v>
      </c>
      <c r="P268" s="2">
        <v>6.9444444444444444E-5</v>
      </c>
      <c r="Q268" s="1" t="str">
        <f>""</f>
        <v/>
      </c>
      <c r="R268" s="1">
        <v>0</v>
      </c>
      <c r="S268" s="1" t="str">
        <f>""</f>
        <v/>
      </c>
      <c r="T268" s="1" t="s">
        <v>29</v>
      </c>
      <c r="U268" s="1" t="s">
        <v>30</v>
      </c>
      <c r="V268" s="1">
        <v>0</v>
      </c>
    </row>
    <row r="269" spans="2:22" x14ac:dyDescent="0.15">
      <c r="B269" s="1" t="str">
        <f>"130****5656"</f>
        <v>130****5656</v>
      </c>
      <c r="C269" s="1" t="s">
        <v>112</v>
      </c>
      <c r="D269" s="1" t="str">
        <f t="shared" si="26"/>
        <v>89177328</v>
      </c>
      <c r="E269" s="1" t="s">
        <v>24</v>
      </c>
      <c r="F269" s="1" t="str">
        <f t="shared" si="27"/>
        <v>0010</v>
      </c>
      <c r="G269" s="1" t="str">
        <f>""</f>
        <v/>
      </c>
      <c r="H269" s="1" t="str">
        <f t="shared" si="29"/>
        <v>0032</v>
      </c>
      <c r="I269" s="1" t="s">
        <v>119</v>
      </c>
      <c r="J269" s="1" t="str">
        <f t="shared" si="30"/>
        <v>01043977566</v>
      </c>
      <c r="K269" s="1" t="str">
        <f>"2017-04-12 15:08:57"</f>
        <v>2017-04-12 15:08:57</v>
      </c>
      <c r="L269" s="1" t="str">
        <f t="shared" si="28"/>
        <v>-</v>
      </c>
      <c r="M269" s="2">
        <v>0</v>
      </c>
      <c r="N269" s="1" t="s">
        <v>33</v>
      </c>
      <c r="O269" s="1" t="s">
        <v>34</v>
      </c>
      <c r="P269" s="2">
        <v>6.9444444444444444E-5</v>
      </c>
      <c r="Q269" s="1" t="str">
        <f>""</f>
        <v/>
      </c>
      <c r="R269" s="1">
        <v>0</v>
      </c>
      <c r="S269" s="1" t="str">
        <f>""</f>
        <v/>
      </c>
      <c r="T269" s="1" t="s">
        <v>29</v>
      </c>
      <c r="U269" s="1" t="s">
        <v>30</v>
      </c>
      <c r="V269" s="1">
        <v>0</v>
      </c>
    </row>
    <row r="270" spans="2:22" x14ac:dyDescent="0.15">
      <c r="B270" s="1" t="str">
        <f>"176****5270"</f>
        <v>176****5270</v>
      </c>
      <c r="C270" s="1" t="s">
        <v>23</v>
      </c>
      <c r="D270" s="1" t="str">
        <f t="shared" si="26"/>
        <v>89177328</v>
      </c>
      <c r="E270" s="1" t="s">
        <v>24</v>
      </c>
      <c r="F270" s="1" t="str">
        <f t="shared" si="27"/>
        <v>0010</v>
      </c>
      <c r="G270" s="1" t="str">
        <f>""</f>
        <v/>
      </c>
      <c r="H270" s="1" t="str">
        <f t="shared" si="29"/>
        <v>0032</v>
      </c>
      <c r="I270" s="1" t="s">
        <v>119</v>
      </c>
      <c r="J270" s="1" t="str">
        <f t="shared" si="30"/>
        <v>01043977566</v>
      </c>
      <c r="K270" s="1" t="str">
        <f>"2017-04-12 15:08:16"</f>
        <v>2017-04-12 15:08:16</v>
      </c>
      <c r="L270" s="1" t="str">
        <f t="shared" si="28"/>
        <v>-</v>
      </c>
      <c r="M270" s="2">
        <v>0</v>
      </c>
      <c r="N270" s="1" t="s">
        <v>33</v>
      </c>
      <c r="O270" s="1" t="s">
        <v>34</v>
      </c>
      <c r="P270" s="2">
        <v>6.9444444444444444E-5</v>
      </c>
      <c r="Q270" s="1" t="str">
        <f>""</f>
        <v/>
      </c>
      <c r="R270" s="1">
        <v>0</v>
      </c>
      <c r="S270" s="1" t="str">
        <f>""</f>
        <v/>
      </c>
      <c r="T270" s="1" t="s">
        <v>29</v>
      </c>
      <c r="U270" s="1" t="s">
        <v>30</v>
      </c>
      <c r="V270" s="1">
        <v>0</v>
      </c>
    </row>
    <row r="271" spans="2:22" x14ac:dyDescent="0.15">
      <c r="B271" s="1" t="str">
        <f>"133****9597"</f>
        <v>133****9597</v>
      </c>
      <c r="C271" s="1" t="s">
        <v>23</v>
      </c>
      <c r="D271" s="1" t="str">
        <f t="shared" si="26"/>
        <v>89177328</v>
      </c>
      <c r="E271" s="1" t="s">
        <v>24</v>
      </c>
      <c r="F271" s="1" t="str">
        <f t="shared" si="27"/>
        <v>0010</v>
      </c>
      <c r="G271" s="1" t="str">
        <f>""</f>
        <v/>
      </c>
      <c r="H271" s="1" t="str">
        <f>"0017"</f>
        <v>0017</v>
      </c>
      <c r="I271" s="1" t="s">
        <v>135</v>
      </c>
      <c r="J271" s="1" t="str">
        <f>"01043989717"</f>
        <v>01043989717</v>
      </c>
      <c r="K271" s="1" t="str">
        <f>"2017-04-12 15:07:52"</f>
        <v>2017-04-12 15:07:52</v>
      </c>
      <c r="L271" s="1" t="str">
        <f t="shared" si="28"/>
        <v>-</v>
      </c>
      <c r="M271" s="2">
        <v>0</v>
      </c>
      <c r="N271" s="1" t="s">
        <v>33</v>
      </c>
      <c r="O271" s="1" t="s">
        <v>34</v>
      </c>
      <c r="P271" s="2">
        <v>5.7870370370370366E-5</v>
      </c>
      <c r="Q271" s="1" t="str">
        <f>""</f>
        <v/>
      </c>
      <c r="R271" s="1">
        <v>0</v>
      </c>
      <c r="S271" s="1" t="str">
        <f>""</f>
        <v/>
      </c>
      <c r="T271" s="1" t="s">
        <v>29</v>
      </c>
      <c r="U271" s="1" t="s">
        <v>30</v>
      </c>
      <c r="V271" s="1">
        <v>0</v>
      </c>
    </row>
    <row r="272" spans="2:22" x14ac:dyDescent="0.15">
      <c r="B272" s="1" t="str">
        <f>"186****0604"</f>
        <v>186****0604</v>
      </c>
      <c r="C272" s="1" t="s">
        <v>23</v>
      </c>
      <c r="D272" s="1" t="str">
        <f t="shared" si="26"/>
        <v>89177328</v>
      </c>
      <c r="E272" s="1" t="s">
        <v>24</v>
      </c>
      <c r="F272" s="1" t="str">
        <f t="shared" si="27"/>
        <v>0010</v>
      </c>
      <c r="G272" s="1" t="str">
        <f>""</f>
        <v/>
      </c>
      <c r="H272" s="1" t="str">
        <f>"0017"</f>
        <v>0017</v>
      </c>
      <c r="I272" s="1" t="s">
        <v>135</v>
      </c>
      <c r="J272" s="1" t="str">
        <f>"01043989717"</f>
        <v>01043989717</v>
      </c>
      <c r="K272" s="1" t="str">
        <f>"2017-04-12 15:06:23"</f>
        <v>2017-04-12 15:06:23</v>
      </c>
      <c r="L272" s="1" t="str">
        <f t="shared" si="28"/>
        <v>-</v>
      </c>
      <c r="M272" s="2">
        <v>0</v>
      </c>
      <c r="N272" s="1" t="s">
        <v>33</v>
      </c>
      <c r="O272" s="1" t="s">
        <v>34</v>
      </c>
      <c r="P272" s="2">
        <v>6.9444444444444444E-5</v>
      </c>
      <c r="Q272" s="1" t="str">
        <f>""</f>
        <v/>
      </c>
      <c r="R272" s="1">
        <v>0</v>
      </c>
      <c r="S272" s="1" t="str">
        <f>""</f>
        <v/>
      </c>
      <c r="T272" s="1" t="s">
        <v>29</v>
      </c>
      <c r="U272" s="1" t="s">
        <v>30</v>
      </c>
      <c r="V272" s="1">
        <v>0</v>
      </c>
    </row>
    <row r="273" spans="2:22" x14ac:dyDescent="0.15">
      <c r="B273" s="1" t="str">
        <f>"130****5656"</f>
        <v>130****5656</v>
      </c>
      <c r="C273" s="1" t="s">
        <v>112</v>
      </c>
      <c r="D273" s="1" t="str">
        <f t="shared" si="26"/>
        <v>89177328</v>
      </c>
      <c r="E273" s="1" t="s">
        <v>24</v>
      </c>
      <c r="F273" s="1" t="str">
        <f t="shared" si="27"/>
        <v>0010</v>
      </c>
      <c r="G273" s="1" t="str">
        <f>""</f>
        <v/>
      </c>
      <c r="H273" s="1" t="str">
        <f>"0017"</f>
        <v>0017</v>
      </c>
      <c r="I273" s="1" t="s">
        <v>135</v>
      </c>
      <c r="J273" s="1" t="str">
        <f>"01043989717"</f>
        <v>01043989717</v>
      </c>
      <c r="K273" s="1" t="str">
        <f>"2017-04-12 15:05:43"</f>
        <v>2017-04-12 15:05:43</v>
      </c>
      <c r="L273" s="1" t="str">
        <f t="shared" si="28"/>
        <v>-</v>
      </c>
      <c r="M273" s="2">
        <v>0</v>
      </c>
      <c r="N273" s="1" t="s">
        <v>33</v>
      </c>
      <c r="O273" s="1" t="s">
        <v>34</v>
      </c>
      <c r="P273" s="2">
        <v>3.4722222222222222E-5</v>
      </c>
      <c r="Q273" s="1" t="str">
        <f>""</f>
        <v/>
      </c>
      <c r="R273" s="1">
        <v>0</v>
      </c>
      <c r="S273" s="1" t="str">
        <f>""</f>
        <v/>
      </c>
      <c r="T273" s="1" t="s">
        <v>29</v>
      </c>
      <c r="U273" s="1" t="s">
        <v>30</v>
      </c>
      <c r="V273" s="1">
        <v>0</v>
      </c>
    </row>
    <row r="274" spans="2:22" x14ac:dyDescent="0.15">
      <c r="B274" s="1" t="str">
        <f>"176****5270"</f>
        <v>176****5270</v>
      </c>
      <c r="C274" s="1" t="s">
        <v>23</v>
      </c>
      <c r="D274" s="1" t="str">
        <f t="shared" si="26"/>
        <v>89177328</v>
      </c>
      <c r="E274" s="1" t="s">
        <v>24</v>
      </c>
      <c r="F274" s="1" t="str">
        <f t="shared" si="27"/>
        <v>0010</v>
      </c>
      <c r="G274" s="1" t="str">
        <f>""</f>
        <v/>
      </c>
      <c r="H274" s="1" t="str">
        <f>"0017"</f>
        <v>0017</v>
      </c>
      <c r="I274" s="1" t="s">
        <v>135</v>
      </c>
      <c r="J274" s="1" t="str">
        <f>"01043989717"</f>
        <v>01043989717</v>
      </c>
      <c r="K274" s="1" t="str">
        <f>"2017-04-12 15:05:20"</f>
        <v>2017-04-12 15:05:20</v>
      </c>
      <c r="L274" s="1" t="str">
        <f t="shared" si="28"/>
        <v>-</v>
      </c>
      <c r="M274" s="2">
        <v>0</v>
      </c>
      <c r="N274" s="1" t="s">
        <v>33</v>
      </c>
      <c r="O274" s="1" t="s">
        <v>34</v>
      </c>
      <c r="P274" s="2">
        <v>5.7870370370370366E-5</v>
      </c>
      <c r="Q274" s="1" t="str">
        <f>""</f>
        <v/>
      </c>
      <c r="R274" s="1">
        <v>0</v>
      </c>
      <c r="S274" s="1" t="str">
        <f>""</f>
        <v/>
      </c>
      <c r="T274" s="1" t="s">
        <v>29</v>
      </c>
      <c r="U274" s="1" t="s">
        <v>30</v>
      </c>
      <c r="V274" s="1">
        <v>0</v>
      </c>
    </row>
    <row r="275" spans="2:22" x14ac:dyDescent="0.15">
      <c r="B275" s="1" t="str">
        <f>"130****5656"</f>
        <v>130****5656</v>
      </c>
      <c r="C275" s="1" t="s">
        <v>112</v>
      </c>
      <c r="D275" s="1" t="str">
        <f t="shared" si="26"/>
        <v>89177328</v>
      </c>
      <c r="E275" s="1" t="s">
        <v>24</v>
      </c>
      <c r="F275" s="1" t="str">
        <f t="shared" si="27"/>
        <v>0010</v>
      </c>
      <c r="G275" s="1" t="str">
        <f>""</f>
        <v/>
      </c>
      <c r="H275" s="1" t="str">
        <f>"0017"</f>
        <v>0017</v>
      </c>
      <c r="I275" s="1" t="s">
        <v>135</v>
      </c>
      <c r="J275" s="1" t="str">
        <f>"01043989717"</f>
        <v>01043989717</v>
      </c>
      <c r="K275" s="1" t="str">
        <f>"2017-04-12 15:02:24"</f>
        <v>2017-04-12 15:02:24</v>
      </c>
      <c r="L275" s="1" t="str">
        <f t="shared" si="28"/>
        <v>-</v>
      </c>
      <c r="M275" s="2">
        <v>0</v>
      </c>
      <c r="N275" s="1" t="s">
        <v>33</v>
      </c>
      <c r="O275" s="1" t="s">
        <v>34</v>
      </c>
      <c r="P275" s="2">
        <v>3.4722222222222222E-5</v>
      </c>
      <c r="Q275" s="1" t="str">
        <f>""</f>
        <v/>
      </c>
      <c r="R275" s="1">
        <v>0</v>
      </c>
      <c r="S275" s="1" t="str">
        <f>""</f>
        <v/>
      </c>
      <c r="T275" s="1" t="s">
        <v>29</v>
      </c>
      <c r="U275" s="1" t="s">
        <v>30</v>
      </c>
      <c r="V275" s="1">
        <v>0</v>
      </c>
    </row>
    <row r="276" spans="2:22" x14ac:dyDescent="0.15">
      <c r="B276" s="1" t="str">
        <f>"156****7163"</f>
        <v>156****7163</v>
      </c>
      <c r="C276" s="1" t="s">
        <v>291</v>
      </c>
      <c r="D276" s="1" t="str">
        <f t="shared" si="26"/>
        <v>89177328</v>
      </c>
      <c r="E276" s="1" t="s">
        <v>24</v>
      </c>
      <c r="F276" s="1" t="str">
        <f t="shared" si="27"/>
        <v>0010</v>
      </c>
      <c r="G276" s="1" t="str">
        <f>""</f>
        <v/>
      </c>
      <c r="H276" s="1" t="str">
        <f>"0032"</f>
        <v>0032</v>
      </c>
      <c r="I276" s="1" t="s">
        <v>119</v>
      </c>
      <c r="J276" s="1" t="str">
        <f>"01043977566"</f>
        <v>01043977566</v>
      </c>
      <c r="K276" s="1" t="str">
        <f>"2017-04-12 14:59:19"</f>
        <v>2017-04-12 14:59:19</v>
      </c>
      <c r="L276" s="1" t="str">
        <f>"2017-04-12 14:59:33"</f>
        <v>2017-04-12 14:59:33</v>
      </c>
      <c r="M276" s="2">
        <v>5.0925925925925921E-4</v>
      </c>
      <c r="N276" s="1" t="s">
        <v>26</v>
      </c>
      <c r="O276" s="1" t="s">
        <v>27</v>
      </c>
      <c r="P276" s="2">
        <v>6.7129629629629625E-4</v>
      </c>
      <c r="Q276" s="1" t="s">
        <v>292</v>
      </c>
      <c r="R276" s="1">
        <v>0</v>
      </c>
      <c r="S276" s="1" t="str">
        <f>""</f>
        <v/>
      </c>
      <c r="T276" s="1" t="s">
        <v>29</v>
      </c>
      <c r="U276" s="1" t="s">
        <v>30</v>
      </c>
      <c r="V276" s="1">
        <v>0</v>
      </c>
    </row>
    <row r="277" spans="2:22" x14ac:dyDescent="0.15">
      <c r="B277" s="1" t="str">
        <f>"152****8006"</f>
        <v>152****8006</v>
      </c>
      <c r="C277" s="1" t="s">
        <v>293</v>
      </c>
      <c r="D277" s="1" t="str">
        <f t="shared" si="26"/>
        <v>89177328</v>
      </c>
      <c r="E277" s="1" t="s">
        <v>24</v>
      </c>
      <c r="F277" s="1" t="str">
        <f t="shared" si="27"/>
        <v>0010</v>
      </c>
      <c r="G277" s="1" t="str">
        <f>""</f>
        <v/>
      </c>
      <c r="H277" s="1" t="str">
        <f>"0036"</f>
        <v>0036</v>
      </c>
      <c r="I277" s="1" t="s">
        <v>143</v>
      </c>
      <c r="J277" s="1" t="str">
        <f>"01043977573"</f>
        <v>01043977573</v>
      </c>
      <c r="K277" s="1" t="str">
        <f>"2017-04-12 14:48:59"</f>
        <v>2017-04-12 14:48:59</v>
      </c>
      <c r="L277" s="1" t="str">
        <f>"2017-04-12 14:49:09"</f>
        <v>2017-04-12 14:49:09</v>
      </c>
      <c r="M277" s="2">
        <v>2.7465277777777772E-2</v>
      </c>
      <c r="N277" s="1" t="s">
        <v>26</v>
      </c>
      <c r="O277" s="1" t="s">
        <v>27</v>
      </c>
      <c r="P277" s="2">
        <v>2.7581018518518519E-2</v>
      </c>
      <c r="Q277" s="1" t="s">
        <v>294</v>
      </c>
      <c r="R277" s="1">
        <v>0</v>
      </c>
      <c r="S277" s="1" t="str">
        <f>""</f>
        <v/>
      </c>
      <c r="T277" s="1" t="s">
        <v>29</v>
      </c>
      <c r="U277" s="1" t="s">
        <v>30</v>
      </c>
      <c r="V277" s="1">
        <v>0</v>
      </c>
    </row>
    <row r="278" spans="2:22" x14ac:dyDescent="0.15">
      <c r="B278" s="1" t="str">
        <f>"133****5631"</f>
        <v>133****5631</v>
      </c>
      <c r="C278" s="1" t="s">
        <v>23</v>
      </c>
      <c r="D278" s="1" t="str">
        <f t="shared" si="26"/>
        <v>89177328</v>
      </c>
      <c r="E278" s="1" t="s">
        <v>24</v>
      </c>
      <c r="F278" s="1" t="str">
        <f t="shared" si="27"/>
        <v>0010</v>
      </c>
      <c r="G278" s="1" t="str">
        <f>""</f>
        <v/>
      </c>
      <c r="H278" s="1" t="str">
        <f>"0032"</f>
        <v>0032</v>
      </c>
      <c r="I278" s="1" t="s">
        <v>119</v>
      </c>
      <c r="J278" s="1" t="str">
        <f>"01043977566"</f>
        <v>01043977566</v>
      </c>
      <c r="K278" s="1" t="str">
        <f>"2017-04-12 14:30:50"</f>
        <v>2017-04-12 14:30:50</v>
      </c>
      <c r="L278" s="1" t="str">
        <f>"2017-04-12 14:31:02"</f>
        <v>2017-04-12 14:31:02</v>
      </c>
      <c r="M278" s="2">
        <v>7.0601851851851841E-3</v>
      </c>
      <c r="N278" s="1" t="s">
        <v>26</v>
      </c>
      <c r="O278" s="1" t="s">
        <v>34</v>
      </c>
      <c r="P278" s="2">
        <v>7.1990740740740739E-3</v>
      </c>
      <c r="Q278" s="1" t="s">
        <v>295</v>
      </c>
      <c r="R278" s="1">
        <v>0</v>
      </c>
      <c r="S278" s="1" t="str">
        <f>""</f>
        <v/>
      </c>
      <c r="T278" s="1" t="s">
        <v>29</v>
      </c>
      <c r="U278" s="1" t="s">
        <v>30</v>
      </c>
      <c r="V278" s="1">
        <v>0</v>
      </c>
    </row>
    <row r="279" spans="2:22" x14ac:dyDescent="0.15">
      <c r="B279" s="1" t="str">
        <f>"150****9483"</f>
        <v>150****9483</v>
      </c>
      <c r="C279" s="1" t="s">
        <v>23</v>
      </c>
      <c r="D279" s="1" t="str">
        <f t="shared" si="26"/>
        <v>89177328</v>
      </c>
      <c r="E279" s="1" t="s">
        <v>24</v>
      </c>
      <c r="F279" s="1" t="str">
        <f t="shared" si="27"/>
        <v>0010</v>
      </c>
      <c r="G279" s="1" t="str">
        <f>""</f>
        <v/>
      </c>
      <c r="H279" s="1" t="str">
        <f>"0035"</f>
        <v>0035</v>
      </c>
      <c r="I279" s="1" t="s">
        <v>25</v>
      </c>
      <c r="J279" s="1" t="str">
        <f>"01043977569"</f>
        <v>01043977569</v>
      </c>
      <c r="K279" s="1" t="str">
        <f>"2017-04-12 14:28:55"</f>
        <v>2017-04-12 14:28:55</v>
      </c>
      <c r="L279" s="1" t="str">
        <f>"2017-04-12 14:29:07"</f>
        <v>2017-04-12 14:29:07</v>
      </c>
      <c r="M279" s="2">
        <v>8.3912037037037045E-3</v>
      </c>
      <c r="N279" s="1" t="s">
        <v>26</v>
      </c>
      <c r="O279" s="1" t="s">
        <v>27</v>
      </c>
      <c r="P279" s="2">
        <v>8.5300925925925926E-3</v>
      </c>
      <c r="Q279" s="1" t="s">
        <v>296</v>
      </c>
      <c r="R279" s="1">
        <v>0</v>
      </c>
      <c r="S279" s="1" t="str">
        <f>""</f>
        <v/>
      </c>
      <c r="T279" s="1" t="s">
        <v>29</v>
      </c>
      <c r="U279" s="1" t="s">
        <v>30</v>
      </c>
      <c r="V279" s="1">
        <v>0</v>
      </c>
    </row>
    <row r="280" spans="2:22" x14ac:dyDescent="0.15">
      <c r="B280" s="1" t="str">
        <f>"186****6685"</f>
        <v>186****6685</v>
      </c>
      <c r="C280" s="1" t="s">
        <v>23</v>
      </c>
      <c r="D280" s="1" t="str">
        <f>"89175359"</f>
        <v>89175359</v>
      </c>
      <c r="E280" s="1" t="s">
        <v>297</v>
      </c>
      <c r="F280" s="1" t="str">
        <f>"0012"</f>
        <v>0012</v>
      </c>
      <c r="G280" s="1" t="str">
        <f>""</f>
        <v/>
      </c>
      <c r="H280" s="1" t="str">
        <f>"0005"</f>
        <v>0005</v>
      </c>
      <c r="I280" s="1" t="s">
        <v>298</v>
      </c>
      <c r="J280" s="1" t="str">
        <f>"18600169000"</f>
        <v>18600169000</v>
      </c>
      <c r="K280" s="1" t="str">
        <f>"2017-04-12 14:22:01"</f>
        <v>2017-04-12 14:22:01</v>
      </c>
      <c r="L280" s="1" t="str">
        <f>"2017-04-12 14:22:10"</f>
        <v>2017-04-12 14:22:10</v>
      </c>
      <c r="M280" s="2">
        <v>1.8981481481481482E-3</v>
      </c>
      <c r="N280" s="1" t="s">
        <v>26</v>
      </c>
      <c r="O280" s="1" t="s">
        <v>34</v>
      </c>
      <c r="P280" s="2">
        <v>2.0023148148148148E-3</v>
      </c>
      <c r="Q280" s="1" t="s">
        <v>299</v>
      </c>
      <c r="R280" s="1">
        <v>0.18</v>
      </c>
      <c r="S280" s="1" t="str">
        <f>""</f>
        <v/>
      </c>
      <c r="T280" s="1" t="s">
        <v>29</v>
      </c>
      <c r="U280" s="1" t="s">
        <v>30</v>
      </c>
      <c r="V280" s="1">
        <v>0</v>
      </c>
    </row>
    <row r="281" spans="2:22" x14ac:dyDescent="0.15">
      <c r="B281" s="1" t="str">
        <f>"138****2885"</f>
        <v>138****2885</v>
      </c>
      <c r="C281" s="1" t="s">
        <v>23</v>
      </c>
      <c r="D281" s="1" t="str">
        <f>"89177328"</f>
        <v>89177328</v>
      </c>
      <c r="E281" s="1" t="s">
        <v>24</v>
      </c>
      <c r="F281" s="1" t="str">
        <f>"0010"</f>
        <v>0010</v>
      </c>
      <c r="G281" s="1" t="str">
        <f>""</f>
        <v/>
      </c>
      <c r="H281" s="1" t="str">
        <f>"0033"</f>
        <v>0033</v>
      </c>
      <c r="I281" s="1" t="s">
        <v>106</v>
      </c>
      <c r="J281" s="1" t="str">
        <f>"01043977567"</f>
        <v>01043977567</v>
      </c>
      <c r="K281" s="1" t="str">
        <f>"2017-04-12 14:21:46"</f>
        <v>2017-04-12 14:21:46</v>
      </c>
      <c r="L281" s="1" t="str">
        <f>"2017-04-12 14:21:57"</f>
        <v>2017-04-12 14:21:57</v>
      </c>
      <c r="M281" s="2">
        <v>1.5671296296296298E-2</v>
      </c>
      <c r="N281" s="1" t="s">
        <v>26</v>
      </c>
      <c r="O281" s="1" t="s">
        <v>34</v>
      </c>
      <c r="P281" s="2">
        <v>1.579861111111111E-2</v>
      </c>
      <c r="Q281" s="1" t="s">
        <v>300</v>
      </c>
      <c r="R281" s="1">
        <v>0</v>
      </c>
      <c r="S281" s="1" t="str">
        <f>""</f>
        <v/>
      </c>
      <c r="T281" s="1" t="s">
        <v>29</v>
      </c>
      <c r="U281" s="1" t="s">
        <v>30</v>
      </c>
      <c r="V281" s="1">
        <v>0</v>
      </c>
    </row>
    <row r="282" spans="2:22" x14ac:dyDescent="0.15">
      <c r="B282" s="1" t="str">
        <f>"186****6685"</f>
        <v>186****6685</v>
      </c>
      <c r="C282" s="1" t="s">
        <v>23</v>
      </c>
      <c r="D282" s="1" t="str">
        <f>"89175358"</f>
        <v>89175358</v>
      </c>
      <c r="E282" s="1" t="s">
        <v>301</v>
      </c>
      <c r="F282" s="1" t="str">
        <f>"0011"</f>
        <v>0011</v>
      </c>
      <c r="G282" s="1" t="str">
        <f>""</f>
        <v/>
      </c>
      <c r="H282" s="1" t="str">
        <f>""</f>
        <v/>
      </c>
      <c r="I282" s="1" t="str">
        <f>""</f>
        <v/>
      </c>
      <c r="J282" s="1" t="str">
        <f>""</f>
        <v/>
      </c>
      <c r="K282" s="1" t="str">
        <f>"2017-04-12 14:21:02"</f>
        <v>2017-04-12 14:21:02</v>
      </c>
      <c r="L282" s="1" t="str">
        <f>"-"</f>
        <v>-</v>
      </c>
      <c r="M282" s="2">
        <v>0</v>
      </c>
      <c r="N282" s="1" t="s">
        <v>55</v>
      </c>
      <c r="O282" s="1" t="s">
        <v>27</v>
      </c>
      <c r="P282" s="2">
        <v>4.6296296296296294E-5</v>
      </c>
      <c r="Q282" s="1" t="str">
        <f>""</f>
        <v/>
      </c>
      <c r="R282" s="1">
        <v>0</v>
      </c>
      <c r="S282" s="1" t="str">
        <f>""</f>
        <v/>
      </c>
      <c r="T282" s="1" t="s">
        <v>29</v>
      </c>
      <c r="U282" s="1" t="s">
        <v>30</v>
      </c>
      <c r="V282" s="1">
        <v>0</v>
      </c>
    </row>
    <row r="283" spans="2:22" x14ac:dyDescent="0.15">
      <c r="B283" s="1" t="str">
        <f>"186****6685"</f>
        <v>186****6685</v>
      </c>
      <c r="C283" s="1" t="s">
        <v>23</v>
      </c>
      <c r="D283" s="1" t="str">
        <f>"89175358"</f>
        <v>89175358</v>
      </c>
      <c r="E283" s="1" t="s">
        <v>301</v>
      </c>
      <c r="F283" s="1" t="str">
        <f>"0011"</f>
        <v>0011</v>
      </c>
      <c r="G283" s="1" t="str">
        <f>""</f>
        <v/>
      </c>
      <c r="H283" s="1" t="str">
        <f>""</f>
        <v/>
      </c>
      <c r="I283" s="1" t="str">
        <f>""</f>
        <v/>
      </c>
      <c r="J283" s="1" t="str">
        <f>""</f>
        <v/>
      </c>
      <c r="K283" s="1" t="str">
        <f>"2017-04-12 14:20:41"</f>
        <v>2017-04-12 14:20:41</v>
      </c>
      <c r="L283" s="1" t="str">
        <f>"-"</f>
        <v>-</v>
      </c>
      <c r="M283" s="2">
        <v>0</v>
      </c>
      <c r="N283" s="1" t="s">
        <v>55</v>
      </c>
      <c r="O283" s="1" t="s">
        <v>27</v>
      </c>
      <c r="P283" s="2">
        <v>4.6296296296296294E-5</v>
      </c>
      <c r="Q283" s="1" t="str">
        <f>""</f>
        <v/>
      </c>
      <c r="R283" s="1">
        <v>0</v>
      </c>
      <c r="S283" s="1" t="str">
        <f>""</f>
        <v/>
      </c>
      <c r="T283" s="1" t="s">
        <v>29</v>
      </c>
      <c r="U283" s="1" t="s">
        <v>30</v>
      </c>
      <c r="V283" s="1">
        <v>0</v>
      </c>
    </row>
    <row r="284" spans="2:22" x14ac:dyDescent="0.15">
      <c r="B284" s="1" t="str">
        <f>"186****3456"</f>
        <v>186****3456</v>
      </c>
      <c r="C284" s="1" t="s">
        <v>23</v>
      </c>
      <c r="D284" s="1" t="str">
        <f>"89175359"</f>
        <v>89175359</v>
      </c>
      <c r="E284" s="1" t="s">
        <v>297</v>
      </c>
      <c r="F284" s="1" t="str">
        <f>"0012"</f>
        <v>0012</v>
      </c>
      <c r="G284" s="1" t="str">
        <f>""</f>
        <v/>
      </c>
      <c r="H284" s="1" t="str">
        <f>"0005"</f>
        <v>0005</v>
      </c>
      <c r="I284" s="1" t="s">
        <v>298</v>
      </c>
      <c r="J284" s="1" t="str">
        <f>"18600169000"</f>
        <v>18600169000</v>
      </c>
      <c r="K284" s="1" t="str">
        <f>"2017-04-12 14:13:24"</f>
        <v>2017-04-12 14:13:24</v>
      </c>
      <c r="L284" s="1" t="str">
        <f>"2017-04-12 14:13:38"</f>
        <v>2017-04-12 14:13:38</v>
      </c>
      <c r="M284" s="2">
        <v>3.3564814814814812E-4</v>
      </c>
      <c r="N284" s="1" t="s">
        <v>26</v>
      </c>
      <c r="O284" s="1" t="s">
        <v>27</v>
      </c>
      <c r="P284" s="2">
        <v>4.9768518518518521E-4</v>
      </c>
      <c r="Q284" s="1" t="s">
        <v>302</v>
      </c>
      <c r="R284" s="1">
        <v>0.06</v>
      </c>
      <c r="S284" s="1" t="str">
        <f>""</f>
        <v/>
      </c>
      <c r="T284" s="1" t="s">
        <v>29</v>
      </c>
      <c r="U284" s="1" t="s">
        <v>30</v>
      </c>
      <c r="V284" s="1">
        <v>0</v>
      </c>
    </row>
    <row r="285" spans="2:22" x14ac:dyDescent="0.15">
      <c r="B285" s="1" t="str">
        <f>"136****1119"</f>
        <v>136****1119</v>
      </c>
      <c r="C285" s="1" t="s">
        <v>23</v>
      </c>
      <c r="D285" s="1" t="str">
        <f t="shared" ref="D285:D290" si="31">"89177328"</f>
        <v>89177328</v>
      </c>
      <c r="E285" s="1" t="s">
        <v>24</v>
      </c>
      <c r="F285" s="1" t="str">
        <f t="shared" ref="F285:F290" si="32">"0010"</f>
        <v>0010</v>
      </c>
      <c r="G285" s="1" t="str">
        <f>""</f>
        <v/>
      </c>
      <c r="H285" s="1" t="str">
        <f>"0034"</f>
        <v>0034</v>
      </c>
      <c r="I285" s="1" t="s">
        <v>31</v>
      </c>
      <c r="J285" s="1" t="str">
        <f>"01043977568"</f>
        <v>01043977568</v>
      </c>
      <c r="K285" s="1" t="str">
        <f>"2017-04-12 13:52:52"</f>
        <v>2017-04-12 13:52:52</v>
      </c>
      <c r="L285" s="1" t="str">
        <f>"2017-04-12 13:53:01"</f>
        <v>2017-04-12 13:53:01</v>
      </c>
      <c r="M285" s="2">
        <v>6.018518518518519E-4</v>
      </c>
      <c r="N285" s="1" t="s">
        <v>26</v>
      </c>
      <c r="O285" s="1" t="s">
        <v>27</v>
      </c>
      <c r="P285" s="2">
        <v>7.0601851851851847E-4</v>
      </c>
      <c r="Q285" s="1" t="s">
        <v>303</v>
      </c>
      <c r="R285" s="1">
        <v>0</v>
      </c>
      <c r="S285" s="1" t="str">
        <f>""</f>
        <v/>
      </c>
      <c r="T285" s="1" t="s">
        <v>29</v>
      </c>
      <c r="U285" s="1" t="s">
        <v>30</v>
      </c>
      <c r="V285" s="1">
        <v>0</v>
      </c>
    </row>
    <row r="286" spans="2:22" x14ac:dyDescent="0.15">
      <c r="B286" s="1" t="str">
        <f>"138****4103"</f>
        <v>138****4103</v>
      </c>
      <c r="C286" s="1" t="s">
        <v>304</v>
      </c>
      <c r="D286" s="1" t="str">
        <f t="shared" si="31"/>
        <v>89177328</v>
      </c>
      <c r="E286" s="1" t="s">
        <v>24</v>
      </c>
      <c r="F286" s="1" t="str">
        <f t="shared" si="32"/>
        <v>0010</v>
      </c>
      <c r="G286" s="1" t="str">
        <f>""</f>
        <v/>
      </c>
      <c r="H286" s="1" t="str">
        <f>"0033"</f>
        <v>0033</v>
      </c>
      <c r="I286" s="1" t="s">
        <v>106</v>
      </c>
      <c r="J286" s="1" t="str">
        <f>"01043977567"</f>
        <v>01043977567</v>
      </c>
      <c r="K286" s="1" t="str">
        <f>"2017-04-12 13:40:20"</f>
        <v>2017-04-12 13:40:20</v>
      </c>
      <c r="L286" s="1" t="str">
        <f>"2017-04-12 13:40:30"</f>
        <v>2017-04-12 13:40:30</v>
      </c>
      <c r="M286" s="2">
        <v>5.185185185185185E-3</v>
      </c>
      <c r="N286" s="1" t="s">
        <v>26</v>
      </c>
      <c r="O286" s="1" t="s">
        <v>34</v>
      </c>
      <c r="P286" s="2">
        <v>5.3009259259259251E-3</v>
      </c>
      <c r="Q286" s="1" t="s">
        <v>305</v>
      </c>
      <c r="R286" s="1">
        <v>0</v>
      </c>
      <c r="S286" s="1" t="str">
        <f>""</f>
        <v/>
      </c>
      <c r="T286" s="1" t="s">
        <v>29</v>
      </c>
      <c r="U286" s="1" t="s">
        <v>30</v>
      </c>
      <c r="V286" s="1">
        <v>0</v>
      </c>
    </row>
    <row r="287" spans="2:22" x14ac:dyDescent="0.15">
      <c r="B287" s="1" t="str">
        <f>"138****3119"</f>
        <v>138****3119</v>
      </c>
      <c r="C287" s="1" t="s">
        <v>306</v>
      </c>
      <c r="D287" s="1" t="str">
        <f t="shared" si="31"/>
        <v>89177328</v>
      </c>
      <c r="E287" s="1" t="s">
        <v>24</v>
      </c>
      <c r="F287" s="1" t="str">
        <f t="shared" si="32"/>
        <v>0010</v>
      </c>
      <c r="G287" s="1" t="str">
        <f>""</f>
        <v/>
      </c>
      <c r="H287" s="1" t="str">
        <f>""</f>
        <v/>
      </c>
      <c r="I287" s="1" t="str">
        <f>""</f>
        <v/>
      </c>
      <c r="J287" s="1" t="str">
        <f>""</f>
        <v/>
      </c>
      <c r="K287" s="1" t="str">
        <f>"2017-04-12 13:36:11"</f>
        <v>2017-04-12 13:36:11</v>
      </c>
      <c r="L287" s="1" t="str">
        <f>"-"</f>
        <v>-</v>
      </c>
      <c r="M287" s="2">
        <v>0</v>
      </c>
      <c r="N287" s="1" t="s">
        <v>55</v>
      </c>
      <c r="O287" s="1" t="s">
        <v>27</v>
      </c>
      <c r="P287" s="2">
        <v>5.7870370370370366E-5</v>
      </c>
      <c r="Q287" s="1" t="str">
        <f>""</f>
        <v/>
      </c>
      <c r="R287" s="1">
        <v>0</v>
      </c>
      <c r="S287" s="1" t="str">
        <f>""</f>
        <v/>
      </c>
      <c r="T287" s="1" t="s">
        <v>29</v>
      </c>
      <c r="U287" s="1" t="s">
        <v>30</v>
      </c>
      <c r="V287" s="1">
        <v>0</v>
      </c>
    </row>
    <row r="288" spans="2:22" x14ac:dyDescent="0.15">
      <c r="B288" s="1" t="str">
        <f>"186****7111"</f>
        <v>186****7111</v>
      </c>
      <c r="C288" s="1" t="s">
        <v>69</v>
      </c>
      <c r="D288" s="1" t="str">
        <f t="shared" si="31"/>
        <v>89177328</v>
      </c>
      <c r="E288" s="1" t="s">
        <v>24</v>
      </c>
      <c r="F288" s="1" t="str">
        <f t="shared" si="32"/>
        <v>0010</v>
      </c>
      <c r="G288" s="1" t="str">
        <f>""</f>
        <v/>
      </c>
      <c r="H288" s="1" t="str">
        <f>"0031"</f>
        <v>0031</v>
      </c>
      <c r="I288" s="1" t="s">
        <v>95</v>
      </c>
      <c r="J288" s="1" t="str">
        <f>"01043977565"</f>
        <v>01043977565</v>
      </c>
      <c r="K288" s="1" t="str">
        <f>"2017-04-12 13:32:08"</f>
        <v>2017-04-12 13:32:08</v>
      </c>
      <c r="L288" s="1" t="str">
        <f>"2017-04-12 13:32:15"</f>
        <v>2017-04-12 13:32:15</v>
      </c>
      <c r="M288" s="2">
        <v>5.5671296296296302E-3</v>
      </c>
      <c r="N288" s="1" t="s">
        <v>26</v>
      </c>
      <c r="O288" s="1" t="s">
        <v>27</v>
      </c>
      <c r="P288" s="2">
        <v>5.6481481481481478E-3</v>
      </c>
      <c r="Q288" s="1" t="s">
        <v>307</v>
      </c>
      <c r="R288" s="1">
        <v>0</v>
      </c>
      <c r="S288" s="1" t="str">
        <f>""</f>
        <v/>
      </c>
      <c r="T288" s="1" t="s">
        <v>29</v>
      </c>
      <c r="U288" s="1" t="s">
        <v>30</v>
      </c>
      <c r="V288" s="1">
        <v>0</v>
      </c>
    </row>
    <row r="289" spans="2:22" x14ac:dyDescent="0.15">
      <c r="B289" s="1" t="str">
        <f>"136****8285"</f>
        <v>136****8285</v>
      </c>
      <c r="C289" s="1" t="s">
        <v>23</v>
      </c>
      <c r="D289" s="1" t="str">
        <f t="shared" si="31"/>
        <v>89177328</v>
      </c>
      <c r="E289" s="1" t="s">
        <v>24</v>
      </c>
      <c r="F289" s="1" t="str">
        <f t="shared" si="32"/>
        <v>0010</v>
      </c>
      <c r="G289" s="1" t="str">
        <f>""</f>
        <v/>
      </c>
      <c r="H289" s="1" t="str">
        <f>"0034"</f>
        <v>0034</v>
      </c>
      <c r="I289" s="1" t="s">
        <v>31</v>
      </c>
      <c r="J289" s="1" t="str">
        <f>"01043977568"</f>
        <v>01043977568</v>
      </c>
      <c r="K289" s="1" t="str">
        <f>"2017-04-12 13:23:58"</f>
        <v>2017-04-12 13:23:58</v>
      </c>
      <c r="L289" s="1" t="str">
        <f>"2017-04-12 13:24:07"</f>
        <v>2017-04-12 13:24:07</v>
      </c>
      <c r="M289" s="2">
        <v>1.1493055555555555E-2</v>
      </c>
      <c r="N289" s="1" t="s">
        <v>26</v>
      </c>
      <c r="O289" s="1" t="s">
        <v>27</v>
      </c>
      <c r="P289" s="2">
        <v>1.1597222222222222E-2</v>
      </c>
      <c r="Q289" s="1" t="s">
        <v>308</v>
      </c>
      <c r="R289" s="1">
        <v>0</v>
      </c>
      <c r="S289" s="1" t="str">
        <f>""</f>
        <v/>
      </c>
      <c r="T289" s="1" t="s">
        <v>29</v>
      </c>
      <c r="U289" s="1" t="s">
        <v>30</v>
      </c>
      <c r="V289" s="1">
        <v>0</v>
      </c>
    </row>
    <row r="290" spans="2:22" x14ac:dyDescent="0.15">
      <c r="B290" s="1" t="str">
        <f>"188****4634"</f>
        <v>188****4634</v>
      </c>
      <c r="C290" s="1" t="s">
        <v>23</v>
      </c>
      <c r="D290" s="1" t="str">
        <f t="shared" si="31"/>
        <v>89177328</v>
      </c>
      <c r="E290" s="1" t="s">
        <v>24</v>
      </c>
      <c r="F290" s="1" t="str">
        <f t="shared" si="32"/>
        <v>0010</v>
      </c>
      <c r="G290" s="1" t="str">
        <f>""</f>
        <v/>
      </c>
      <c r="H290" s="1" t="str">
        <f>"0034"</f>
        <v>0034</v>
      </c>
      <c r="I290" s="1" t="s">
        <v>31</v>
      </c>
      <c r="J290" s="1" t="str">
        <f>"01043977568"</f>
        <v>01043977568</v>
      </c>
      <c r="K290" s="1" t="str">
        <f>"2017-04-12 13:06:43"</f>
        <v>2017-04-12 13:06:43</v>
      </c>
      <c r="L290" s="1" t="str">
        <f>"2017-04-12 13:06:51"</f>
        <v>2017-04-12 13:06:51</v>
      </c>
      <c r="M290" s="2">
        <v>2.2453703703703702E-3</v>
      </c>
      <c r="N290" s="1" t="s">
        <v>26</v>
      </c>
      <c r="O290" s="1" t="s">
        <v>34</v>
      </c>
      <c r="P290" s="2">
        <v>2.3379629629629631E-3</v>
      </c>
      <c r="Q290" s="1" t="s">
        <v>309</v>
      </c>
      <c r="R290" s="1">
        <v>0</v>
      </c>
      <c r="S290" s="1" t="str">
        <f>""</f>
        <v/>
      </c>
      <c r="T290" s="1" t="s">
        <v>29</v>
      </c>
      <c r="U290" s="1" t="s">
        <v>30</v>
      </c>
      <c r="V290" s="1">
        <v>0</v>
      </c>
    </row>
    <row r="291" spans="2:22" x14ac:dyDescent="0.15">
      <c r="B291" s="1" t="str">
        <f>"186****3456"</f>
        <v>186****3456</v>
      </c>
      <c r="C291" s="1" t="s">
        <v>23</v>
      </c>
      <c r="D291" s="1" t="str">
        <f>"89175359"</f>
        <v>89175359</v>
      </c>
      <c r="E291" s="1" t="s">
        <v>297</v>
      </c>
      <c r="F291" s="1" t="str">
        <f>"0012"</f>
        <v>0012</v>
      </c>
      <c r="G291" s="1" t="str">
        <f>""</f>
        <v/>
      </c>
      <c r="H291" s="1" t="str">
        <f>"0005"</f>
        <v>0005</v>
      </c>
      <c r="I291" s="1" t="s">
        <v>298</v>
      </c>
      <c r="J291" s="1" t="str">
        <f>"18600169000"</f>
        <v>18600169000</v>
      </c>
      <c r="K291" s="1" t="str">
        <f>"2017-04-12 12:42:09"</f>
        <v>2017-04-12 12:42:09</v>
      </c>
      <c r="L291" s="1" t="str">
        <f>"2017-04-12 12:42:30"</f>
        <v>2017-04-12 12:42:30</v>
      </c>
      <c r="M291" s="2">
        <v>1.4467592592592594E-3</v>
      </c>
      <c r="N291" s="1" t="s">
        <v>26</v>
      </c>
      <c r="O291" s="1" t="s">
        <v>34</v>
      </c>
      <c r="P291" s="2">
        <v>1.689814814814815E-3</v>
      </c>
      <c r="Q291" s="1" t="s">
        <v>310</v>
      </c>
      <c r="R291" s="1">
        <v>0.18</v>
      </c>
      <c r="S291" s="1" t="str">
        <f>""</f>
        <v/>
      </c>
      <c r="T291" s="1" t="s">
        <v>29</v>
      </c>
      <c r="U291" s="1" t="s">
        <v>30</v>
      </c>
      <c r="V291" s="1">
        <v>0</v>
      </c>
    </row>
    <row r="292" spans="2:22" x14ac:dyDescent="0.15">
      <c r="B292" s="1" t="str">
        <f>"047****5356"</f>
        <v>047****5356</v>
      </c>
      <c r="C292" s="1" t="s">
        <v>113</v>
      </c>
      <c r="D292" s="1" t="str">
        <f t="shared" ref="D292:D300" si="33">"89177328"</f>
        <v>89177328</v>
      </c>
      <c r="E292" s="1" t="s">
        <v>24</v>
      </c>
      <c r="F292" s="1" t="str">
        <f t="shared" ref="F292:F300" si="34">"0010"</f>
        <v>0010</v>
      </c>
      <c r="G292" s="1" t="str">
        <f>""</f>
        <v/>
      </c>
      <c r="H292" s="1" t="str">
        <f>"0034"</f>
        <v>0034</v>
      </c>
      <c r="I292" s="1" t="s">
        <v>31</v>
      </c>
      <c r="J292" s="1" t="str">
        <f>"01043977568"</f>
        <v>01043977568</v>
      </c>
      <c r="K292" s="1" t="str">
        <f>"2017-04-12 12:24:20"</f>
        <v>2017-04-12 12:24:20</v>
      </c>
      <c r="L292" s="1" t="str">
        <f>"2017-04-12 12:24:29"</f>
        <v>2017-04-12 12:24:29</v>
      </c>
      <c r="M292" s="2">
        <v>6.053240740740741E-3</v>
      </c>
      <c r="N292" s="1" t="s">
        <v>26</v>
      </c>
      <c r="O292" s="1" t="s">
        <v>27</v>
      </c>
      <c r="P292" s="2">
        <v>6.1574074074074074E-3</v>
      </c>
      <c r="Q292" s="1" t="s">
        <v>311</v>
      </c>
      <c r="R292" s="1">
        <v>0</v>
      </c>
      <c r="S292" s="1" t="str">
        <f>""</f>
        <v/>
      </c>
      <c r="T292" s="1" t="s">
        <v>29</v>
      </c>
      <c r="U292" s="1" t="s">
        <v>30</v>
      </c>
      <c r="V292" s="1">
        <v>0</v>
      </c>
    </row>
    <row r="293" spans="2:22" x14ac:dyDescent="0.15">
      <c r="B293" s="1" t="str">
        <f>"133****4423"</f>
        <v>133****4423</v>
      </c>
      <c r="C293" s="1" t="s">
        <v>23</v>
      </c>
      <c r="D293" s="1" t="str">
        <f t="shared" si="33"/>
        <v>89177328</v>
      </c>
      <c r="E293" s="1" t="s">
        <v>24</v>
      </c>
      <c r="F293" s="1" t="str">
        <f t="shared" si="34"/>
        <v>0010</v>
      </c>
      <c r="G293" s="1" t="str">
        <f>""</f>
        <v/>
      </c>
      <c r="H293" s="1" t="str">
        <f>"0034"</f>
        <v>0034</v>
      </c>
      <c r="I293" s="1" t="s">
        <v>31</v>
      </c>
      <c r="J293" s="1" t="str">
        <f>"01043977568"</f>
        <v>01043977568</v>
      </c>
      <c r="K293" s="1" t="str">
        <f>"2017-04-12 12:04:44"</f>
        <v>2017-04-12 12:04:44</v>
      </c>
      <c r="L293" s="1" t="str">
        <f>"2017-04-12 12:04:57"</f>
        <v>2017-04-12 12:04:57</v>
      </c>
      <c r="M293" s="2">
        <v>4.5023148148148149E-3</v>
      </c>
      <c r="N293" s="1" t="s">
        <v>26</v>
      </c>
      <c r="O293" s="1" t="s">
        <v>27</v>
      </c>
      <c r="P293" s="2">
        <v>4.6527777777777774E-3</v>
      </c>
      <c r="Q293" s="1" t="s">
        <v>312</v>
      </c>
      <c r="R293" s="1">
        <v>0</v>
      </c>
      <c r="S293" s="1" t="str">
        <f>""</f>
        <v/>
      </c>
      <c r="T293" s="1" t="s">
        <v>29</v>
      </c>
      <c r="U293" s="1" t="s">
        <v>30</v>
      </c>
      <c r="V293" s="1">
        <v>0</v>
      </c>
    </row>
    <row r="294" spans="2:22" x14ac:dyDescent="0.15">
      <c r="B294" s="1" t="str">
        <f>"010****3972"</f>
        <v>010****3972</v>
      </c>
      <c r="C294" s="1" t="s">
        <v>23</v>
      </c>
      <c r="D294" s="1" t="str">
        <f t="shared" si="33"/>
        <v>89177328</v>
      </c>
      <c r="E294" s="1" t="s">
        <v>24</v>
      </c>
      <c r="F294" s="1" t="str">
        <f t="shared" si="34"/>
        <v>0010</v>
      </c>
      <c r="G294" s="1" t="str">
        <f>""</f>
        <v/>
      </c>
      <c r="H294" s="1" t="str">
        <f>"0034"</f>
        <v>0034</v>
      </c>
      <c r="I294" s="1" t="s">
        <v>31</v>
      </c>
      <c r="J294" s="1" t="str">
        <f>"01043977568"</f>
        <v>01043977568</v>
      </c>
      <c r="K294" s="1" t="str">
        <f>"2017-04-12 12:01:16"</f>
        <v>2017-04-12 12:01:16</v>
      </c>
      <c r="L294" s="1" t="str">
        <f>"2017-04-12 12:01:27"</f>
        <v>2017-04-12 12:01:27</v>
      </c>
      <c r="M294" s="2">
        <v>3.2986111111111111E-3</v>
      </c>
      <c r="N294" s="1" t="s">
        <v>26</v>
      </c>
      <c r="O294" s="1" t="s">
        <v>27</v>
      </c>
      <c r="P294" s="2">
        <v>3.425925925925926E-3</v>
      </c>
      <c r="Q294" s="1" t="s">
        <v>313</v>
      </c>
      <c r="R294" s="1">
        <v>0</v>
      </c>
      <c r="S294" s="1" t="str">
        <f>""</f>
        <v/>
      </c>
      <c r="T294" s="1" t="s">
        <v>314</v>
      </c>
      <c r="U294" s="1" t="s">
        <v>30</v>
      </c>
      <c r="V294" s="1">
        <v>0</v>
      </c>
    </row>
    <row r="295" spans="2:22" x14ac:dyDescent="0.15">
      <c r="B295" s="1" t="str">
        <f>"137****4012"</f>
        <v>137****4012</v>
      </c>
      <c r="C295" s="1" t="s">
        <v>23</v>
      </c>
      <c r="D295" s="1" t="str">
        <f t="shared" si="33"/>
        <v>89177328</v>
      </c>
      <c r="E295" s="1" t="s">
        <v>24</v>
      </c>
      <c r="F295" s="1" t="str">
        <f t="shared" si="34"/>
        <v>0010</v>
      </c>
      <c r="G295" s="1" t="str">
        <f>""</f>
        <v/>
      </c>
      <c r="H295" s="1" t="str">
        <f>"0017"</f>
        <v>0017</v>
      </c>
      <c r="I295" s="1" t="s">
        <v>135</v>
      </c>
      <c r="J295" s="1" t="str">
        <f>"01043989717"</f>
        <v>01043989717</v>
      </c>
      <c r="K295" s="1" t="str">
        <f>"2017-04-12 11:56:53"</f>
        <v>2017-04-12 11:56:53</v>
      </c>
      <c r="L295" s="1" t="str">
        <f>"2017-04-12 11:57:01"</f>
        <v>2017-04-12 11:57:01</v>
      </c>
      <c r="M295" s="2">
        <v>3.3217592592592591E-3</v>
      </c>
      <c r="N295" s="1" t="s">
        <v>26</v>
      </c>
      <c r="O295" s="1" t="s">
        <v>27</v>
      </c>
      <c r="P295" s="2">
        <v>3.414351851851852E-3</v>
      </c>
      <c r="Q295" s="1" t="s">
        <v>315</v>
      </c>
      <c r="R295" s="1">
        <v>0</v>
      </c>
      <c r="S295" s="1" t="str">
        <f>""</f>
        <v/>
      </c>
      <c r="T295" s="1" t="s">
        <v>29</v>
      </c>
      <c r="U295" s="1" t="s">
        <v>30</v>
      </c>
      <c r="V295" s="1">
        <v>0</v>
      </c>
    </row>
    <row r="296" spans="2:22" x14ac:dyDescent="0.15">
      <c r="B296" s="1" t="str">
        <f>"010****3972"</f>
        <v>010****3972</v>
      </c>
      <c r="C296" s="1" t="s">
        <v>23</v>
      </c>
      <c r="D296" s="1" t="str">
        <f t="shared" si="33"/>
        <v>89177328</v>
      </c>
      <c r="E296" s="1" t="s">
        <v>24</v>
      </c>
      <c r="F296" s="1" t="str">
        <f t="shared" si="34"/>
        <v>0010</v>
      </c>
      <c r="G296" s="1" t="str">
        <f>""</f>
        <v/>
      </c>
      <c r="H296" s="1" t="str">
        <f>"0033"</f>
        <v>0033</v>
      </c>
      <c r="I296" s="1" t="s">
        <v>106</v>
      </c>
      <c r="J296" s="1" t="str">
        <f>"01043977567"</f>
        <v>01043977567</v>
      </c>
      <c r="K296" s="1" t="str">
        <f>"2017-04-12 11:47:43"</f>
        <v>2017-04-12 11:47:43</v>
      </c>
      <c r="L296" s="1" t="str">
        <f>"2017-04-12 11:47:55"</f>
        <v>2017-04-12 11:47:55</v>
      </c>
      <c r="M296" s="2">
        <v>6.2268518518518515E-3</v>
      </c>
      <c r="N296" s="1" t="s">
        <v>26</v>
      </c>
      <c r="O296" s="1" t="s">
        <v>34</v>
      </c>
      <c r="P296" s="2">
        <v>6.3657407407407404E-3</v>
      </c>
      <c r="Q296" s="1" t="s">
        <v>316</v>
      </c>
      <c r="R296" s="1">
        <v>0</v>
      </c>
      <c r="S296" s="1" t="str">
        <f>""</f>
        <v/>
      </c>
      <c r="T296" s="1" t="s">
        <v>29</v>
      </c>
      <c r="U296" s="1" t="s">
        <v>30</v>
      </c>
      <c r="V296" s="1">
        <v>0</v>
      </c>
    </row>
    <row r="297" spans="2:22" x14ac:dyDescent="0.15">
      <c r="B297" s="1" t="str">
        <f>"010****3972"</f>
        <v>010****3972</v>
      </c>
      <c r="C297" s="1" t="s">
        <v>23</v>
      </c>
      <c r="D297" s="1" t="str">
        <f t="shared" si="33"/>
        <v>89177328</v>
      </c>
      <c r="E297" s="1" t="s">
        <v>24</v>
      </c>
      <c r="F297" s="1" t="str">
        <f t="shared" si="34"/>
        <v>0010</v>
      </c>
      <c r="G297" s="1" t="str">
        <f>""</f>
        <v/>
      </c>
      <c r="H297" s="1" t="str">
        <f>"0033"</f>
        <v>0033</v>
      </c>
      <c r="I297" s="1" t="s">
        <v>106</v>
      </c>
      <c r="J297" s="1" t="str">
        <f>"01043977567"</f>
        <v>01043977567</v>
      </c>
      <c r="K297" s="1" t="str">
        <f>"2017-04-12 11:45:09"</f>
        <v>2017-04-12 11:45:09</v>
      </c>
      <c r="L297" s="1" t="str">
        <f>"-"</f>
        <v>-</v>
      </c>
      <c r="M297" s="2">
        <v>0</v>
      </c>
      <c r="N297" s="1" t="s">
        <v>33</v>
      </c>
      <c r="O297" s="1" t="s">
        <v>34</v>
      </c>
      <c r="P297" s="2">
        <v>2.3148148148148147E-5</v>
      </c>
      <c r="Q297" s="1" t="str">
        <f>""</f>
        <v/>
      </c>
      <c r="R297" s="1">
        <v>0</v>
      </c>
      <c r="S297" s="1" t="str">
        <f>""</f>
        <v/>
      </c>
      <c r="T297" s="1" t="s">
        <v>29</v>
      </c>
      <c r="U297" s="1" t="s">
        <v>30</v>
      </c>
      <c r="V297" s="1">
        <v>0</v>
      </c>
    </row>
    <row r="298" spans="2:22" x14ac:dyDescent="0.15">
      <c r="B298" s="1" t="str">
        <f>"138****5748"</f>
        <v>138****5748</v>
      </c>
      <c r="C298" s="1" t="s">
        <v>76</v>
      </c>
      <c r="D298" s="1" t="str">
        <f t="shared" si="33"/>
        <v>89177328</v>
      </c>
      <c r="E298" s="1" t="s">
        <v>24</v>
      </c>
      <c r="F298" s="1" t="str">
        <f t="shared" si="34"/>
        <v>0010</v>
      </c>
      <c r="G298" s="1" t="str">
        <f>""</f>
        <v/>
      </c>
      <c r="H298" s="1" t="str">
        <f>"0035"</f>
        <v>0035</v>
      </c>
      <c r="I298" s="1" t="s">
        <v>25</v>
      </c>
      <c r="J298" s="1" t="str">
        <f>"01043977569"</f>
        <v>01043977569</v>
      </c>
      <c r="K298" s="1" t="str">
        <f>"2017-04-12 11:42:59"</f>
        <v>2017-04-12 11:42:59</v>
      </c>
      <c r="L298" s="1" t="str">
        <f>"2017-04-12 11:43:08"</f>
        <v>2017-04-12 11:43:08</v>
      </c>
      <c r="M298" s="2">
        <v>7.106481481481481E-3</v>
      </c>
      <c r="N298" s="1" t="s">
        <v>26</v>
      </c>
      <c r="O298" s="1" t="s">
        <v>27</v>
      </c>
      <c r="P298" s="2">
        <v>7.2106481481481475E-3</v>
      </c>
      <c r="Q298" s="1" t="s">
        <v>317</v>
      </c>
      <c r="R298" s="1">
        <v>0</v>
      </c>
      <c r="S298" s="1" t="str">
        <f>""</f>
        <v/>
      </c>
      <c r="T298" s="1" t="s">
        <v>29</v>
      </c>
      <c r="U298" s="1" t="s">
        <v>30</v>
      </c>
      <c r="V298" s="1">
        <v>0</v>
      </c>
    </row>
    <row r="299" spans="2:22" x14ac:dyDescent="0.15">
      <c r="B299" s="1" t="str">
        <f>"187****3352"</f>
        <v>187****3352</v>
      </c>
      <c r="C299" s="1" t="s">
        <v>318</v>
      </c>
      <c r="D299" s="1" t="str">
        <f t="shared" si="33"/>
        <v>89177328</v>
      </c>
      <c r="E299" s="1" t="s">
        <v>24</v>
      </c>
      <c r="F299" s="1" t="str">
        <f t="shared" si="34"/>
        <v>0010</v>
      </c>
      <c r="G299" s="1" t="str">
        <f>""</f>
        <v/>
      </c>
      <c r="H299" s="1" t="str">
        <f>"0035"</f>
        <v>0035</v>
      </c>
      <c r="I299" s="1" t="s">
        <v>25</v>
      </c>
      <c r="J299" s="1" t="str">
        <f>"01043977569"</f>
        <v>01043977569</v>
      </c>
      <c r="K299" s="1" t="str">
        <f>"2017-04-12 11:42:50"</f>
        <v>2017-04-12 11:42:50</v>
      </c>
      <c r="L299" s="1" t="str">
        <f>"-"</f>
        <v>-</v>
      </c>
      <c r="M299" s="2">
        <v>0</v>
      </c>
      <c r="N299" s="1" t="s">
        <v>33</v>
      </c>
      <c r="O299" s="1" t="s">
        <v>34</v>
      </c>
      <c r="P299" s="2">
        <v>2.3148148148148147E-5</v>
      </c>
      <c r="Q299" s="1" t="str">
        <f>""</f>
        <v/>
      </c>
      <c r="R299" s="1">
        <v>0</v>
      </c>
      <c r="S299" s="1" t="str">
        <f>""</f>
        <v/>
      </c>
      <c r="T299" s="1" t="s">
        <v>29</v>
      </c>
      <c r="U299" s="1" t="s">
        <v>30</v>
      </c>
      <c r="V299" s="1">
        <v>0</v>
      </c>
    </row>
    <row r="300" spans="2:22" x14ac:dyDescent="0.15">
      <c r="B300" s="1" t="str">
        <f>"010****3972"</f>
        <v>010****3972</v>
      </c>
      <c r="C300" s="1" t="s">
        <v>23</v>
      </c>
      <c r="D300" s="1" t="str">
        <f t="shared" si="33"/>
        <v>89177328</v>
      </c>
      <c r="E300" s="1" t="s">
        <v>24</v>
      </c>
      <c r="F300" s="1" t="str">
        <f t="shared" si="34"/>
        <v>0010</v>
      </c>
      <c r="G300" s="1" t="str">
        <f>""</f>
        <v/>
      </c>
      <c r="H300" s="1" t="str">
        <f>"0035"</f>
        <v>0035</v>
      </c>
      <c r="I300" s="1" t="s">
        <v>25</v>
      </c>
      <c r="J300" s="1" t="str">
        <f>"01043977569"</f>
        <v>01043977569</v>
      </c>
      <c r="K300" s="1" t="str">
        <f>"2017-04-12 11:40:50"</f>
        <v>2017-04-12 11:40:50</v>
      </c>
      <c r="L300" s="1" t="str">
        <f>"2017-04-12 11:41:01"</f>
        <v>2017-04-12 11:41:01</v>
      </c>
      <c r="M300" s="2">
        <v>8.2175925925925917E-4</v>
      </c>
      <c r="N300" s="1" t="s">
        <v>26</v>
      </c>
      <c r="O300" s="1" t="s">
        <v>34</v>
      </c>
      <c r="P300" s="2">
        <v>9.4907407407407408E-4</v>
      </c>
      <c r="Q300" s="1" t="s">
        <v>319</v>
      </c>
      <c r="R300" s="1">
        <v>0</v>
      </c>
      <c r="S300" s="1" t="str">
        <f>""</f>
        <v/>
      </c>
      <c r="T300" s="1" t="s">
        <v>29</v>
      </c>
      <c r="U300" s="1" t="s">
        <v>30</v>
      </c>
      <c r="V300" s="1">
        <v>0</v>
      </c>
    </row>
    <row r="301" spans="2:22" x14ac:dyDescent="0.15">
      <c r="B301" s="1" t="str">
        <f>"153****7966"</f>
        <v>153****7966</v>
      </c>
      <c r="C301" s="1" t="s">
        <v>38</v>
      </c>
      <c r="D301" s="1" t="str">
        <f>"4000108333"</f>
        <v>4000108333</v>
      </c>
      <c r="E301" s="1" t="s">
        <v>53</v>
      </c>
      <c r="F301" s="1" t="str">
        <f>"0000"</f>
        <v>0000</v>
      </c>
      <c r="G301" s="1" t="str">
        <f>""</f>
        <v/>
      </c>
      <c r="H301" s="1" t="str">
        <f>"1010"</f>
        <v>1010</v>
      </c>
      <c r="I301" s="1" t="s">
        <v>148</v>
      </c>
      <c r="J301" s="1" t="str">
        <f>"13718091869"</f>
        <v>13718091869</v>
      </c>
      <c r="K301" s="1" t="str">
        <f>"2017-04-12 11:35:40"</f>
        <v>2017-04-12 11:35:40</v>
      </c>
      <c r="L301" s="1" t="str">
        <f>"2017-04-12 11:36:22"</f>
        <v>2017-04-12 11:36:22</v>
      </c>
      <c r="M301" s="2">
        <v>1.8587962962962962E-2</v>
      </c>
      <c r="N301" s="1" t="s">
        <v>26</v>
      </c>
      <c r="O301" s="1" t="s">
        <v>27</v>
      </c>
      <c r="P301" s="2">
        <v>1.9074074074074073E-2</v>
      </c>
      <c r="Q301" s="1" t="s">
        <v>320</v>
      </c>
      <c r="R301" s="1">
        <v>3.36</v>
      </c>
      <c r="S301" s="1" t="str">
        <f>""</f>
        <v/>
      </c>
      <c r="T301" s="1" t="s">
        <v>29</v>
      </c>
      <c r="U301" s="1" t="s">
        <v>30</v>
      </c>
      <c r="V301" s="1">
        <v>0</v>
      </c>
    </row>
    <row r="302" spans="2:22" x14ac:dyDescent="0.15">
      <c r="B302" s="1" t="str">
        <f>"153****7966"</f>
        <v>153****7966</v>
      </c>
      <c r="C302" s="1" t="s">
        <v>38</v>
      </c>
      <c r="D302" s="1" t="str">
        <f>"4000108333"</f>
        <v>4000108333</v>
      </c>
      <c r="E302" s="1" t="s">
        <v>53</v>
      </c>
      <c r="F302" s="1" t="str">
        <f>""</f>
        <v/>
      </c>
      <c r="G302" s="1" t="str">
        <f>""</f>
        <v/>
      </c>
      <c r="H302" s="1" t="str">
        <f>""</f>
        <v/>
      </c>
      <c r="I302" s="1" t="str">
        <f>""</f>
        <v/>
      </c>
      <c r="J302" s="1" t="str">
        <f>""</f>
        <v/>
      </c>
      <c r="K302" s="1" t="str">
        <f>"2017-04-12 11:35:16"</f>
        <v>2017-04-12 11:35:16</v>
      </c>
      <c r="L302" s="1" t="str">
        <f t="shared" ref="L302:L307" si="35">"-"</f>
        <v>-</v>
      </c>
      <c r="M302" s="2">
        <v>0</v>
      </c>
      <c r="N302" s="1" t="s">
        <v>55</v>
      </c>
      <c r="O302" s="1" t="s">
        <v>34</v>
      </c>
      <c r="P302" s="2">
        <v>1.7361111111111112E-4</v>
      </c>
      <c r="Q302" s="1" t="str">
        <f>""</f>
        <v/>
      </c>
      <c r="R302" s="1">
        <v>0.12</v>
      </c>
      <c r="S302" s="1" t="str">
        <f>""</f>
        <v/>
      </c>
      <c r="T302" s="1" t="s">
        <v>29</v>
      </c>
      <c r="U302" s="1" t="s">
        <v>30</v>
      </c>
      <c r="V302" s="1">
        <v>0</v>
      </c>
    </row>
    <row r="303" spans="2:22" x14ac:dyDescent="0.15">
      <c r="B303" s="1" t="str">
        <f>"180****8007"</f>
        <v>180****8007</v>
      </c>
      <c r="C303" s="1" t="s">
        <v>94</v>
      </c>
      <c r="D303" s="1" t="str">
        <f>"4000108333"</f>
        <v>4000108333</v>
      </c>
      <c r="E303" s="1" t="s">
        <v>53</v>
      </c>
      <c r="F303" s="1" t="str">
        <f>"0000"</f>
        <v>0000</v>
      </c>
      <c r="G303" s="1" t="str">
        <f>""</f>
        <v/>
      </c>
      <c r="H303" s="1" t="str">
        <f>"1010"</f>
        <v>1010</v>
      </c>
      <c r="I303" s="1" t="s">
        <v>148</v>
      </c>
      <c r="J303" s="1" t="str">
        <f>"13718091869"</f>
        <v>13718091869</v>
      </c>
      <c r="K303" s="1" t="str">
        <f>"2017-04-12 11:32:38"</f>
        <v>2017-04-12 11:32:38</v>
      </c>
      <c r="L303" s="1" t="str">
        <f t="shared" si="35"/>
        <v>-</v>
      </c>
      <c r="M303" s="2">
        <v>0</v>
      </c>
      <c r="N303" s="1" t="s">
        <v>33</v>
      </c>
      <c r="O303" s="1" t="s">
        <v>34</v>
      </c>
      <c r="P303" s="2">
        <v>2.5462962962962961E-4</v>
      </c>
      <c r="Q303" s="1" t="str">
        <f>""</f>
        <v/>
      </c>
      <c r="R303" s="1">
        <v>0.12</v>
      </c>
      <c r="S303" s="1" t="str">
        <f>""</f>
        <v/>
      </c>
      <c r="T303" s="1" t="s">
        <v>29</v>
      </c>
      <c r="U303" s="1" t="s">
        <v>30</v>
      </c>
      <c r="V303" s="1">
        <v>0</v>
      </c>
    </row>
    <row r="304" spans="2:22" x14ac:dyDescent="0.15">
      <c r="B304" s="1" t="str">
        <f>"186****0604"</f>
        <v>186****0604</v>
      </c>
      <c r="C304" s="1" t="s">
        <v>23</v>
      </c>
      <c r="D304" s="1" t="str">
        <f t="shared" ref="D304:D324" si="36">"89177328"</f>
        <v>89177328</v>
      </c>
      <c r="E304" s="1" t="s">
        <v>24</v>
      </c>
      <c r="F304" s="1" t="str">
        <f t="shared" ref="F304:F324" si="37">"0010"</f>
        <v>0010</v>
      </c>
      <c r="G304" s="1" t="str">
        <f>""</f>
        <v/>
      </c>
      <c r="H304" s="1" t="str">
        <f>"0035"</f>
        <v>0035</v>
      </c>
      <c r="I304" s="1" t="s">
        <v>25</v>
      </c>
      <c r="J304" s="1" t="str">
        <f>"01043977569"</f>
        <v>01043977569</v>
      </c>
      <c r="K304" s="1" t="str">
        <f>"2017-04-12 11:22:29"</f>
        <v>2017-04-12 11:22:29</v>
      </c>
      <c r="L304" s="1" t="str">
        <f t="shared" si="35"/>
        <v>-</v>
      </c>
      <c r="M304" s="2">
        <v>0</v>
      </c>
      <c r="N304" s="1" t="s">
        <v>33</v>
      </c>
      <c r="O304" s="1" t="s">
        <v>34</v>
      </c>
      <c r="P304" s="2">
        <v>5.7870370370370366E-5</v>
      </c>
      <c r="Q304" s="1" t="str">
        <f>""</f>
        <v/>
      </c>
      <c r="R304" s="1">
        <v>0</v>
      </c>
      <c r="S304" s="1" t="str">
        <f>""</f>
        <v/>
      </c>
      <c r="T304" s="1" t="s">
        <v>29</v>
      </c>
      <c r="U304" s="1" t="s">
        <v>30</v>
      </c>
      <c r="V304" s="1">
        <v>0</v>
      </c>
    </row>
    <row r="305" spans="2:22" x14ac:dyDescent="0.15">
      <c r="B305" s="1" t="str">
        <f>"188****7867"</f>
        <v>188****7867</v>
      </c>
      <c r="C305" s="1" t="s">
        <v>23</v>
      </c>
      <c r="D305" s="1" t="str">
        <f t="shared" si="36"/>
        <v>89177328</v>
      </c>
      <c r="E305" s="1" t="s">
        <v>24</v>
      </c>
      <c r="F305" s="1" t="str">
        <f t="shared" si="37"/>
        <v>0010</v>
      </c>
      <c r="G305" s="1" t="str">
        <f>""</f>
        <v/>
      </c>
      <c r="H305" s="1" t="str">
        <f>"0035"</f>
        <v>0035</v>
      </c>
      <c r="I305" s="1" t="s">
        <v>25</v>
      </c>
      <c r="J305" s="1" t="str">
        <f>"01043977569"</f>
        <v>01043977569</v>
      </c>
      <c r="K305" s="1" t="str">
        <f>"2017-04-12 11:21:40"</f>
        <v>2017-04-12 11:21:40</v>
      </c>
      <c r="L305" s="1" t="str">
        <f t="shared" si="35"/>
        <v>-</v>
      </c>
      <c r="M305" s="2">
        <v>0</v>
      </c>
      <c r="N305" s="1" t="s">
        <v>33</v>
      </c>
      <c r="O305" s="1" t="s">
        <v>34</v>
      </c>
      <c r="P305" s="2">
        <v>4.6296296296296294E-5</v>
      </c>
      <c r="Q305" s="1" t="str">
        <f>""</f>
        <v/>
      </c>
      <c r="R305" s="1">
        <v>0</v>
      </c>
      <c r="S305" s="1" t="str">
        <f>""</f>
        <v/>
      </c>
      <c r="T305" s="1" t="s">
        <v>29</v>
      </c>
      <c r="U305" s="1" t="s">
        <v>30</v>
      </c>
      <c r="V305" s="1">
        <v>0</v>
      </c>
    </row>
    <row r="306" spans="2:22" x14ac:dyDescent="0.15">
      <c r="B306" s="1" t="str">
        <f>"188****7867"</f>
        <v>188****7867</v>
      </c>
      <c r="C306" s="1" t="s">
        <v>23</v>
      </c>
      <c r="D306" s="1" t="str">
        <f t="shared" si="36"/>
        <v>89177328</v>
      </c>
      <c r="E306" s="1" t="s">
        <v>24</v>
      </c>
      <c r="F306" s="1" t="str">
        <f t="shared" si="37"/>
        <v>0010</v>
      </c>
      <c r="G306" s="1" t="str">
        <f>""</f>
        <v/>
      </c>
      <c r="H306" s="1" t="str">
        <f>"0035"</f>
        <v>0035</v>
      </c>
      <c r="I306" s="1" t="s">
        <v>25</v>
      </c>
      <c r="J306" s="1" t="str">
        <f>"01043977569"</f>
        <v>01043977569</v>
      </c>
      <c r="K306" s="1" t="str">
        <f>"2017-04-12 11:18:49"</f>
        <v>2017-04-12 11:18:49</v>
      </c>
      <c r="L306" s="1" t="str">
        <f t="shared" si="35"/>
        <v>-</v>
      </c>
      <c r="M306" s="2">
        <v>0</v>
      </c>
      <c r="N306" s="1" t="s">
        <v>33</v>
      </c>
      <c r="O306" s="1" t="s">
        <v>34</v>
      </c>
      <c r="P306" s="2">
        <v>6.9444444444444444E-5</v>
      </c>
      <c r="Q306" s="1" t="str">
        <f>""</f>
        <v/>
      </c>
      <c r="R306" s="1">
        <v>0</v>
      </c>
      <c r="S306" s="1" t="str">
        <f>""</f>
        <v/>
      </c>
      <c r="T306" s="1" t="s">
        <v>29</v>
      </c>
      <c r="U306" s="1" t="s">
        <v>30</v>
      </c>
      <c r="V306" s="1">
        <v>0</v>
      </c>
    </row>
    <row r="307" spans="2:22" x14ac:dyDescent="0.15">
      <c r="B307" s="1" t="str">
        <f>"186****0604"</f>
        <v>186****0604</v>
      </c>
      <c r="C307" s="1" t="s">
        <v>23</v>
      </c>
      <c r="D307" s="1" t="str">
        <f t="shared" si="36"/>
        <v>89177328</v>
      </c>
      <c r="E307" s="1" t="s">
        <v>24</v>
      </c>
      <c r="F307" s="1" t="str">
        <f t="shared" si="37"/>
        <v>0010</v>
      </c>
      <c r="G307" s="1" t="str">
        <f>""</f>
        <v/>
      </c>
      <c r="H307" s="1" t="str">
        <f>"0035"</f>
        <v>0035</v>
      </c>
      <c r="I307" s="1" t="s">
        <v>25</v>
      </c>
      <c r="J307" s="1" t="str">
        <f>"01043977569"</f>
        <v>01043977569</v>
      </c>
      <c r="K307" s="1" t="str">
        <f>"2017-04-12 11:15:45"</f>
        <v>2017-04-12 11:15:45</v>
      </c>
      <c r="L307" s="1" t="str">
        <f t="shared" si="35"/>
        <v>-</v>
      </c>
      <c r="M307" s="2">
        <v>0</v>
      </c>
      <c r="N307" s="1" t="s">
        <v>33</v>
      </c>
      <c r="O307" s="1" t="s">
        <v>34</v>
      </c>
      <c r="P307" s="2">
        <v>4.6296296296296294E-5</v>
      </c>
      <c r="Q307" s="1" t="str">
        <f>""</f>
        <v/>
      </c>
      <c r="R307" s="1">
        <v>0</v>
      </c>
      <c r="S307" s="1" t="str">
        <f>""</f>
        <v/>
      </c>
      <c r="T307" s="1" t="s">
        <v>29</v>
      </c>
      <c r="U307" s="1" t="s">
        <v>30</v>
      </c>
      <c r="V307" s="1">
        <v>0</v>
      </c>
    </row>
    <row r="308" spans="2:22" x14ac:dyDescent="0.15">
      <c r="B308" s="1" t="str">
        <f>"135****7260"</f>
        <v>135****7260</v>
      </c>
      <c r="C308" s="1" t="s">
        <v>23</v>
      </c>
      <c r="D308" s="1" t="str">
        <f t="shared" si="36"/>
        <v>89177328</v>
      </c>
      <c r="E308" s="1" t="s">
        <v>24</v>
      </c>
      <c r="F308" s="1" t="str">
        <f t="shared" si="37"/>
        <v>0010</v>
      </c>
      <c r="G308" s="1" t="str">
        <f>""</f>
        <v/>
      </c>
      <c r="H308" s="1" t="str">
        <f>"0018"</f>
        <v>0018</v>
      </c>
      <c r="I308" s="1" t="s">
        <v>36</v>
      </c>
      <c r="J308" s="1" t="str">
        <f>"01043977572"</f>
        <v>01043977572</v>
      </c>
      <c r="K308" s="1" t="str">
        <f>"2017-04-12 11:10:48"</f>
        <v>2017-04-12 11:10:48</v>
      </c>
      <c r="L308" s="1" t="str">
        <f>"2017-04-12 11:10:58"</f>
        <v>2017-04-12 11:10:58</v>
      </c>
      <c r="M308" s="2">
        <v>3.1944444444444442E-3</v>
      </c>
      <c r="N308" s="1" t="s">
        <v>26</v>
      </c>
      <c r="O308" s="1" t="s">
        <v>34</v>
      </c>
      <c r="P308" s="2">
        <v>3.3101851851851851E-3</v>
      </c>
      <c r="Q308" s="1" t="s">
        <v>321</v>
      </c>
      <c r="R308" s="1">
        <v>0</v>
      </c>
      <c r="S308" s="1" t="str">
        <f>""</f>
        <v/>
      </c>
      <c r="T308" s="1" t="s">
        <v>29</v>
      </c>
      <c r="U308" s="1" t="s">
        <v>30</v>
      </c>
      <c r="V308" s="1">
        <v>0</v>
      </c>
    </row>
    <row r="309" spans="2:22" x14ac:dyDescent="0.15">
      <c r="B309" s="1" t="str">
        <f>"0316015801023583"</f>
        <v>0316015801023583</v>
      </c>
      <c r="C309" s="1" t="s">
        <v>51</v>
      </c>
      <c r="D309" s="1" t="str">
        <f t="shared" si="36"/>
        <v>89177328</v>
      </c>
      <c r="E309" s="1" t="s">
        <v>24</v>
      </c>
      <c r="F309" s="1" t="str">
        <f t="shared" si="37"/>
        <v>0010</v>
      </c>
      <c r="G309" s="1" t="str">
        <f>""</f>
        <v/>
      </c>
      <c r="H309" s="1" t="str">
        <f>"0035"</f>
        <v>0035</v>
      </c>
      <c r="I309" s="1" t="s">
        <v>25</v>
      </c>
      <c r="J309" s="1" t="str">
        <f>"01043977569"</f>
        <v>01043977569</v>
      </c>
      <c r="K309" s="1" t="str">
        <f>"2017-04-12 11:10:30"</f>
        <v>2017-04-12 11:10:30</v>
      </c>
      <c r="L309" s="1" t="str">
        <f>"2017-04-12 11:10:37"</f>
        <v>2017-04-12 11:10:37</v>
      </c>
      <c r="M309" s="2">
        <v>1.2962962962962963E-3</v>
      </c>
      <c r="N309" s="1" t="s">
        <v>26</v>
      </c>
      <c r="O309" s="1" t="s">
        <v>27</v>
      </c>
      <c r="P309" s="2">
        <v>1.3773148148148147E-3</v>
      </c>
      <c r="Q309" s="1" t="s">
        <v>322</v>
      </c>
      <c r="R309" s="1">
        <v>0</v>
      </c>
      <c r="S309" s="1" t="str">
        <f>""</f>
        <v/>
      </c>
      <c r="T309" s="1" t="s">
        <v>29</v>
      </c>
      <c r="U309" s="1" t="s">
        <v>30</v>
      </c>
      <c r="V309" s="1">
        <v>0</v>
      </c>
    </row>
    <row r="310" spans="2:22" x14ac:dyDescent="0.15">
      <c r="B310" s="1" t="str">
        <f>"010****7099"</f>
        <v>010****7099</v>
      </c>
      <c r="C310" s="1" t="s">
        <v>23</v>
      </c>
      <c r="D310" s="1" t="str">
        <f t="shared" si="36"/>
        <v>89177328</v>
      </c>
      <c r="E310" s="1" t="s">
        <v>24</v>
      </c>
      <c r="F310" s="1" t="str">
        <f t="shared" si="37"/>
        <v>0010</v>
      </c>
      <c r="G310" s="1" t="str">
        <f>""</f>
        <v/>
      </c>
      <c r="H310" s="1" t="str">
        <f>"0018"</f>
        <v>0018</v>
      </c>
      <c r="I310" s="1" t="s">
        <v>36</v>
      </c>
      <c r="J310" s="1" t="str">
        <f>"01043977572"</f>
        <v>01043977572</v>
      </c>
      <c r="K310" s="1" t="str">
        <f>"2017-04-12 11:03:36"</f>
        <v>2017-04-12 11:03:36</v>
      </c>
      <c r="L310" s="1" t="str">
        <f>"2017-04-12 11:03:54"</f>
        <v>2017-04-12 11:03:54</v>
      </c>
      <c r="M310" s="2">
        <v>1.4120370370370369E-3</v>
      </c>
      <c r="N310" s="1" t="s">
        <v>26</v>
      </c>
      <c r="O310" s="1" t="s">
        <v>34</v>
      </c>
      <c r="P310" s="2">
        <v>1.6203703703703703E-3</v>
      </c>
      <c r="Q310" s="1" t="s">
        <v>323</v>
      </c>
      <c r="R310" s="1">
        <v>0</v>
      </c>
      <c r="S310" s="1" t="str">
        <f>""</f>
        <v/>
      </c>
      <c r="T310" s="1" t="s">
        <v>29</v>
      </c>
      <c r="U310" s="1" t="s">
        <v>30</v>
      </c>
      <c r="V310" s="1">
        <v>0</v>
      </c>
    </row>
    <row r="311" spans="2:22" x14ac:dyDescent="0.15">
      <c r="B311" s="1" t="str">
        <f>"150****2375"</f>
        <v>150****2375</v>
      </c>
      <c r="C311" s="1" t="s">
        <v>76</v>
      </c>
      <c r="D311" s="1" t="str">
        <f t="shared" si="36"/>
        <v>89177328</v>
      </c>
      <c r="E311" s="1" t="s">
        <v>24</v>
      </c>
      <c r="F311" s="1" t="str">
        <f t="shared" si="37"/>
        <v>0010</v>
      </c>
      <c r="G311" s="1" t="str">
        <f>""</f>
        <v/>
      </c>
      <c r="H311" s="1" t="str">
        <f>"0036"</f>
        <v>0036</v>
      </c>
      <c r="I311" s="1" t="s">
        <v>143</v>
      </c>
      <c r="J311" s="1" t="str">
        <f>"01043977573"</f>
        <v>01043977573</v>
      </c>
      <c r="K311" s="1" t="str">
        <f>"2017-04-12 10:46:37"</f>
        <v>2017-04-12 10:46:37</v>
      </c>
      <c r="L311" s="1" t="str">
        <f>"2017-04-12 10:46:47"</f>
        <v>2017-04-12 10:46:47</v>
      </c>
      <c r="M311" s="2">
        <v>8.8310185185185176E-3</v>
      </c>
      <c r="N311" s="1" t="s">
        <v>26</v>
      </c>
      <c r="O311" s="1" t="s">
        <v>34</v>
      </c>
      <c r="P311" s="2">
        <v>8.9467592592592585E-3</v>
      </c>
      <c r="Q311" s="1" t="s">
        <v>324</v>
      </c>
      <c r="R311" s="1">
        <v>0</v>
      </c>
      <c r="S311" s="1" t="str">
        <f>""</f>
        <v/>
      </c>
      <c r="T311" s="1" t="s">
        <v>29</v>
      </c>
      <c r="U311" s="1" t="s">
        <v>30</v>
      </c>
      <c r="V311" s="1">
        <v>0</v>
      </c>
    </row>
    <row r="312" spans="2:22" x14ac:dyDescent="0.15">
      <c r="B312" s="1" t="str">
        <f>"010****4717"</f>
        <v>010****4717</v>
      </c>
      <c r="C312" s="1" t="s">
        <v>23</v>
      </c>
      <c r="D312" s="1" t="str">
        <f t="shared" si="36"/>
        <v>89177328</v>
      </c>
      <c r="E312" s="1" t="s">
        <v>24</v>
      </c>
      <c r="F312" s="1" t="str">
        <f t="shared" si="37"/>
        <v>0010</v>
      </c>
      <c r="G312" s="1" t="str">
        <f>""</f>
        <v/>
      </c>
      <c r="H312" s="1" t="str">
        <f>""</f>
        <v/>
      </c>
      <c r="I312" s="1" t="str">
        <f>""</f>
        <v/>
      </c>
      <c r="J312" s="1" t="str">
        <f>""</f>
        <v/>
      </c>
      <c r="K312" s="1" t="str">
        <f>"2017-04-12 10:45:07"</f>
        <v>2017-04-12 10:45:07</v>
      </c>
      <c r="L312" s="1" t="str">
        <f>"-"</f>
        <v>-</v>
      </c>
      <c r="M312" s="2">
        <v>0</v>
      </c>
      <c r="N312" s="1" t="s">
        <v>55</v>
      </c>
      <c r="O312" s="1" t="s">
        <v>27</v>
      </c>
      <c r="P312" s="2">
        <v>4.6296296296296294E-5</v>
      </c>
      <c r="Q312" s="1" t="str">
        <f>""</f>
        <v/>
      </c>
      <c r="R312" s="1">
        <v>0</v>
      </c>
      <c r="S312" s="1" t="str">
        <f>""</f>
        <v/>
      </c>
      <c r="T312" s="1" t="s">
        <v>29</v>
      </c>
      <c r="U312" s="1" t="s">
        <v>30</v>
      </c>
      <c r="V312" s="1">
        <v>0</v>
      </c>
    </row>
    <row r="313" spans="2:22" x14ac:dyDescent="0.15">
      <c r="B313" s="1" t="str">
        <f>"010****1154"</f>
        <v>010****1154</v>
      </c>
      <c r="C313" s="1" t="s">
        <v>23</v>
      </c>
      <c r="D313" s="1" t="str">
        <f t="shared" si="36"/>
        <v>89177328</v>
      </c>
      <c r="E313" s="1" t="s">
        <v>24</v>
      </c>
      <c r="F313" s="1" t="str">
        <f t="shared" si="37"/>
        <v>0010</v>
      </c>
      <c r="G313" s="1" t="str">
        <f>""</f>
        <v/>
      </c>
      <c r="H313" s="1" t="str">
        <f>""</f>
        <v/>
      </c>
      <c r="I313" s="1" t="str">
        <f>""</f>
        <v/>
      </c>
      <c r="J313" s="1" t="str">
        <f>""</f>
        <v/>
      </c>
      <c r="K313" s="1" t="str">
        <f>"2017-04-12 10:43:59"</f>
        <v>2017-04-12 10:43:59</v>
      </c>
      <c r="L313" s="1" t="str">
        <f>"-"</f>
        <v>-</v>
      </c>
      <c r="M313" s="2">
        <v>0</v>
      </c>
      <c r="N313" s="1" t="s">
        <v>55</v>
      </c>
      <c r="O313" s="1" t="s">
        <v>27</v>
      </c>
      <c r="P313" s="2">
        <v>5.7870370370370366E-5</v>
      </c>
      <c r="Q313" s="1" t="str">
        <f>""</f>
        <v/>
      </c>
      <c r="R313" s="1">
        <v>0</v>
      </c>
      <c r="S313" s="1" t="str">
        <f>""</f>
        <v/>
      </c>
      <c r="T313" s="1" t="s">
        <v>29</v>
      </c>
      <c r="U313" s="1" t="s">
        <v>30</v>
      </c>
      <c r="V313" s="1">
        <v>0</v>
      </c>
    </row>
    <row r="314" spans="2:22" x14ac:dyDescent="0.15">
      <c r="B314" s="1" t="str">
        <f>"176****3210"</f>
        <v>176****3210</v>
      </c>
      <c r="C314" s="1" t="s">
        <v>23</v>
      </c>
      <c r="D314" s="1" t="str">
        <f t="shared" si="36"/>
        <v>89177328</v>
      </c>
      <c r="E314" s="1" t="s">
        <v>24</v>
      </c>
      <c r="F314" s="1" t="str">
        <f t="shared" si="37"/>
        <v>0010</v>
      </c>
      <c r="G314" s="1" t="str">
        <f>""</f>
        <v/>
      </c>
      <c r="H314" s="1" t="str">
        <f>"0018"</f>
        <v>0018</v>
      </c>
      <c r="I314" s="1" t="s">
        <v>36</v>
      </c>
      <c r="J314" s="1" t="str">
        <f>"01043977572"</f>
        <v>01043977572</v>
      </c>
      <c r="K314" s="1" t="str">
        <f>"2017-04-12 10:43:04"</f>
        <v>2017-04-12 10:43:04</v>
      </c>
      <c r="L314" s="1" t="str">
        <f>"2017-04-12 10:43:12"</f>
        <v>2017-04-12 10:43:12</v>
      </c>
      <c r="M314" s="2">
        <v>1.8171296296296297E-3</v>
      </c>
      <c r="N314" s="1" t="s">
        <v>26</v>
      </c>
      <c r="O314" s="1" t="s">
        <v>27</v>
      </c>
      <c r="P314" s="2">
        <v>1.9097222222222222E-3</v>
      </c>
      <c r="Q314" s="1" t="s">
        <v>325</v>
      </c>
      <c r="R314" s="1">
        <v>0</v>
      </c>
      <c r="S314" s="1" t="str">
        <f>""</f>
        <v/>
      </c>
      <c r="T314" s="1" t="s">
        <v>29</v>
      </c>
      <c r="U314" s="1" t="s">
        <v>30</v>
      </c>
      <c r="V314" s="1">
        <v>0</v>
      </c>
    </row>
    <row r="315" spans="2:22" x14ac:dyDescent="0.15">
      <c r="B315" s="1" t="str">
        <f>"176****3210"</f>
        <v>176****3210</v>
      </c>
      <c r="C315" s="1" t="s">
        <v>23</v>
      </c>
      <c r="D315" s="1" t="str">
        <f t="shared" si="36"/>
        <v>89177328</v>
      </c>
      <c r="E315" s="1" t="s">
        <v>24</v>
      </c>
      <c r="F315" s="1" t="str">
        <f t="shared" si="37"/>
        <v>0010</v>
      </c>
      <c r="G315" s="1" t="str">
        <f>""</f>
        <v/>
      </c>
      <c r="H315" s="1" t="str">
        <f>"0033"</f>
        <v>0033</v>
      </c>
      <c r="I315" s="1" t="s">
        <v>106</v>
      </c>
      <c r="J315" s="1" t="str">
        <f>"01043977567"</f>
        <v>01043977567</v>
      </c>
      <c r="K315" s="1" t="str">
        <f>"2017-04-12 10:33:26"</f>
        <v>2017-04-12 10:33:26</v>
      </c>
      <c r="L315" s="1" t="str">
        <f>"2017-04-12 10:33:35"</f>
        <v>2017-04-12 10:33:35</v>
      </c>
      <c r="M315" s="2">
        <v>4.8379629629629632E-3</v>
      </c>
      <c r="N315" s="1" t="s">
        <v>26</v>
      </c>
      <c r="O315" s="1" t="s">
        <v>34</v>
      </c>
      <c r="P315" s="2">
        <v>4.9421296296296288E-3</v>
      </c>
      <c r="Q315" s="1" t="s">
        <v>326</v>
      </c>
      <c r="R315" s="1">
        <v>0</v>
      </c>
      <c r="S315" s="1" t="str">
        <f>""</f>
        <v/>
      </c>
      <c r="T315" s="1" t="s">
        <v>29</v>
      </c>
      <c r="U315" s="1" t="s">
        <v>30</v>
      </c>
      <c r="V315" s="1">
        <v>0</v>
      </c>
    </row>
    <row r="316" spans="2:22" x14ac:dyDescent="0.15">
      <c r="B316" s="1" t="str">
        <f>"186****0351"</f>
        <v>186****0351</v>
      </c>
      <c r="C316" s="1" t="s">
        <v>23</v>
      </c>
      <c r="D316" s="1" t="str">
        <f t="shared" si="36"/>
        <v>89177328</v>
      </c>
      <c r="E316" s="1" t="s">
        <v>24</v>
      </c>
      <c r="F316" s="1" t="str">
        <f t="shared" si="37"/>
        <v>0010</v>
      </c>
      <c r="G316" s="1" t="str">
        <f>""</f>
        <v/>
      </c>
      <c r="H316" s="1" t="str">
        <f>"0035"</f>
        <v>0035</v>
      </c>
      <c r="I316" s="1" t="s">
        <v>25</v>
      </c>
      <c r="J316" s="1" t="str">
        <f>"01043977569"</f>
        <v>01043977569</v>
      </c>
      <c r="K316" s="1" t="str">
        <f>"2017-04-12 10:30:44"</f>
        <v>2017-04-12 10:30:44</v>
      </c>
      <c r="L316" s="1" t="str">
        <f>"2017-04-12 10:30:52"</f>
        <v>2017-04-12 10:30:52</v>
      </c>
      <c r="M316" s="2">
        <v>5.1273148148148146E-3</v>
      </c>
      <c r="N316" s="1" t="s">
        <v>26</v>
      </c>
      <c r="O316" s="1" t="s">
        <v>27</v>
      </c>
      <c r="P316" s="2">
        <v>5.2199074074074066E-3</v>
      </c>
      <c r="Q316" s="1" t="s">
        <v>327</v>
      </c>
      <c r="R316" s="1">
        <v>0</v>
      </c>
      <c r="S316" s="1" t="str">
        <f>""</f>
        <v/>
      </c>
      <c r="T316" s="1" t="s">
        <v>29</v>
      </c>
      <c r="U316" s="1" t="s">
        <v>30</v>
      </c>
      <c r="V316" s="1">
        <v>0</v>
      </c>
    </row>
    <row r="317" spans="2:22" x14ac:dyDescent="0.15">
      <c r="B317" s="1" t="str">
        <f>"136****6396"</f>
        <v>136****6396</v>
      </c>
      <c r="C317" s="1" t="s">
        <v>23</v>
      </c>
      <c r="D317" s="1" t="str">
        <f t="shared" si="36"/>
        <v>89177328</v>
      </c>
      <c r="E317" s="1" t="s">
        <v>24</v>
      </c>
      <c r="F317" s="1" t="str">
        <f t="shared" si="37"/>
        <v>0010</v>
      </c>
      <c r="G317" s="1" t="str">
        <f>""</f>
        <v/>
      </c>
      <c r="H317" s="1" t="str">
        <f>"0033"</f>
        <v>0033</v>
      </c>
      <c r="I317" s="1" t="s">
        <v>106</v>
      </c>
      <c r="J317" s="1" t="str">
        <f>"01043977567"</f>
        <v>01043977567</v>
      </c>
      <c r="K317" s="1" t="str">
        <f>"2017-04-12 10:26:19"</f>
        <v>2017-04-12 10:26:19</v>
      </c>
      <c r="L317" s="1" t="str">
        <f>"2017-04-12 10:26:31"</f>
        <v>2017-04-12 10:26:31</v>
      </c>
      <c r="M317" s="2">
        <v>4.0046296296296297E-3</v>
      </c>
      <c r="N317" s="1" t="s">
        <v>26</v>
      </c>
      <c r="O317" s="1" t="s">
        <v>27</v>
      </c>
      <c r="P317" s="2">
        <v>4.1435185185185186E-3</v>
      </c>
      <c r="Q317" s="1" t="s">
        <v>328</v>
      </c>
      <c r="R317" s="1">
        <v>0</v>
      </c>
      <c r="S317" s="1" t="str">
        <f>""</f>
        <v/>
      </c>
      <c r="T317" s="1" t="s">
        <v>29</v>
      </c>
      <c r="U317" s="1" t="s">
        <v>30</v>
      </c>
      <c r="V317" s="1">
        <v>0</v>
      </c>
    </row>
    <row r="318" spans="2:22" x14ac:dyDescent="0.15">
      <c r="B318" s="1" t="str">
        <f>"151****7777"</f>
        <v>151****7777</v>
      </c>
      <c r="C318" s="1" t="s">
        <v>244</v>
      </c>
      <c r="D318" s="1" t="str">
        <f t="shared" si="36"/>
        <v>89177328</v>
      </c>
      <c r="E318" s="1" t="s">
        <v>24</v>
      </c>
      <c r="F318" s="1" t="str">
        <f t="shared" si="37"/>
        <v>0010</v>
      </c>
      <c r="G318" s="1" t="str">
        <f>""</f>
        <v/>
      </c>
      <c r="H318" s="1" t="str">
        <f>"0036"</f>
        <v>0036</v>
      </c>
      <c r="I318" s="1" t="s">
        <v>143</v>
      </c>
      <c r="J318" s="1" t="str">
        <f>"01043977573"</f>
        <v>01043977573</v>
      </c>
      <c r="K318" s="1" t="str">
        <f>"2017-04-12 10:22:24"</f>
        <v>2017-04-12 10:22:24</v>
      </c>
      <c r="L318" s="1" t="str">
        <f>"2017-04-12 10:22:32"</f>
        <v>2017-04-12 10:22:32</v>
      </c>
      <c r="M318" s="2">
        <v>1.6458333333333332E-2</v>
      </c>
      <c r="N318" s="1" t="s">
        <v>26</v>
      </c>
      <c r="O318" s="1" t="s">
        <v>34</v>
      </c>
      <c r="P318" s="2">
        <v>1.6550925925925924E-2</v>
      </c>
      <c r="Q318" s="1" t="s">
        <v>329</v>
      </c>
      <c r="R318" s="1">
        <v>0</v>
      </c>
      <c r="S318" s="1" t="str">
        <f>""</f>
        <v/>
      </c>
      <c r="T318" s="1" t="s">
        <v>29</v>
      </c>
      <c r="U318" s="1" t="s">
        <v>30</v>
      </c>
      <c r="V318" s="1">
        <v>0</v>
      </c>
    </row>
    <row r="319" spans="2:22" x14ac:dyDescent="0.15">
      <c r="B319" s="1" t="str">
        <f>"137****2658"</f>
        <v>137****2658</v>
      </c>
      <c r="C319" s="1" t="s">
        <v>23</v>
      </c>
      <c r="D319" s="1" t="str">
        <f t="shared" si="36"/>
        <v>89177328</v>
      </c>
      <c r="E319" s="1" t="s">
        <v>24</v>
      </c>
      <c r="F319" s="1" t="str">
        <f t="shared" si="37"/>
        <v>0010</v>
      </c>
      <c r="G319" s="1" t="str">
        <f>""</f>
        <v/>
      </c>
      <c r="H319" s="1" t="str">
        <f>"0035"</f>
        <v>0035</v>
      </c>
      <c r="I319" s="1" t="s">
        <v>25</v>
      </c>
      <c r="J319" s="1" t="str">
        <f>"01043977569"</f>
        <v>01043977569</v>
      </c>
      <c r="K319" s="1" t="str">
        <f>"2017-04-12 10:16:53"</f>
        <v>2017-04-12 10:16:53</v>
      </c>
      <c r="L319" s="1" t="str">
        <f>"2017-04-12 10:17:02"</f>
        <v>2017-04-12 10:17:02</v>
      </c>
      <c r="M319" s="2">
        <v>2.0833333333333333E-3</v>
      </c>
      <c r="N319" s="1" t="s">
        <v>26</v>
      </c>
      <c r="O319" s="1" t="s">
        <v>34</v>
      </c>
      <c r="P319" s="2">
        <v>2.1874999999999998E-3</v>
      </c>
      <c r="Q319" s="1" t="s">
        <v>330</v>
      </c>
      <c r="R319" s="1">
        <v>0</v>
      </c>
      <c r="S319" s="1" t="str">
        <f>""</f>
        <v/>
      </c>
      <c r="T319" s="1" t="s">
        <v>29</v>
      </c>
      <c r="U319" s="1" t="s">
        <v>30</v>
      </c>
      <c r="V319" s="1">
        <v>0</v>
      </c>
    </row>
    <row r="320" spans="2:22" x14ac:dyDescent="0.15">
      <c r="B320" s="1" t="str">
        <f>"116114"</f>
        <v>116114</v>
      </c>
      <c r="C320" s="1" t="s">
        <v>159</v>
      </c>
      <c r="D320" s="1" t="str">
        <f t="shared" si="36"/>
        <v>89177328</v>
      </c>
      <c r="E320" s="1" t="s">
        <v>24</v>
      </c>
      <c r="F320" s="1" t="str">
        <f t="shared" si="37"/>
        <v>0010</v>
      </c>
      <c r="G320" s="1" t="str">
        <f>""</f>
        <v/>
      </c>
      <c r="H320" s="1" t="str">
        <f>"0033"</f>
        <v>0033</v>
      </c>
      <c r="I320" s="1" t="s">
        <v>106</v>
      </c>
      <c r="J320" s="1" t="str">
        <f>"01043977567"</f>
        <v>01043977567</v>
      </c>
      <c r="K320" s="1" t="str">
        <f>"2017-04-12 10:14:28"</f>
        <v>2017-04-12 10:14:28</v>
      </c>
      <c r="L320" s="1" t="str">
        <f>"2017-04-12 10:14:38"</f>
        <v>2017-04-12 10:14:38</v>
      </c>
      <c r="M320" s="2">
        <v>2.2106481481481478E-3</v>
      </c>
      <c r="N320" s="1" t="s">
        <v>26</v>
      </c>
      <c r="O320" s="1" t="s">
        <v>27</v>
      </c>
      <c r="P320" s="2">
        <v>2.3263888888888887E-3</v>
      </c>
      <c r="Q320" s="1" t="s">
        <v>331</v>
      </c>
      <c r="R320" s="1">
        <v>0</v>
      </c>
      <c r="S320" s="1" t="str">
        <f>""</f>
        <v/>
      </c>
      <c r="T320" s="1" t="s">
        <v>29</v>
      </c>
      <c r="U320" s="1" t="s">
        <v>30</v>
      </c>
      <c r="V320" s="1">
        <v>0</v>
      </c>
    </row>
    <row r="321" spans="2:22" x14ac:dyDescent="0.15">
      <c r="B321" s="1" t="str">
        <f>"139****6504"</f>
        <v>139****6504</v>
      </c>
      <c r="C321" s="1" t="s">
        <v>23</v>
      </c>
      <c r="D321" s="1" t="str">
        <f t="shared" si="36"/>
        <v>89177328</v>
      </c>
      <c r="E321" s="1" t="s">
        <v>24</v>
      </c>
      <c r="F321" s="1" t="str">
        <f t="shared" si="37"/>
        <v>0010</v>
      </c>
      <c r="G321" s="1" t="str">
        <f>""</f>
        <v/>
      </c>
      <c r="H321" s="1" t="str">
        <f>"0018"</f>
        <v>0018</v>
      </c>
      <c r="I321" s="1" t="s">
        <v>36</v>
      </c>
      <c r="J321" s="1" t="str">
        <f>"01043977572"</f>
        <v>01043977572</v>
      </c>
      <c r="K321" s="1" t="str">
        <f>"2017-04-12 10:14:06"</f>
        <v>2017-04-12 10:14:06</v>
      </c>
      <c r="L321" s="1" t="str">
        <f>"2017-04-12 10:14:15"</f>
        <v>2017-04-12 10:14:15</v>
      </c>
      <c r="M321" s="2">
        <v>1.5138888888888889E-2</v>
      </c>
      <c r="N321" s="1" t="s">
        <v>26</v>
      </c>
      <c r="O321" s="1" t="s">
        <v>34</v>
      </c>
      <c r="P321" s="2">
        <v>1.5243055555555557E-2</v>
      </c>
      <c r="Q321" s="1" t="s">
        <v>332</v>
      </c>
      <c r="R321" s="1">
        <v>0</v>
      </c>
      <c r="S321" s="1" t="str">
        <f>""</f>
        <v/>
      </c>
      <c r="T321" s="1" t="s">
        <v>29</v>
      </c>
      <c r="U321" s="1" t="s">
        <v>30</v>
      </c>
      <c r="V321" s="1">
        <v>0</v>
      </c>
    </row>
    <row r="322" spans="2:22" x14ac:dyDescent="0.15">
      <c r="B322" s="1" t="str">
        <f>"131****5802"</f>
        <v>131****5802</v>
      </c>
      <c r="C322" s="1" t="s">
        <v>23</v>
      </c>
      <c r="D322" s="1" t="str">
        <f t="shared" si="36"/>
        <v>89177328</v>
      </c>
      <c r="E322" s="1" t="s">
        <v>24</v>
      </c>
      <c r="F322" s="1" t="str">
        <f t="shared" si="37"/>
        <v>0010</v>
      </c>
      <c r="G322" s="1" t="str">
        <f>""</f>
        <v/>
      </c>
      <c r="H322" s="1" t="str">
        <f>"0017"</f>
        <v>0017</v>
      </c>
      <c r="I322" s="1" t="s">
        <v>135</v>
      </c>
      <c r="J322" s="1" t="str">
        <f>"01043989717"</f>
        <v>01043989717</v>
      </c>
      <c r="K322" s="1" t="str">
        <f>"2017-04-12 10:13:51"</f>
        <v>2017-04-12 10:13:51</v>
      </c>
      <c r="L322" s="1" t="str">
        <f>"2017-04-12 10:14:00"</f>
        <v>2017-04-12 10:14:00</v>
      </c>
      <c r="M322" s="2">
        <v>7.5810185185185182E-3</v>
      </c>
      <c r="N322" s="1" t="s">
        <v>26</v>
      </c>
      <c r="O322" s="1" t="s">
        <v>27</v>
      </c>
      <c r="P322" s="2">
        <v>7.6851851851851847E-3</v>
      </c>
      <c r="Q322" s="1" t="s">
        <v>333</v>
      </c>
      <c r="R322" s="1">
        <v>0</v>
      </c>
      <c r="S322" s="1" t="str">
        <f>""</f>
        <v/>
      </c>
      <c r="T322" s="1" t="s">
        <v>29</v>
      </c>
      <c r="U322" s="1" t="s">
        <v>30</v>
      </c>
      <c r="V322" s="1">
        <v>0</v>
      </c>
    </row>
    <row r="323" spans="2:22" x14ac:dyDescent="0.15">
      <c r="B323" s="1" t="str">
        <f>"010****6883"</f>
        <v>010****6883</v>
      </c>
      <c r="C323" s="1" t="s">
        <v>23</v>
      </c>
      <c r="D323" s="1" t="str">
        <f t="shared" si="36"/>
        <v>89177328</v>
      </c>
      <c r="E323" s="1" t="s">
        <v>24</v>
      </c>
      <c r="F323" s="1" t="str">
        <f t="shared" si="37"/>
        <v>0010</v>
      </c>
      <c r="G323" s="1" t="str">
        <f>""</f>
        <v/>
      </c>
      <c r="H323" s="1" t="str">
        <f>"0018"</f>
        <v>0018</v>
      </c>
      <c r="I323" s="1" t="s">
        <v>36</v>
      </c>
      <c r="J323" s="1" t="str">
        <f>"01043977572"</f>
        <v>01043977572</v>
      </c>
      <c r="K323" s="1" t="str">
        <f>"2017-04-12 09:58:58"</f>
        <v>2017-04-12 09:58:58</v>
      </c>
      <c r="L323" s="1" t="str">
        <f>"2017-04-12 09:59:08"</f>
        <v>2017-04-12 09:59:08</v>
      </c>
      <c r="M323" s="2">
        <v>7.1527777777777787E-3</v>
      </c>
      <c r="N323" s="1" t="s">
        <v>26</v>
      </c>
      <c r="O323" s="1" t="s">
        <v>34</v>
      </c>
      <c r="P323" s="2">
        <v>7.2685185185185188E-3</v>
      </c>
      <c r="Q323" s="1" t="s">
        <v>334</v>
      </c>
      <c r="R323" s="1">
        <v>0</v>
      </c>
      <c r="S323" s="1" t="str">
        <f>""</f>
        <v/>
      </c>
      <c r="T323" s="1" t="s">
        <v>29</v>
      </c>
      <c r="U323" s="1" t="s">
        <v>30</v>
      </c>
      <c r="V323" s="1">
        <v>0</v>
      </c>
    </row>
    <row r="324" spans="2:22" x14ac:dyDescent="0.15">
      <c r="B324" s="1" t="str">
        <f>"045****1742"</f>
        <v>045****1742</v>
      </c>
      <c r="C324" s="1" t="s">
        <v>237</v>
      </c>
      <c r="D324" s="1" t="str">
        <f t="shared" si="36"/>
        <v>89177328</v>
      </c>
      <c r="E324" s="1" t="s">
        <v>24</v>
      </c>
      <c r="F324" s="1" t="str">
        <f t="shared" si="37"/>
        <v>0010</v>
      </c>
      <c r="G324" s="1" t="str">
        <f>""</f>
        <v/>
      </c>
      <c r="H324" s="1" t="str">
        <f>"0033"</f>
        <v>0033</v>
      </c>
      <c r="I324" s="1" t="s">
        <v>106</v>
      </c>
      <c r="J324" s="1" t="str">
        <f>"01043977567"</f>
        <v>01043977567</v>
      </c>
      <c r="K324" s="1" t="str">
        <f>"2017-04-12 09:55:27"</f>
        <v>2017-04-12 09:55:27</v>
      </c>
      <c r="L324" s="1" t="str">
        <f>"2017-04-12 09:55:37"</f>
        <v>2017-04-12 09:55:37</v>
      </c>
      <c r="M324" s="2">
        <v>3.8078703703703707E-3</v>
      </c>
      <c r="N324" s="1" t="s">
        <v>26</v>
      </c>
      <c r="O324" s="1" t="s">
        <v>27</v>
      </c>
      <c r="P324" s="2">
        <v>3.9236111111111112E-3</v>
      </c>
      <c r="Q324" s="1" t="s">
        <v>335</v>
      </c>
      <c r="R324" s="1">
        <v>0</v>
      </c>
      <c r="S324" s="1" t="str">
        <f>""</f>
        <v/>
      </c>
      <c r="T324" s="1" t="s">
        <v>29</v>
      </c>
      <c r="U324" s="1" t="s">
        <v>30</v>
      </c>
      <c r="V324" s="1">
        <v>0</v>
      </c>
    </row>
    <row r="325" spans="2:22" x14ac:dyDescent="0.15">
      <c r="B325" s="1" t="str">
        <f>"139****5798"</f>
        <v>139****5798</v>
      </c>
      <c r="C325" s="1" t="s">
        <v>23</v>
      </c>
      <c r="D325" s="1" t="str">
        <f>"89175359"</f>
        <v>89175359</v>
      </c>
      <c r="E325" s="1" t="s">
        <v>297</v>
      </c>
      <c r="F325" s="1" t="str">
        <f>"0012"</f>
        <v>0012</v>
      </c>
      <c r="G325" s="1" t="str">
        <f>""</f>
        <v/>
      </c>
      <c r="H325" s="1" t="str">
        <f>"0005"</f>
        <v>0005</v>
      </c>
      <c r="I325" s="1" t="s">
        <v>298</v>
      </c>
      <c r="J325" s="1" t="str">
        <f>"18600169000"</f>
        <v>18600169000</v>
      </c>
      <c r="K325" s="1" t="str">
        <f>"2017-04-12 09:44:51"</f>
        <v>2017-04-12 09:44:51</v>
      </c>
      <c r="L325" s="1" t="str">
        <f>"2017-04-12 09:45:03"</f>
        <v>2017-04-12 09:45:03</v>
      </c>
      <c r="M325" s="2">
        <v>1.0648148148148147E-3</v>
      </c>
      <c r="N325" s="1" t="s">
        <v>26</v>
      </c>
      <c r="O325" s="1" t="s">
        <v>27</v>
      </c>
      <c r="P325" s="2">
        <v>1.2037037037037038E-3</v>
      </c>
      <c r="Q325" s="1" t="s">
        <v>336</v>
      </c>
      <c r="R325" s="1">
        <v>0.12</v>
      </c>
      <c r="S325" s="1" t="str">
        <f>""</f>
        <v/>
      </c>
      <c r="T325" s="1" t="s">
        <v>337</v>
      </c>
      <c r="U325" s="1" t="s">
        <v>30</v>
      </c>
      <c r="V325" s="1">
        <v>0</v>
      </c>
    </row>
    <row r="326" spans="2:22" x14ac:dyDescent="0.15">
      <c r="B326" s="1" t="str">
        <f>"136****1688"</f>
        <v>136****1688</v>
      </c>
      <c r="C326" s="1" t="s">
        <v>338</v>
      </c>
      <c r="D326" s="1" t="str">
        <f>"89177328"</f>
        <v>89177328</v>
      </c>
      <c r="E326" s="1" t="s">
        <v>24</v>
      </c>
      <c r="F326" s="1" t="str">
        <f>"0010"</f>
        <v>0010</v>
      </c>
      <c r="G326" s="1" t="str">
        <f>""</f>
        <v/>
      </c>
      <c r="H326" s="1" t="str">
        <f>"0033"</f>
        <v>0033</v>
      </c>
      <c r="I326" s="1" t="s">
        <v>106</v>
      </c>
      <c r="J326" s="1" t="str">
        <f>"01043977567"</f>
        <v>01043977567</v>
      </c>
      <c r="K326" s="1" t="str">
        <f>"2017-04-12 09:43:28"</f>
        <v>2017-04-12 09:43:28</v>
      </c>
      <c r="L326" s="1" t="str">
        <f>"2017-04-12 09:43:37"</f>
        <v>2017-04-12 09:43:37</v>
      </c>
      <c r="M326" s="2">
        <v>4.8958333333333328E-3</v>
      </c>
      <c r="N326" s="1" t="s">
        <v>26</v>
      </c>
      <c r="O326" s="1" t="s">
        <v>27</v>
      </c>
      <c r="P326" s="2">
        <v>5.0000000000000001E-3</v>
      </c>
      <c r="Q326" s="1" t="s">
        <v>339</v>
      </c>
      <c r="R326" s="1">
        <v>0</v>
      </c>
      <c r="S326" s="1" t="str">
        <f>""</f>
        <v/>
      </c>
      <c r="T326" s="1" t="s">
        <v>29</v>
      </c>
      <c r="U326" s="1" t="s">
        <v>30</v>
      </c>
      <c r="V326" s="1">
        <v>0</v>
      </c>
    </row>
    <row r="327" spans="2:22" x14ac:dyDescent="0.15">
      <c r="B327" s="1" t="str">
        <f>"139****5798"</f>
        <v>139****5798</v>
      </c>
      <c r="C327" s="1" t="s">
        <v>23</v>
      </c>
      <c r="D327" s="1" t="str">
        <f>"89175359"</f>
        <v>89175359</v>
      </c>
      <c r="E327" s="1" t="s">
        <v>297</v>
      </c>
      <c r="F327" s="1" t="str">
        <f>"0012"</f>
        <v>0012</v>
      </c>
      <c r="G327" s="1" t="str">
        <f>""</f>
        <v/>
      </c>
      <c r="H327" s="1" t="str">
        <f>"0005"</f>
        <v>0005</v>
      </c>
      <c r="I327" s="1" t="s">
        <v>298</v>
      </c>
      <c r="J327" s="1" t="str">
        <f>"18600169000"</f>
        <v>18600169000</v>
      </c>
      <c r="K327" s="1" t="str">
        <f>"2017-04-12 09:34:37"</f>
        <v>2017-04-12 09:34:37</v>
      </c>
      <c r="L327" s="1" t="str">
        <f>"-"</f>
        <v>-</v>
      </c>
      <c r="M327" s="2">
        <v>0</v>
      </c>
      <c r="N327" s="1" t="s">
        <v>33</v>
      </c>
      <c r="O327" s="1" t="s">
        <v>34</v>
      </c>
      <c r="P327" s="2">
        <v>4.5138888888888892E-4</v>
      </c>
      <c r="Q327" s="1" t="str">
        <f>""</f>
        <v/>
      </c>
      <c r="R327" s="1">
        <v>0</v>
      </c>
      <c r="S327" s="1" t="str">
        <f>""</f>
        <v/>
      </c>
      <c r="T327" s="1" t="s">
        <v>29</v>
      </c>
      <c r="U327" s="1" t="s">
        <v>30</v>
      </c>
      <c r="V327" s="1">
        <v>0</v>
      </c>
    </row>
    <row r="328" spans="2:22" x14ac:dyDescent="0.15">
      <c r="B328" s="1" t="str">
        <f>"139****5798"</f>
        <v>139****5798</v>
      </c>
      <c r="C328" s="1" t="s">
        <v>23</v>
      </c>
      <c r="D328" s="1" t="str">
        <f>"89175359"</f>
        <v>89175359</v>
      </c>
      <c r="E328" s="1" t="s">
        <v>297</v>
      </c>
      <c r="F328" s="1" t="str">
        <f>"0012"</f>
        <v>0012</v>
      </c>
      <c r="G328" s="1" t="str">
        <f>""</f>
        <v/>
      </c>
      <c r="H328" s="1" t="str">
        <f>"0005"</f>
        <v>0005</v>
      </c>
      <c r="I328" s="1" t="s">
        <v>298</v>
      </c>
      <c r="J328" s="1" t="str">
        <f>"18600169000"</f>
        <v>18600169000</v>
      </c>
      <c r="K328" s="1" t="str">
        <f>"2017-04-12 09:34:10"</f>
        <v>2017-04-12 09:34:10</v>
      </c>
      <c r="L328" s="1" t="str">
        <f>"-"</f>
        <v>-</v>
      </c>
      <c r="M328" s="2">
        <v>0</v>
      </c>
      <c r="N328" s="1" t="s">
        <v>33</v>
      </c>
      <c r="O328" s="1" t="s">
        <v>34</v>
      </c>
      <c r="P328" s="2">
        <v>2.0833333333333335E-4</v>
      </c>
      <c r="Q328" s="1" t="str">
        <f>""</f>
        <v/>
      </c>
      <c r="R328" s="1">
        <v>0</v>
      </c>
      <c r="S328" s="1" t="str">
        <f>""</f>
        <v/>
      </c>
      <c r="T328" s="1" t="s">
        <v>29</v>
      </c>
      <c r="U328" s="1" t="s">
        <v>30</v>
      </c>
      <c r="V328" s="1">
        <v>0</v>
      </c>
    </row>
    <row r="329" spans="2:22" x14ac:dyDescent="0.15">
      <c r="B329" s="1" t="str">
        <f>"139****5798"</f>
        <v>139****5798</v>
      </c>
      <c r="C329" s="1" t="s">
        <v>23</v>
      </c>
      <c r="D329" s="1" t="str">
        <f>"89175358"</f>
        <v>89175358</v>
      </c>
      <c r="E329" s="1" t="s">
        <v>301</v>
      </c>
      <c r="F329" s="1" t="str">
        <f>"0011"</f>
        <v>0011</v>
      </c>
      <c r="G329" s="1" t="str">
        <f>""</f>
        <v/>
      </c>
      <c r="H329" s="1" t="str">
        <f>"0005"</f>
        <v>0005</v>
      </c>
      <c r="I329" s="1" t="s">
        <v>298</v>
      </c>
      <c r="J329" s="1" t="str">
        <f>"18600169000"</f>
        <v>18600169000</v>
      </c>
      <c r="K329" s="1" t="str">
        <f>"2017-04-12 09:33:19"</f>
        <v>2017-04-12 09:33:19</v>
      </c>
      <c r="L329" s="1" t="str">
        <f>"-"</f>
        <v>-</v>
      </c>
      <c r="M329" s="2">
        <v>0</v>
      </c>
      <c r="N329" s="1" t="s">
        <v>33</v>
      </c>
      <c r="O329" s="1" t="s">
        <v>34</v>
      </c>
      <c r="P329" s="2">
        <v>3.2407407407407406E-4</v>
      </c>
      <c r="Q329" s="1" t="str">
        <f>""</f>
        <v/>
      </c>
      <c r="R329" s="1">
        <v>0</v>
      </c>
      <c r="S329" s="1" t="str">
        <f>""</f>
        <v/>
      </c>
      <c r="T329" s="1" t="s">
        <v>29</v>
      </c>
      <c r="U329" s="1" t="s">
        <v>30</v>
      </c>
      <c r="V329" s="1">
        <v>0</v>
      </c>
    </row>
    <row r="330" spans="2:22" x14ac:dyDescent="0.15">
      <c r="B330" s="1" t="str">
        <f>"151****8068"</f>
        <v>151****8068</v>
      </c>
      <c r="C330" s="1" t="s">
        <v>99</v>
      </c>
      <c r="D330" s="1" t="str">
        <f t="shared" ref="D330:D335" si="38">"89177328"</f>
        <v>89177328</v>
      </c>
      <c r="E330" s="1" t="s">
        <v>24</v>
      </c>
      <c r="F330" s="1" t="str">
        <f t="shared" ref="F330:F335" si="39">"0010"</f>
        <v>0010</v>
      </c>
      <c r="G330" s="1" t="str">
        <f>""</f>
        <v/>
      </c>
      <c r="H330" s="1" t="str">
        <f>"0033"</f>
        <v>0033</v>
      </c>
      <c r="I330" s="1" t="s">
        <v>106</v>
      </c>
      <c r="J330" s="1" t="str">
        <f>"01043977567"</f>
        <v>01043977567</v>
      </c>
      <c r="K330" s="1" t="str">
        <f>"2017-04-12 09:32:21"</f>
        <v>2017-04-12 09:32:21</v>
      </c>
      <c r="L330" s="1" t="str">
        <f>"2017-04-12 09:32:32"</f>
        <v>2017-04-12 09:32:32</v>
      </c>
      <c r="M330" s="2">
        <v>3.7384259259259263E-3</v>
      </c>
      <c r="N330" s="1" t="s">
        <v>26</v>
      </c>
      <c r="O330" s="1" t="s">
        <v>27</v>
      </c>
      <c r="P330" s="2">
        <v>3.8657407407407408E-3</v>
      </c>
      <c r="Q330" s="1" t="s">
        <v>340</v>
      </c>
      <c r="R330" s="1">
        <v>0</v>
      </c>
      <c r="S330" s="1" t="str">
        <f>""</f>
        <v/>
      </c>
      <c r="T330" s="1" t="s">
        <v>29</v>
      </c>
      <c r="U330" s="1" t="s">
        <v>30</v>
      </c>
      <c r="V330" s="1">
        <v>0</v>
      </c>
    </row>
    <row r="331" spans="2:22" x14ac:dyDescent="0.15">
      <c r="B331" s="1" t="str">
        <f>"047****5740"</f>
        <v>047****5740</v>
      </c>
      <c r="C331" s="1" t="s">
        <v>113</v>
      </c>
      <c r="D331" s="1" t="str">
        <f t="shared" si="38"/>
        <v>89177328</v>
      </c>
      <c r="E331" s="1" t="s">
        <v>24</v>
      </c>
      <c r="F331" s="1" t="str">
        <f t="shared" si="39"/>
        <v>0010</v>
      </c>
      <c r="G331" s="1" t="str">
        <f>""</f>
        <v/>
      </c>
      <c r="H331" s="1" t="str">
        <f>""</f>
        <v/>
      </c>
      <c r="I331" s="1" t="str">
        <f>""</f>
        <v/>
      </c>
      <c r="J331" s="1" t="str">
        <f>""</f>
        <v/>
      </c>
      <c r="K331" s="1" t="str">
        <f>"2017-04-12 09:26:00"</f>
        <v>2017-04-12 09:26:00</v>
      </c>
      <c r="L331" s="1" t="str">
        <f>"-"</f>
        <v>-</v>
      </c>
      <c r="M331" s="2">
        <v>0</v>
      </c>
      <c r="N331" s="1" t="s">
        <v>55</v>
      </c>
      <c r="O331" s="1" t="s">
        <v>27</v>
      </c>
      <c r="P331" s="2">
        <v>4.6296296296296294E-5</v>
      </c>
      <c r="Q331" s="1" t="str">
        <f>""</f>
        <v/>
      </c>
      <c r="R331" s="1">
        <v>0</v>
      </c>
      <c r="S331" s="1" t="str">
        <f>""</f>
        <v/>
      </c>
      <c r="T331" s="1" t="s">
        <v>29</v>
      </c>
      <c r="U331" s="1" t="s">
        <v>30</v>
      </c>
      <c r="V331" s="1">
        <v>0</v>
      </c>
    </row>
    <row r="332" spans="2:22" x14ac:dyDescent="0.15">
      <c r="B332" s="1" t="str">
        <f>"138****9623"</f>
        <v>138****9623</v>
      </c>
      <c r="C332" s="1" t="s">
        <v>341</v>
      </c>
      <c r="D332" s="1" t="str">
        <f t="shared" si="38"/>
        <v>89177328</v>
      </c>
      <c r="E332" s="1" t="s">
        <v>24</v>
      </c>
      <c r="F332" s="1" t="str">
        <f t="shared" si="39"/>
        <v>0010</v>
      </c>
      <c r="G332" s="1" t="str">
        <f>""</f>
        <v/>
      </c>
      <c r="H332" s="1" t="str">
        <f>"0017"</f>
        <v>0017</v>
      </c>
      <c r="I332" s="1" t="s">
        <v>135</v>
      </c>
      <c r="J332" s="1" t="str">
        <f>"01043989717"</f>
        <v>01043989717</v>
      </c>
      <c r="K332" s="1" t="str">
        <f>"2017-04-12 09:23:28"</f>
        <v>2017-04-12 09:23:28</v>
      </c>
      <c r="L332" s="1" t="str">
        <f>"2017-04-12 09:23:36"</f>
        <v>2017-04-12 09:23:36</v>
      </c>
      <c r="M332" s="2">
        <v>6.4467592592592597E-3</v>
      </c>
      <c r="N332" s="1" t="s">
        <v>26</v>
      </c>
      <c r="O332" s="1" t="s">
        <v>27</v>
      </c>
      <c r="P332" s="2">
        <v>6.5393518518518517E-3</v>
      </c>
      <c r="Q332" s="1" t="s">
        <v>342</v>
      </c>
      <c r="R332" s="1">
        <v>0</v>
      </c>
      <c r="S332" s="1" t="str">
        <f>""</f>
        <v/>
      </c>
      <c r="T332" s="1" t="s">
        <v>29</v>
      </c>
      <c r="U332" s="1" t="s">
        <v>30</v>
      </c>
      <c r="V332" s="1">
        <v>0</v>
      </c>
    </row>
    <row r="333" spans="2:22" x14ac:dyDescent="0.15">
      <c r="B333" s="1" t="str">
        <f>"010****1152"</f>
        <v>010****1152</v>
      </c>
      <c r="C333" s="1" t="s">
        <v>23</v>
      </c>
      <c r="D333" s="1" t="str">
        <f t="shared" si="38"/>
        <v>89177328</v>
      </c>
      <c r="E333" s="1" t="s">
        <v>24</v>
      </c>
      <c r="F333" s="1" t="str">
        <f t="shared" si="39"/>
        <v>0010</v>
      </c>
      <c r="G333" s="1" t="str">
        <f>""</f>
        <v/>
      </c>
      <c r="H333" s="1" t="str">
        <f>"0035"</f>
        <v>0035</v>
      </c>
      <c r="I333" s="1" t="s">
        <v>25</v>
      </c>
      <c r="J333" s="1" t="str">
        <f>"01043977569"</f>
        <v>01043977569</v>
      </c>
      <c r="K333" s="1" t="str">
        <f>"2017-04-12 09:23:22"</f>
        <v>2017-04-12 09:23:22</v>
      </c>
      <c r="L333" s="1" t="str">
        <f>"2017-04-12 09:23:31"</f>
        <v>2017-04-12 09:23:31</v>
      </c>
      <c r="M333" s="2">
        <v>6.168981481481481E-3</v>
      </c>
      <c r="N333" s="1" t="s">
        <v>26</v>
      </c>
      <c r="O333" s="1" t="s">
        <v>27</v>
      </c>
      <c r="P333" s="2">
        <v>6.2731481481481484E-3</v>
      </c>
      <c r="Q333" s="1" t="s">
        <v>343</v>
      </c>
      <c r="R333" s="1">
        <v>0</v>
      </c>
      <c r="S333" s="1" t="str">
        <f>""</f>
        <v/>
      </c>
      <c r="T333" s="1" t="s">
        <v>29</v>
      </c>
      <c r="U333" s="1" t="s">
        <v>30</v>
      </c>
      <c r="V333" s="1">
        <v>0</v>
      </c>
    </row>
    <row r="334" spans="2:22" x14ac:dyDescent="0.15">
      <c r="B334" s="1" t="str">
        <f>"185****7509"</f>
        <v>185****7509</v>
      </c>
      <c r="C334" s="1" t="s">
        <v>23</v>
      </c>
      <c r="D334" s="1" t="str">
        <f t="shared" si="38"/>
        <v>89177328</v>
      </c>
      <c r="E334" s="1" t="s">
        <v>24</v>
      </c>
      <c r="F334" s="1" t="str">
        <f t="shared" si="39"/>
        <v>0010</v>
      </c>
      <c r="G334" s="1" t="str">
        <f>""</f>
        <v/>
      </c>
      <c r="H334" s="1" t="str">
        <f>"0018"</f>
        <v>0018</v>
      </c>
      <c r="I334" s="1" t="s">
        <v>36</v>
      </c>
      <c r="J334" s="1" t="str">
        <f>"01043977572"</f>
        <v>01043977572</v>
      </c>
      <c r="K334" s="1" t="str">
        <f>"2017-04-12 09:20:58"</f>
        <v>2017-04-12 09:20:58</v>
      </c>
      <c r="L334" s="1" t="str">
        <f>"2017-04-12 09:21:07"</f>
        <v>2017-04-12 09:21:07</v>
      </c>
      <c r="M334" s="2">
        <v>5.9722222222222225E-3</v>
      </c>
      <c r="N334" s="1" t="s">
        <v>26</v>
      </c>
      <c r="O334" s="1" t="s">
        <v>34</v>
      </c>
      <c r="P334" s="2">
        <v>6.076388888888889E-3</v>
      </c>
      <c r="Q334" s="1" t="s">
        <v>344</v>
      </c>
      <c r="R334" s="1">
        <v>0</v>
      </c>
      <c r="S334" s="1" t="str">
        <f>""</f>
        <v/>
      </c>
      <c r="T334" s="1" t="s">
        <v>29</v>
      </c>
      <c r="U334" s="1" t="s">
        <v>30</v>
      </c>
      <c r="V334" s="1">
        <v>0</v>
      </c>
    </row>
    <row r="335" spans="2:22" x14ac:dyDescent="0.15">
      <c r="B335" s="1" t="str">
        <f>"134****8581"</f>
        <v>134****8581</v>
      </c>
      <c r="C335" s="1" t="s">
        <v>23</v>
      </c>
      <c r="D335" s="1" t="str">
        <f t="shared" si="38"/>
        <v>89177328</v>
      </c>
      <c r="E335" s="1" t="s">
        <v>24</v>
      </c>
      <c r="F335" s="1" t="str">
        <f t="shared" si="39"/>
        <v>0010</v>
      </c>
      <c r="G335" s="1" t="str">
        <f>""</f>
        <v/>
      </c>
      <c r="H335" s="1" t="str">
        <f>"0036"</f>
        <v>0036</v>
      </c>
      <c r="I335" s="1" t="s">
        <v>143</v>
      </c>
      <c r="J335" s="1" t="str">
        <f>"01043977573"</f>
        <v>01043977573</v>
      </c>
      <c r="K335" s="1" t="str">
        <f>"2017-04-12 09:20:26"</f>
        <v>2017-04-12 09:20:26</v>
      </c>
      <c r="L335" s="1" t="str">
        <f>"2017-04-12 09:20:34"</f>
        <v>2017-04-12 09:20:34</v>
      </c>
      <c r="M335" s="2">
        <v>2.9143518518518517E-2</v>
      </c>
      <c r="N335" s="1" t="s">
        <v>26</v>
      </c>
      <c r="O335" s="1" t="s">
        <v>34</v>
      </c>
      <c r="P335" s="2">
        <v>2.9236111111111112E-2</v>
      </c>
      <c r="Q335" s="1" t="s">
        <v>345</v>
      </c>
      <c r="R335" s="1">
        <v>0</v>
      </c>
      <c r="S335" s="1" t="str">
        <f>""</f>
        <v/>
      </c>
      <c r="T335" s="1" t="s">
        <v>29</v>
      </c>
      <c r="U335" s="1" t="s">
        <v>30</v>
      </c>
      <c r="V335" s="1">
        <v>0</v>
      </c>
    </row>
    <row r="336" spans="2:22" x14ac:dyDescent="0.15">
      <c r="B336" s="1" t="str">
        <f>"139****5798"</f>
        <v>139****5798</v>
      </c>
      <c r="C336" s="1" t="s">
        <v>23</v>
      </c>
      <c r="D336" s="1" t="str">
        <f>"89175359"</f>
        <v>89175359</v>
      </c>
      <c r="E336" s="1" t="s">
        <v>297</v>
      </c>
      <c r="F336" s="1" t="str">
        <f>"0012"</f>
        <v>0012</v>
      </c>
      <c r="G336" s="1" t="str">
        <f>""</f>
        <v/>
      </c>
      <c r="H336" s="1" t="str">
        <f>"0005"</f>
        <v>0005</v>
      </c>
      <c r="I336" s="1" t="s">
        <v>298</v>
      </c>
      <c r="J336" s="1" t="str">
        <f>"18600169000"</f>
        <v>18600169000</v>
      </c>
      <c r="K336" s="1" t="str">
        <f>"2017-04-12 08:55:28"</f>
        <v>2017-04-12 08:55:28</v>
      </c>
      <c r="L336" s="1" t="str">
        <f>"-"</f>
        <v>-</v>
      </c>
      <c r="M336" s="2">
        <v>0</v>
      </c>
      <c r="N336" s="1" t="s">
        <v>33</v>
      </c>
      <c r="O336" s="1" t="s">
        <v>34</v>
      </c>
      <c r="P336" s="2">
        <v>1.273148148148148E-4</v>
      </c>
      <c r="Q336" s="1" t="str">
        <f>""</f>
        <v/>
      </c>
      <c r="R336" s="1">
        <v>0</v>
      </c>
      <c r="S336" s="1" t="str">
        <f>""</f>
        <v/>
      </c>
      <c r="T336" s="1" t="s">
        <v>29</v>
      </c>
      <c r="U336" s="1" t="s">
        <v>30</v>
      </c>
      <c r="V336" s="1">
        <v>0</v>
      </c>
    </row>
    <row r="337" spans="2:22" x14ac:dyDescent="0.15">
      <c r="B337" s="1" t="str">
        <f>"139****5798"</f>
        <v>139****5798</v>
      </c>
      <c r="C337" s="1" t="s">
        <v>23</v>
      </c>
      <c r="D337" s="1" t="str">
        <f>"89175358"</f>
        <v>89175358</v>
      </c>
      <c r="E337" s="1" t="s">
        <v>301</v>
      </c>
      <c r="F337" s="1" t="str">
        <f>"0011"</f>
        <v>0011</v>
      </c>
      <c r="G337" s="1" t="str">
        <f>""</f>
        <v/>
      </c>
      <c r="H337" s="1" t="str">
        <f>"0005"</f>
        <v>0005</v>
      </c>
      <c r="I337" s="1" t="s">
        <v>298</v>
      </c>
      <c r="J337" s="1" t="str">
        <f>"18600169000"</f>
        <v>18600169000</v>
      </c>
      <c r="K337" s="1" t="str">
        <f>"2017-04-12 08:54:47"</f>
        <v>2017-04-12 08:54:47</v>
      </c>
      <c r="L337" s="1" t="str">
        <f>"-"</f>
        <v>-</v>
      </c>
      <c r="M337" s="2">
        <v>0</v>
      </c>
      <c r="N337" s="1" t="s">
        <v>33</v>
      </c>
      <c r="O337" s="1" t="s">
        <v>34</v>
      </c>
      <c r="P337" s="2">
        <v>3.2407407407407406E-4</v>
      </c>
      <c r="Q337" s="1" t="str">
        <f>""</f>
        <v/>
      </c>
      <c r="R337" s="1">
        <v>0</v>
      </c>
      <c r="S337" s="1" t="str">
        <f>""</f>
        <v/>
      </c>
      <c r="T337" s="1" t="s">
        <v>29</v>
      </c>
      <c r="U337" s="1" t="s">
        <v>30</v>
      </c>
      <c r="V337" s="1">
        <v>0</v>
      </c>
    </row>
    <row r="338" spans="2:22" x14ac:dyDescent="0.15">
      <c r="B338" s="1" t="str">
        <f>"158****5961"</f>
        <v>158****5961</v>
      </c>
      <c r="C338" s="1" t="s">
        <v>126</v>
      </c>
      <c r="D338" s="1" t="str">
        <f t="shared" ref="D338:D366" si="40">"89177328"</f>
        <v>89177328</v>
      </c>
      <c r="E338" s="1" t="s">
        <v>24</v>
      </c>
      <c r="F338" s="1" t="str">
        <f>"0010"</f>
        <v>0010</v>
      </c>
      <c r="G338" s="1" t="str">
        <f>""</f>
        <v/>
      </c>
      <c r="H338" s="1" t="str">
        <f>"0018"</f>
        <v>0018</v>
      </c>
      <c r="I338" s="1" t="s">
        <v>36</v>
      </c>
      <c r="J338" s="1" t="str">
        <f>"01043977572"</f>
        <v>01043977572</v>
      </c>
      <c r="K338" s="1" t="str">
        <f>"2017-04-12 08:46:46"</f>
        <v>2017-04-12 08:46:46</v>
      </c>
      <c r="L338" s="1" t="str">
        <f>"2017-04-12 08:46:57"</f>
        <v>2017-04-12 08:46:57</v>
      </c>
      <c r="M338" s="2">
        <v>6.828703703703704E-3</v>
      </c>
      <c r="N338" s="1" t="s">
        <v>26</v>
      </c>
      <c r="O338" s="1" t="s">
        <v>34</v>
      </c>
      <c r="P338" s="2">
        <v>6.9560185185185185E-3</v>
      </c>
      <c r="Q338" s="1" t="s">
        <v>346</v>
      </c>
      <c r="R338" s="1">
        <v>0</v>
      </c>
      <c r="S338" s="1" t="str">
        <f>""</f>
        <v/>
      </c>
      <c r="T338" s="1" t="s">
        <v>29</v>
      </c>
      <c r="U338" s="1" t="s">
        <v>30</v>
      </c>
      <c r="V338" s="1">
        <v>0</v>
      </c>
    </row>
    <row r="339" spans="2:22" x14ac:dyDescent="0.15">
      <c r="B339" s="1" t="str">
        <f>"010****7230"</f>
        <v>010****7230</v>
      </c>
      <c r="C339" s="1" t="s">
        <v>23</v>
      </c>
      <c r="D339" s="1" t="str">
        <f t="shared" si="40"/>
        <v>89177328</v>
      </c>
      <c r="E339" s="1" t="s">
        <v>24</v>
      </c>
      <c r="F339" s="1" t="str">
        <f>"0010"</f>
        <v>0010</v>
      </c>
      <c r="G339" s="1" t="str">
        <f>""</f>
        <v/>
      </c>
      <c r="H339" s="1" t="str">
        <f>"0036"</f>
        <v>0036</v>
      </c>
      <c r="I339" s="1" t="s">
        <v>143</v>
      </c>
      <c r="J339" s="1" t="str">
        <f>"01043977573"</f>
        <v>01043977573</v>
      </c>
      <c r="K339" s="1" t="str">
        <f>"2017-04-12 08:38:42"</f>
        <v>2017-04-12 08:38:42</v>
      </c>
      <c r="L339" s="1" t="str">
        <f>"2017-04-12 08:38:51"</f>
        <v>2017-04-12 08:38:51</v>
      </c>
      <c r="M339" s="2">
        <v>6.8055555555555569E-3</v>
      </c>
      <c r="N339" s="1" t="s">
        <v>26</v>
      </c>
      <c r="O339" s="1" t="s">
        <v>27</v>
      </c>
      <c r="P339" s="2">
        <v>6.9097222222222225E-3</v>
      </c>
      <c r="Q339" s="1" t="s">
        <v>347</v>
      </c>
      <c r="R339" s="1">
        <v>0</v>
      </c>
      <c r="S339" s="1" t="str">
        <f>""</f>
        <v/>
      </c>
      <c r="T339" s="1" t="s">
        <v>29</v>
      </c>
      <c r="U339" s="1" t="s">
        <v>30</v>
      </c>
      <c r="V339" s="1">
        <v>0</v>
      </c>
    </row>
    <row r="340" spans="2:22" x14ac:dyDescent="0.15">
      <c r="B340" s="1" t="str">
        <f>"130****5656"</f>
        <v>130****5656</v>
      </c>
      <c r="C340" s="1" t="s">
        <v>112</v>
      </c>
      <c r="D340" s="1" t="str">
        <f t="shared" si="40"/>
        <v>89177328</v>
      </c>
      <c r="E340" s="1" t="s">
        <v>24</v>
      </c>
      <c r="F340" s="1" t="str">
        <f>"0010"</f>
        <v>0010</v>
      </c>
      <c r="G340" s="1" t="str">
        <f>""</f>
        <v/>
      </c>
      <c r="H340" s="1" t="str">
        <f>"0018"</f>
        <v>0018</v>
      </c>
      <c r="I340" s="1" t="s">
        <v>36</v>
      </c>
      <c r="J340" s="1" t="str">
        <f>"01043977572"</f>
        <v>01043977572</v>
      </c>
      <c r="K340" s="1" t="str">
        <f>"2017-04-12 08:22:17"</f>
        <v>2017-04-12 08:22:17</v>
      </c>
      <c r="L340" s="1" t="str">
        <f>"-"</f>
        <v>-</v>
      </c>
      <c r="M340" s="2">
        <v>0</v>
      </c>
      <c r="N340" s="1" t="s">
        <v>33</v>
      </c>
      <c r="O340" s="1" t="s">
        <v>34</v>
      </c>
      <c r="P340" s="2">
        <v>1.273148148148148E-4</v>
      </c>
      <c r="Q340" s="1" t="str">
        <f>""</f>
        <v/>
      </c>
      <c r="R340" s="1">
        <v>0</v>
      </c>
      <c r="S340" s="1" t="str">
        <f>""</f>
        <v/>
      </c>
      <c r="T340" s="1" t="s">
        <v>29</v>
      </c>
      <c r="U340" s="1" t="s">
        <v>30</v>
      </c>
      <c r="V340" s="1">
        <v>0</v>
      </c>
    </row>
    <row r="341" spans="2:22" x14ac:dyDescent="0.15">
      <c r="B341" s="1" t="str">
        <f>"010****7230"</f>
        <v>010****7230</v>
      </c>
      <c r="C341" s="1" t="s">
        <v>23</v>
      </c>
      <c r="D341" s="1" t="str">
        <f t="shared" si="40"/>
        <v>89177328</v>
      </c>
      <c r="E341" s="1" t="s">
        <v>24</v>
      </c>
      <c r="F341" s="1" t="str">
        <f>"0010"</f>
        <v>0010</v>
      </c>
      <c r="G341" s="1" t="str">
        <f>""</f>
        <v/>
      </c>
      <c r="H341" s="1" t="str">
        <f>"0018"</f>
        <v>0018</v>
      </c>
      <c r="I341" s="1" t="s">
        <v>36</v>
      </c>
      <c r="J341" s="1" t="str">
        <f>"01043977572"</f>
        <v>01043977572</v>
      </c>
      <c r="K341" s="1" t="str">
        <f>"2017-04-12 08:22:02"</f>
        <v>2017-04-12 08:22:02</v>
      </c>
      <c r="L341" s="1" t="str">
        <f>"-"</f>
        <v>-</v>
      </c>
      <c r="M341" s="2">
        <v>0</v>
      </c>
      <c r="N341" s="1" t="s">
        <v>33</v>
      </c>
      <c r="O341" s="1" t="s">
        <v>34</v>
      </c>
      <c r="P341" s="2">
        <v>2.3148148148148147E-5</v>
      </c>
      <c r="Q341" s="1" t="str">
        <f>""</f>
        <v/>
      </c>
      <c r="R341" s="1">
        <v>0</v>
      </c>
      <c r="S341" s="1" t="str">
        <f>""</f>
        <v/>
      </c>
      <c r="T341" s="1" t="s">
        <v>29</v>
      </c>
      <c r="U341" s="1" t="s">
        <v>30</v>
      </c>
      <c r="V341" s="1">
        <v>0</v>
      </c>
    </row>
    <row r="342" spans="2:22" x14ac:dyDescent="0.15">
      <c r="B342" s="1" t="str">
        <f>"138****8539"</f>
        <v>138****8539</v>
      </c>
      <c r="C342" s="1" t="s">
        <v>23</v>
      </c>
      <c r="D342" s="1" t="str">
        <f t="shared" si="40"/>
        <v>89177328</v>
      </c>
      <c r="E342" s="1" t="s">
        <v>24</v>
      </c>
      <c r="F342" s="1" t="str">
        <f>"0010"</f>
        <v>0010</v>
      </c>
      <c r="G342" s="1" t="str">
        <f>""</f>
        <v/>
      </c>
      <c r="H342" s="1" t="str">
        <f>"0036"</f>
        <v>0036</v>
      </c>
      <c r="I342" s="1" t="s">
        <v>143</v>
      </c>
      <c r="J342" s="1" t="str">
        <f>"01043977573"</f>
        <v>01043977573</v>
      </c>
      <c r="K342" s="1" t="str">
        <f>"2017-04-12 08:07:47"</f>
        <v>2017-04-12 08:07:47</v>
      </c>
      <c r="L342" s="1" t="str">
        <f>"2017-04-12 08:08:05"</f>
        <v>2017-04-12 08:08:05</v>
      </c>
      <c r="M342" s="2">
        <v>1.9675925925925926E-4</v>
      </c>
      <c r="N342" s="1" t="s">
        <v>26</v>
      </c>
      <c r="O342" s="1" t="s">
        <v>34</v>
      </c>
      <c r="P342" s="2">
        <v>4.0509259259259258E-4</v>
      </c>
      <c r="Q342" s="1" t="s">
        <v>348</v>
      </c>
      <c r="R342" s="1">
        <v>0</v>
      </c>
      <c r="S342" s="1" t="str">
        <f>""</f>
        <v/>
      </c>
      <c r="T342" s="1" t="s">
        <v>29</v>
      </c>
      <c r="U342" s="1" t="s">
        <v>30</v>
      </c>
      <c r="V342" s="1">
        <v>0</v>
      </c>
    </row>
    <row r="343" spans="2:22" x14ac:dyDescent="0.15">
      <c r="B343" s="1" t="str">
        <f>"186****3045"</f>
        <v>186****3045</v>
      </c>
      <c r="C343" s="1" t="s">
        <v>23</v>
      </c>
      <c r="D343" s="1" t="str">
        <f t="shared" si="40"/>
        <v>89177328</v>
      </c>
      <c r="E343" s="1" t="s">
        <v>181</v>
      </c>
      <c r="F343" s="1" t="str">
        <f>""</f>
        <v/>
      </c>
      <c r="G343" s="1" t="str">
        <f>""</f>
        <v/>
      </c>
      <c r="H343" s="1" t="str">
        <f>""</f>
        <v/>
      </c>
      <c r="I343" s="1" t="str">
        <f>""</f>
        <v/>
      </c>
      <c r="J343" s="1" t="str">
        <f>""</f>
        <v/>
      </c>
      <c r="K343" s="1" t="str">
        <f>"2017-04-12 07:52:50"</f>
        <v>2017-04-12 07:52:50</v>
      </c>
      <c r="L343" s="1" t="str">
        <f>"-"</f>
        <v>-</v>
      </c>
      <c r="M343" s="2">
        <v>0</v>
      </c>
      <c r="N343" s="1" t="s">
        <v>55</v>
      </c>
      <c r="O343" s="1" t="s">
        <v>34</v>
      </c>
      <c r="P343" s="2">
        <v>2.3148148148148147E-5</v>
      </c>
      <c r="Q343" s="1" t="str">
        <f>""</f>
        <v/>
      </c>
      <c r="R343" s="1">
        <v>0</v>
      </c>
      <c r="S343" s="1" t="str">
        <f>""</f>
        <v/>
      </c>
      <c r="T343" s="1" t="s">
        <v>183</v>
      </c>
      <c r="U343" s="1" t="s">
        <v>30</v>
      </c>
      <c r="V343" s="1">
        <v>0</v>
      </c>
    </row>
    <row r="344" spans="2:22" x14ac:dyDescent="0.15">
      <c r="B344" s="1" t="str">
        <f>"189****1493"</f>
        <v>189****1493</v>
      </c>
      <c r="C344" s="1" t="s">
        <v>23</v>
      </c>
      <c r="D344" s="1" t="str">
        <f t="shared" si="40"/>
        <v>89177328</v>
      </c>
      <c r="E344" s="1" t="s">
        <v>24</v>
      </c>
      <c r="F344" s="1" t="str">
        <f t="shared" ref="F344:F366" si="41">"0010"</f>
        <v>0010</v>
      </c>
      <c r="G344" s="1" t="str">
        <f>""</f>
        <v/>
      </c>
      <c r="H344" s="1" t="str">
        <f>"0031"</f>
        <v>0031</v>
      </c>
      <c r="I344" s="1" t="s">
        <v>95</v>
      </c>
      <c r="J344" s="1" t="str">
        <f>"01043977565"</f>
        <v>01043977565</v>
      </c>
      <c r="K344" s="1" t="str">
        <f>"2017-04-11 20:14:57"</f>
        <v>2017-04-11 20:14:57</v>
      </c>
      <c r="L344" s="1" t="str">
        <f>"2017-04-11 20:15:06"</f>
        <v>2017-04-11 20:15:06</v>
      </c>
      <c r="M344" s="2">
        <v>5.4282407407407404E-3</v>
      </c>
      <c r="N344" s="1" t="s">
        <v>26</v>
      </c>
      <c r="O344" s="1" t="s">
        <v>27</v>
      </c>
      <c r="P344" s="2">
        <v>5.5324074074074069E-3</v>
      </c>
      <c r="Q344" s="1" t="s">
        <v>349</v>
      </c>
      <c r="R344" s="1">
        <v>0</v>
      </c>
      <c r="S344" s="1" t="str">
        <f>""</f>
        <v/>
      </c>
      <c r="T344" s="1" t="s">
        <v>29</v>
      </c>
      <c r="U344" s="1" t="s">
        <v>30</v>
      </c>
      <c r="V344" s="1">
        <v>0</v>
      </c>
    </row>
    <row r="345" spans="2:22" x14ac:dyDescent="0.15">
      <c r="B345" s="1" t="str">
        <f>"130****8285"</f>
        <v>130****8285</v>
      </c>
      <c r="C345" s="1" t="s">
        <v>99</v>
      </c>
      <c r="D345" s="1" t="str">
        <f t="shared" si="40"/>
        <v>89177328</v>
      </c>
      <c r="E345" s="1" t="s">
        <v>24</v>
      </c>
      <c r="F345" s="1" t="str">
        <f t="shared" si="41"/>
        <v>0010</v>
      </c>
      <c r="G345" s="1" t="str">
        <f>""</f>
        <v/>
      </c>
      <c r="H345" s="1" t="str">
        <f>"0034"</f>
        <v>0034</v>
      </c>
      <c r="I345" s="1" t="s">
        <v>31</v>
      </c>
      <c r="J345" s="1" t="str">
        <f>"01043977568"</f>
        <v>01043977568</v>
      </c>
      <c r="K345" s="1" t="str">
        <f>"2017-04-11 20:14:09"</f>
        <v>2017-04-11 20:14:09</v>
      </c>
      <c r="L345" s="1" t="str">
        <f>"2017-04-11 20:14:20"</f>
        <v>2017-04-11 20:14:20</v>
      </c>
      <c r="M345" s="2">
        <v>4.3287037037037035E-3</v>
      </c>
      <c r="N345" s="1" t="s">
        <v>26</v>
      </c>
      <c r="O345" s="1" t="s">
        <v>27</v>
      </c>
      <c r="P345" s="2">
        <v>4.4560185185185189E-3</v>
      </c>
      <c r="Q345" s="1" t="s">
        <v>350</v>
      </c>
      <c r="R345" s="1">
        <v>0</v>
      </c>
      <c r="S345" s="1" t="str">
        <f>""</f>
        <v/>
      </c>
      <c r="T345" s="1" t="s">
        <v>29</v>
      </c>
      <c r="U345" s="1" t="s">
        <v>30</v>
      </c>
      <c r="V345" s="1">
        <v>0</v>
      </c>
    </row>
    <row r="346" spans="2:22" x14ac:dyDescent="0.15">
      <c r="B346" s="1" t="str">
        <f>"188****2503"</f>
        <v>188****2503</v>
      </c>
      <c r="C346" s="1" t="s">
        <v>35</v>
      </c>
      <c r="D346" s="1" t="str">
        <f t="shared" si="40"/>
        <v>89177328</v>
      </c>
      <c r="E346" s="1" t="s">
        <v>24</v>
      </c>
      <c r="F346" s="1" t="str">
        <f t="shared" si="41"/>
        <v>0010</v>
      </c>
      <c r="G346" s="1" t="str">
        <f>""</f>
        <v/>
      </c>
      <c r="H346" s="1" t="str">
        <f>"0032"</f>
        <v>0032</v>
      </c>
      <c r="I346" s="1" t="s">
        <v>119</v>
      </c>
      <c r="J346" s="1" t="str">
        <f>"01043977566"</f>
        <v>01043977566</v>
      </c>
      <c r="K346" s="1" t="str">
        <f>"2017-04-11 19:58:10"</f>
        <v>2017-04-11 19:58:10</v>
      </c>
      <c r="L346" s="1" t="str">
        <f>"-"</f>
        <v>-</v>
      </c>
      <c r="M346" s="2">
        <v>0</v>
      </c>
      <c r="N346" s="1" t="s">
        <v>33</v>
      </c>
      <c r="O346" s="1" t="s">
        <v>34</v>
      </c>
      <c r="P346" s="2">
        <v>2.3148148148148147E-5</v>
      </c>
      <c r="Q346" s="1" t="str">
        <f>""</f>
        <v/>
      </c>
      <c r="R346" s="1">
        <v>0</v>
      </c>
      <c r="S346" s="1" t="str">
        <f>""</f>
        <v/>
      </c>
      <c r="T346" s="1" t="s">
        <v>29</v>
      </c>
      <c r="U346" s="1" t="s">
        <v>30</v>
      </c>
      <c r="V346" s="1">
        <v>0</v>
      </c>
    </row>
    <row r="347" spans="2:22" x14ac:dyDescent="0.15">
      <c r="B347" s="1" t="str">
        <f>"139****0053"</f>
        <v>139****0053</v>
      </c>
      <c r="C347" s="1" t="s">
        <v>35</v>
      </c>
      <c r="D347" s="1" t="str">
        <f t="shared" si="40"/>
        <v>89177328</v>
      </c>
      <c r="E347" s="1" t="s">
        <v>24</v>
      </c>
      <c r="F347" s="1" t="str">
        <f t="shared" si="41"/>
        <v>0010</v>
      </c>
      <c r="G347" s="1" t="str">
        <f>""</f>
        <v/>
      </c>
      <c r="H347" s="1" t="str">
        <f>"0034"</f>
        <v>0034</v>
      </c>
      <c r="I347" s="1" t="s">
        <v>31</v>
      </c>
      <c r="J347" s="1" t="str">
        <f>"01043977568"</f>
        <v>01043977568</v>
      </c>
      <c r="K347" s="1" t="str">
        <f>"2017-04-11 19:56:10"</f>
        <v>2017-04-11 19:56:10</v>
      </c>
      <c r="L347" s="1" t="str">
        <f>"2017-04-11 19:56:20"</f>
        <v>2017-04-11 19:56:20</v>
      </c>
      <c r="M347" s="2">
        <v>4.2129629629629626E-3</v>
      </c>
      <c r="N347" s="1" t="s">
        <v>26</v>
      </c>
      <c r="O347" s="1" t="s">
        <v>27</v>
      </c>
      <c r="P347" s="2">
        <v>4.3287037037037035E-3</v>
      </c>
      <c r="Q347" s="1" t="s">
        <v>351</v>
      </c>
      <c r="R347" s="1">
        <v>0</v>
      </c>
      <c r="S347" s="1" t="str">
        <f>""</f>
        <v/>
      </c>
      <c r="T347" s="1" t="s">
        <v>29</v>
      </c>
      <c r="U347" s="1" t="s">
        <v>30</v>
      </c>
      <c r="V347" s="1">
        <v>0</v>
      </c>
    </row>
    <row r="348" spans="2:22" x14ac:dyDescent="0.15">
      <c r="B348" s="1" t="str">
        <f>"150****2581"</f>
        <v>150****2581</v>
      </c>
      <c r="C348" s="1" t="s">
        <v>99</v>
      </c>
      <c r="D348" s="1" t="str">
        <f t="shared" si="40"/>
        <v>89177328</v>
      </c>
      <c r="E348" s="1" t="s">
        <v>24</v>
      </c>
      <c r="F348" s="1" t="str">
        <f t="shared" si="41"/>
        <v>0010</v>
      </c>
      <c r="G348" s="1" t="str">
        <f>""</f>
        <v/>
      </c>
      <c r="H348" s="1" t="str">
        <f>"0034"</f>
        <v>0034</v>
      </c>
      <c r="I348" s="1" t="s">
        <v>31</v>
      </c>
      <c r="J348" s="1" t="str">
        <f>"01043977568"</f>
        <v>01043977568</v>
      </c>
      <c r="K348" s="1" t="str">
        <f>"2017-04-11 19:08:12"</f>
        <v>2017-04-11 19:08:12</v>
      </c>
      <c r="L348" s="1" t="str">
        <f>"2017-04-11 19:08:23"</f>
        <v>2017-04-11 19:08:23</v>
      </c>
      <c r="M348" s="2">
        <v>5.4976851851851853E-3</v>
      </c>
      <c r="N348" s="1" t="s">
        <v>26</v>
      </c>
      <c r="O348" s="1" t="s">
        <v>34</v>
      </c>
      <c r="P348" s="2">
        <v>5.6249999999999989E-3</v>
      </c>
      <c r="Q348" s="1" t="s">
        <v>352</v>
      </c>
      <c r="R348" s="1">
        <v>0</v>
      </c>
      <c r="S348" s="1" t="str">
        <f>""</f>
        <v/>
      </c>
      <c r="T348" s="1" t="s">
        <v>29</v>
      </c>
      <c r="U348" s="1" t="s">
        <v>30</v>
      </c>
      <c r="V348" s="1">
        <v>0</v>
      </c>
    </row>
    <row r="349" spans="2:22" x14ac:dyDescent="0.15">
      <c r="B349" s="1" t="str">
        <f>"136****0254"</f>
        <v>136****0254</v>
      </c>
      <c r="C349" s="1" t="s">
        <v>23</v>
      </c>
      <c r="D349" s="1" t="str">
        <f t="shared" si="40"/>
        <v>89177328</v>
      </c>
      <c r="E349" s="1" t="s">
        <v>24</v>
      </c>
      <c r="F349" s="1" t="str">
        <f t="shared" si="41"/>
        <v>0010</v>
      </c>
      <c r="G349" s="1" t="str">
        <f>""</f>
        <v/>
      </c>
      <c r="H349" s="1" t="str">
        <f>"0018"</f>
        <v>0018</v>
      </c>
      <c r="I349" s="1" t="s">
        <v>36</v>
      </c>
      <c r="J349" s="1" t="str">
        <f>"01043977572"</f>
        <v>01043977572</v>
      </c>
      <c r="K349" s="1" t="str">
        <f>"2017-04-11 18:40:32"</f>
        <v>2017-04-11 18:40:32</v>
      </c>
      <c r="L349" s="1" t="str">
        <f>"2017-04-11 18:40:37"</f>
        <v>2017-04-11 18:40:37</v>
      </c>
      <c r="M349" s="2">
        <v>1.9212962962962963E-2</v>
      </c>
      <c r="N349" s="1" t="s">
        <v>26</v>
      </c>
      <c r="O349" s="1" t="s">
        <v>34</v>
      </c>
      <c r="P349" s="2">
        <v>1.9270833333333334E-2</v>
      </c>
      <c r="Q349" s="1" t="s">
        <v>353</v>
      </c>
      <c r="R349" s="1">
        <v>0</v>
      </c>
      <c r="S349" s="1" t="str">
        <f>""</f>
        <v/>
      </c>
      <c r="T349" s="1" t="s">
        <v>29</v>
      </c>
      <c r="U349" s="1" t="s">
        <v>30</v>
      </c>
      <c r="V349" s="1">
        <v>0</v>
      </c>
    </row>
    <row r="350" spans="2:22" x14ac:dyDescent="0.15">
      <c r="B350" s="1" t="str">
        <f>"136****0254"</f>
        <v>136****0254</v>
      </c>
      <c r="C350" s="1" t="s">
        <v>23</v>
      </c>
      <c r="D350" s="1" t="str">
        <f t="shared" si="40"/>
        <v>89177328</v>
      </c>
      <c r="E350" s="1" t="s">
        <v>24</v>
      </c>
      <c r="F350" s="1" t="str">
        <f t="shared" si="41"/>
        <v>0010</v>
      </c>
      <c r="G350" s="1" t="str">
        <f>""</f>
        <v/>
      </c>
      <c r="H350" s="1" t="str">
        <f>"0034"</f>
        <v>0034</v>
      </c>
      <c r="I350" s="1" t="s">
        <v>31</v>
      </c>
      <c r="J350" s="1" t="str">
        <f>"01043977568"</f>
        <v>01043977568</v>
      </c>
      <c r="K350" s="1" t="str">
        <f>"2017-04-11 18:39:10"</f>
        <v>2017-04-11 18:39:10</v>
      </c>
      <c r="L350" s="1" t="str">
        <f>"-"</f>
        <v>-</v>
      </c>
      <c r="M350" s="2">
        <v>0</v>
      </c>
      <c r="N350" s="1" t="s">
        <v>33</v>
      </c>
      <c r="O350" s="1" t="s">
        <v>34</v>
      </c>
      <c r="P350" s="2">
        <v>2.3148148148148147E-5</v>
      </c>
      <c r="Q350" s="1" t="str">
        <f>""</f>
        <v/>
      </c>
      <c r="R350" s="1">
        <v>0</v>
      </c>
      <c r="S350" s="1" t="str">
        <f>""</f>
        <v/>
      </c>
      <c r="T350" s="1" t="s">
        <v>29</v>
      </c>
      <c r="U350" s="1" t="s">
        <v>30</v>
      </c>
      <c r="V350" s="1">
        <v>0</v>
      </c>
    </row>
    <row r="351" spans="2:22" x14ac:dyDescent="0.15">
      <c r="B351" s="1" t="str">
        <f>"139****5231"</f>
        <v>139****5231</v>
      </c>
      <c r="C351" s="1" t="s">
        <v>51</v>
      </c>
      <c r="D351" s="1" t="str">
        <f t="shared" si="40"/>
        <v>89177328</v>
      </c>
      <c r="E351" s="1" t="s">
        <v>24</v>
      </c>
      <c r="F351" s="1" t="str">
        <f t="shared" si="41"/>
        <v>0010</v>
      </c>
      <c r="G351" s="1" t="str">
        <f>""</f>
        <v/>
      </c>
      <c r="H351" s="1" t="str">
        <f>"0018"</f>
        <v>0018</v>
      </c>
      <c r="I351" s="1" t="s">
        <v>36</v>
      </c>
      <c r="J351" s="1" t="str">
        <f>"01043977572"</f>
        <v>01043977572</v>
      </c>
      <c r="K351" s="1" t="str">
        <f>"2017-04-11 18:30:18"</f>
        <v>2017-04-11 18:30:18</v>
      </c>
      <c r="L351" s="1" t="str">
        <f>"2017-04-11 18:30:28"</f>
        <v>2017-04-11 18:30:28</v>
      </c>
      <c r="M351" s="2">
        <v>4.2592592592592595E-3</v>
      </c>
      <c r="N351" s="1" t="s">
        <v>26</v>
      </c>
      <c r="O351" s="1" t="s">
        <v>34</v>
      </c>
      <c r="P351" s="2">
        <v>4.3749999999999995E-3</v>
      </c>
      <c r="Q351" s="1" t="s">
        <v>354</v>
      </c>
      <c r="R351" s="1">
        <v>0</v>
      </c>
      <c r="S351" s="1" t="str">
        <f>""</f>
        <v/>
      </c>
      <c r="T351" s="1" t="s">
        <v>29</v>
      </c>
      <c r="U351" s="1" t="s">
        <v>30</v>
      </c>
      <c r="V351" s="1">
        <v>0</v>
      </c>
    </row>
    <row r="352" spans="2:22" x14ac:dyDescent="0.15">
      <c r="B352" s="1" t="str">
        <f>"139****4005"</f>
        <v>139****4005</v>
      </c>
      <c r="C352" s="1" t="s">
        <v>23</v>
      </c>
      <c r="D352" s="1" t="str">
        <f t="shared" si="40"/>
        <v>89177328</v>
      </c>
      <c r="E352" s="1" t="s">
        <v>24</v>
      </c>
      <c r="F352" s="1" t="str">
        <f t="shared" si="41"/>
        <v>0010</v>
      </c>
      <c r="G352" s="1" t="str">
        <f>""</f>
        <v/>
      </c>
      <c r="H352" s="1" t="str">
        <f>""</f>
        <v/>
      </c>
      <c r="I352" s="1" t="str">
        <f>""</f>
        <v/>
      </c>
      <c r="J352" s="1" t="str">
        <f>""</f>
        <v/>
      </c>
      <c r="K352" s="1" t="str">
        <f>"2017-04-11 18:28:06"</f>
        <v>2017-04-11 18:28:06</v>
      </c>
      <c r="L352" s="1" t="str">
        <f>"-"</f>
        <v>-</v>
      </c>
      <c r="M352" s="2">
        <v>0</v>
      </c>
      <c r="N352" s="1" t="s">
        <v>55</v>
      </c>
      <c r="O352" s="1" t="s">
        <v>34</v>
      </c>
      <c r="P352" s="2">
        <v>2.3148148148148147E-5</v>
      </c>
      <c r="Q352" s="1" t="str">
        <f>""</f>
        <v/>
      </c>
      <c r="R352" s="1">
        <v>0</v>
      </c>
      <c r="S352" s="1" t="str">
        <f>""</f>
        <v/>
      </c>
      <c r="T352" s="1" t="s">
        <v>29</v>
      </c>
      <c r="U352" s="1" t="s">
        <v>30</v>
      </c>
      <c r="V352" s="1">
        <v>0</v>
      </c>
    </row>
    <row r="353" spans="2:22" x14ac:dyDescent="0.15">
      <c r="B353" s="1" t="str">
        <f>"010****9119"</f>
        <v>010****9119</v>
      </c>
      <c r="C353" s="1" t="s">
        <v>23</v>
      </c>
      <c r="D353" s="1" t="str">
        <f t="shared" si="40"/>
        <v>89177328</v>
      </c>
      <c r="E353" s="1" t="s">
        <v>24</v>
      </c>
      <c r="F353" s="1" t="str">
        <f t="shared" si="41"/>
        <v>0010</v>
      </c>
      <c r="G353" s="1" t="str">
        <f>""</f>
        <v/>
      </c>
      <c r="H353" s="1" t="str">
        <f>"0032"</f>
        <v>0032</v>
      </c>
      <c r="I353" s="1" t="s">
        <v>119</v>
      </c>
      <c r="J353" s="1" t="str">
        <f>"01043977566"</f>
        <v>01043977566</v>
      </c>
      <c r="K353" s="1" t="str">
        <f>"2017-04-11 18:26:18"</f>
        <v>2017-04-11 18:26:18</v>
      </c>
      <c r="L353" s="1" t="str">
        <f>"2017-04-11 18:26:32"</f>
        <v>2017-04-11 18:26:32</v>
      </c>
      <c r="M353" s="2">
        <v>1.4930555555555556E-2</v>
      </c>
      <c r="N353" s="1" t="s">
        <v>26</v>
      </c>
      <c r="O353" s="1" t="s">
        <v>34</v>
      </c>
      <c r="P353" s="2">
        <v>1.5092592592592593E-2</v>
      </c>
      <c r="Q353" s="1" t="s">
        <v>355</v>
      </c>
      <c r="R353" s="1">
        <v>0</v>
      </c>
      <c r="S353" s="1" t="str">
        <f>""</f>
        <v/>
      </c>
      <c r="T353" s="1" t="s">
        <v>29</v>
      </c>
      <c r="U353" s="1" t="s">
        <v>30</v>
      </c>
      <c r="V353" s="1">
        <v>0</v>
      </c>
    </row>
    <row r="354" spans="2:22" x14ac:dyDescent="0.15">
      <c r="B354" s="1" t="str">
        <f>"150****8558"</f>
        <v>150****8558</v>
      </c>
      <c r="C354" s="1" t="s">
        <v>35</v>
      </c>
      <c r="D354" s="1" t="str">
        <f t="shared" si="40"/>
        <v>89177328</v>
      </c>
      <c r="E354" s="1" t="s">
        <v>24</v>
      </c>
      <c r="F354" s="1" t="str">
        <f t="shared" si="41"/>
        <v>0010</v>
      </c>
      <c r="G354" s="1" t="str">
        <f>""</f>
        <v/>
      </c>
      <c r="H354" s="1" t="str">
        <f>"0034"</f>
        <v>0034</v>
      </c>
      <c r="I354" s="1" t="s">
        <v>31</v>
      </c>
      <c r="J354" s="1" t="str">
        <f>"01043977568"</f>
        <v>01043977568</v>
      </c>
      <c r="K354" s="1" t="str">
        <f>"2017-04-11 18:20:02"</f>
        <v>2017-04-11 18:20:02</v>
      </c>
      <c r="L354" s="1" t="str">
        <f>"2017-04-11 18:20:13"</f>
        <v>2017-04-11 18:20:13</v>
      </c>
      <c r="M354" s="2">
        <v>9.6412037037037039E-3</v>
      </c>
      <c r="N354" s="1" t="s">
        <v>26</v>
      </c>
      <c r="O354" s="1" t="s">
        <v>34</v>
      </c>
      <c r="P354" s="2">
        <v>9.7685185185185184E-3</v>
      </c>
      <c r="Q354" s="1" t="s">
        <v>356</v>
      </c>
      <c r="R354" s="1">
        <v>0</v>
      </c>
      <c r="S354" s="1" t="str">
        <f>""</f>
        <v/>
      </c>
      <c r="T354" s="1" t="s">
        <v>29</v>
      </c>
      <c r="U354" s="1" t="s">
        <v>30</v>
      </c>
      <c r="V354" s="1">
        <v>0</v>
      </c>
    </row>
    <row r="355" spans="2:22" x14ac:dyDescent="0.15">
      <c r="B355" s="1" t="str">
        <f>"152****1591"</f>
        <v>152****1591</v>
      </c>
      <c r="C355" s="1" t="s">
        <v>23</v>
      </c>
      <c r="D355" s="1" t="str">
        <f t="shared" si="40"/>
        <v>89177328</v>
      </c>
      <c r="E355" s="1" t="s">
        <v>24</v>
      </c>
      <c r="F355" s="1" t="str">
        <f t="shared" si="41"/>
        <v>0010</v>
      </c>
      <c r="G355" s="1" t="str">
        <f>""</f>
        <v/>
      </c>
      <c r="H355" s="1" t="str">
        <f>"0032"</f>
        <v>0032</v>
      </c>
      <c r="I355" s="1" t="s">
        <v>119</v>
      </c>
      <c r="J355" s="1" t="str">
        <f>"01043977566"</f>
        <v>01043977566</v>
      </c>
      <c r="K355" s="1" t="str">
        <f>"2017-04-11 18:17:36"</f>
        <v>2017-04-11 18:17:36</v>
      </c>
      <c r="L355" s="1" t="str">
        <f>"2017-04-11 18:17:49"</f>
        <v>2017-04-11 18:17:49</v>
      </c>
      <c r="M355" s="2">
        <v>4.6643518518518518E-3</v>
      </c>
      <c r="N355" s="1" t="s">
        <v>26</v>
      </c>
      <c r="O355" s="1" t="s">
        <v>34</v>
      </c>
      <c r="P355" s="2">
        <v>4.8148148148148152E-3</v>
      </c>
      <c r="Q355" s="1" t="s">
        <v>357</v>
      </c>
      <c r="R355" s="1">
        <v>0</v>
      </c>
      <c r="S355" s="1" t="str">
        <f>""</f>
        <v/>
      </c>
      <c r="T355" s="1" t="s">
        <v>29</v>
      </c>
      <c r="U355" s="1" t="s">
        <v>30</v>
      </c>
      <c r="V355" s="1">
        <v>0</v>
      </c>
    </row>
    <row r="356" spans="2:22" x14ac:dyDescent="0.15">
      <c r="B356" s="1" t="str">
        <f>"185****8316"</f>
        <v>185****8316</v>
      </c>
      <c r="C356" s="1" t="s">
        <v>23</v>
      </c>
      <c r="D356" s="1" t="str">
        <f t="shared" si="40"/>
        <v>89177328</v>
      </c>
      <c r="E356" s="1" t="s">
        <v>24</v>
      </c>
      <c r="F356" s="1" t="str">
        <f t="shared" si="41"/>
        <v>0010</v>
      </c>
      <c r="G356" s="1" t="str">
        <f>""</f>
        <v/>
      </c>
      <c r="H356" s="1" t="str">
        <f>"0017"</f>
        <v>0017</v>
      </c>
      <c r="I356" s="1" t="s">
        <v>135</v>
      </c>
      <c r="J356" s="1" t="str">
        <f>"01043989717"</f>
        <v>01043989717</v>
      </c>
      <c r="K356" s="1" t="str">
        <f>"2017-04-11 18:17:28"</f>
        <v>2017-04-11 18:17:28</v>
      </c>
      <c r="L356" s="1" t="str">
        <f>"2017-04-11 18:17:36"</f>
        <v>2017-04-11 18:17:36</v>
      </c>
      <c r="M356" s="2">
        <v>1.1006944444444444E-2</v>
      </c>
      <c r="N356" s="1" t="s">
        <v>26</v>
      </c>
      <c r="O356" s="1" t="s">
        <v>27</v>
      </c>
      <c r="P356" s="2">
        <v>1.1099537037037038E-2</v>
      </c>
      <c r="Q356" s="1" t="s">
        <v>358</v>
      </c>
      <c r="R356" s="1">
        <v>0</v>
      </c>
      <c r="S356" s="1" t="str">
        <f>""</f>
        <v/>
      </c>
      <c r="T356" s="1" t="s">
        <v>29</v>
      </c>
      <c r="U356" s="1" t="s">
        <v>30</v>
      </c>
      <c r="V356" s="1">
        <v>0</v>
      </c>
    </row>
    <row r="357" spans="2:22" x14ac:dyDescent="0.15">
      <c r="B357" s="1" t="str">
        <f>"158****5908"</f>
        <v>158****5908</v>
      </c>
      <c r="C357" s="1" t="s">
        <v>23</v>
      </c>
      <c r="D357" s="1" t="str">
        <f t="shared" si="40"/>
        <v>89177328</v>
      </c>
      <c r="E357" s="1" t="s">
        <v>24</v>
      </c>
      <c r="F357" s="1" t="str">
        <f t="shared" si="41"/>
        <v>0010</v>
      </c>
      <c r="G357" s="1" t="str">
        <f>""</f>
        <v/>
      </c>
      <c r="H357" s="1" t="str">
        <f>"0035"</f>
        <v>0035</v>
      </c>
      <c r="I357" s="1" t="s">
        <v>25</v>
      </c>
      <c r="J357" s="1" t="str">
        <f>"01043977569"</f>
        <v>01043977569</v>
      </c>
      <c r="K357" s="1" t="str">
        <f>"2017-04-11 18:08:10"</f>
        <v>2017-04-11 18:08:10</v>
      </c>
      <c r="L357" s="1" t="str">
        <f>"2017-04-11 18:08:21"</f>
        <v>2017-04-11 18:08:21</v>
      </c>
      <c r="M357" s="2">
        <v>1.6331018518518519E-2</v>
      </c>
      <c r="N357" s="1" t="s">
        <v>26</v>
      </c>
      <c r="O357" s="1" t="s">
        <v>27</v>
      </c>
      <c r="P357" s="2">
        <v>1.6458333333333332E-2</v>
      </c>
      <c r="Q357" s="1" t="s">
        <v>359</v>
      </c>
      <c r="R357" s="1">
        <v>0</v>
      </c>
      <c r="S357" s="1" t="str">
        <f>""</f>
        <v/>
      </c>
      <c r="T357" s="1" t="s">
        <v>29</v>
      </c>
      <c r="U357" s="1" t="s">
        <v>30</v>
      </c>
      <c r="V357" s="1">
        <v>0</v>
      </c>
    </row>
    <row r="358" spans="2:22" x14ac:dyDescent="0.15">
      <c r="B358" s="1" t="str">
        <f>"136****1333"</f>
        <v>136****1333</v>
      </c>
      <c r="C358" s="1" t="s">
        <v>64</v>
      </c>
      <c r="D358" s="1" t="str">
        <f t="shared" si="40"/>
        <v>89177328</v>
      </c>
      <c r="E358" s="1" t="s">
        <v>24</v>
      </c>
      <c r="F358" s="1" t="str">
        <f t="shared" si="41"/>
        <v>0010</v>
      </c>
      <c r="G358" s="1" t="str">
        <f>""</f>
        <v/>
      </c>
      <c r="H358" s="1" t="str">
        <f>"0017"</f>
        <v>0017</v>
      </c>
      <c r="I358" s="1" t="s">
        <v>135</v>
      </c>
      <c r="J358" s="1" t="str">
        <f>"01043989717"</f>
        <v>01043989717</v>
      </c>
      <c r="K358" s="1" t="str">
        <f>"2017-04-11 17:57:46"</f>
        <v>2017-04-11 17:57:46</v>
      </c>
      <c r="L358" s="1" t="str">
        <f>"2017-04-11 17:57:54"</f>
        <v>2017-04-11 17:57:54</v>
      </c>
      <c r="M358" s="2">
        <v>1.3333333333333334E-2</v>
      </c>
      <c r="N358" s="1" t="s">
        <v>26</v>
      </c>
      <c r="O358" s="1" t="s">
        <v>27</v>
      </c>
      <c r="P358" s="2">
        <v>1.3425925925925924E-2</v>
      </c>
      <c r="Q358" s="1" t="s">
        <v>360</v>
      </c>
      <c r="R358" s="1">
        <v>0</v>
      </c>
      <c r="S358" s="1" t="str">
        <f>""</f>
        <v/>
      </c>
      <c r="T358" s="1" t="s">
        <v>29</v>
      </c>
      <c r="U358" s="1" t="s">
        <v>30</v>
      </c>
      <c r="V358" s="1">
        <v>0</v>
      </c>
    </row>
    <row r="359" spans="2:22" x14ac:dyDescent="0.15">
      <c r="B359" s="1" t="str">
        <f>"010****2264"</f>
        <v>010****2264</v>
      </c>
      <c r="C359" s="1" t="s">
        <v>23</v>
      </c>
      <c r="D359" s="1" t="str">
        <f t="shared" si="40"/>
        <v>89177328</v>
      </c>
      <c r="E359" s="1" t="s">
        <v>24</v>
      </c>
      <c r="F359" s="1" t="str">
        <f t="shared" si="41"/>
        <v>0010</v>
      </c>
      <c r="G359" s="1" t="str">
        <f>""</f>
        <v/>
      </c>
      <c r="H359" s="1" t="str">
        <f>"0031"</f>
        <v>0031</v>
      </c>
      <c r="I359" s="1" t="s">
        <v>95</v>
      </c>
      <c r="J359" s="1" t="str">
        <f>"01043977565"</f>
        <v>01043977565</v>
      </c>
      <c r="K359" s="1" t="str">
        <f>"2017-04-11 17:55:01"</f>
        <v>2017-04-11 17:55:01</v>
      </c>
      <c r="L359" s="1" t="str">
        <f>"2017-04-11 17:55:19"</f>
        <v>2017-04-11 17:55:19</v>
      </c>
      <c r="M359" s="2">
        <v>1.269675925925926E-2</v>
      </c>
      <c r="N359" s="1" t="s">
        <v>26</v>
      </c>
      <c r="O359" s="1" t="s">
        <v>34</v>
      </c>
      <c r="P359" s="2">
        <v>1.2905092592592591E-2</v>
      </c>
      <c r="Q359" s="1" t="s">
        <v>361</v>
      </c>
      <c r="R359" s="1">
        <v>0</v>
      </c>
      <c r="S359" s="1" t="str">
        <f>""</f>
        <v/>
      </c>
      <c r="T359" s="1" t="s">
        <v>29</v>
      </c>
      <c r="U359" s="1" t="s">
        <v>30</v>
      </c>
      <c r="V359" s="1">
        <v>0</v>
      </c>
    </row>
    <row r="360" spans="2:22" x14ac:dyDescent="0.15">
      <c r="B360" s="1" t="str">
        <f>"0316180****4602"</f>
        <v>0316180****4602</v>
      </c>
      <c r="C360" s="1" t="s">
        <v>51</v>
      </c>
      <c r="D360" s="1" t="str">
        <f t="shared" si="40"/>
        <v>89177328</v>
      </c>
      <c r="E360" s="1" t="s">
        <v>24</v>
      </c>
      <c r="F360" s="1" t="str">
        <f t="shared" si="41"/>
        <v>0010</v>
      </c>
      <c r="G360" s="1" t="str">
        <f>""</f>
        <v/>
      </c>
      <c r="H360" s="1" t="str">
        <f>"0034"</f>
        <v>0034</v>
      </c>
      <c r="I360" s="1" t="s">
        <v>31</v>
      </c>
      <c r="J360" s="1" t="str">
        <f>"01043977568"</f>
        <v>01043977568</v>
      </c>
      <c r="K360" s="1" t="str">
        <f>"2017-04-11 17:41:33"</f>
        <v>2017-04-11 17:41:33</v>
      </c>
      <c r="L360" s="1" t="str">
        <f>"2017-04-11 17:41:46"</f>
        <v>2017-04-11 17:41:46</v>
      </c>
      <c r="M360" s="2">
        <v>6.5740740740740733E-3</v>
      </c>
      <c r="N360" s="1" t="s">
        <v>26</v>
      </c>
      <c r="O360" s="1" t="s">
        <v>34</v>
      </c>
      <c r="P360" s="2">
        <v>6.7245370370370367E-3</v>
      </c>
      <c r="Q360" s="1" t="s">
        <v>362</v>
      </c>
      <c r="R360" s="1">
        <v>0</v>
      </c>
      <c r="S360" s="1" t="str">
        <f>""</f>
        <v/>
      </c>
      <c r="T360" s="1" t="s">
        <v>29</v>
      </c>
      <c r="U360" s="1" t="s">
        <v>30</v>
      </c>
      <c r="V360" s="1">
        <v>0</v>
      </c>
    </row>
    <row r="361" spans="2:22" x14ac:dyDescent="0.15">
      <c r="B361" s="1" t="str">
        <f>"010****8166"</f>
        <v>010****8166</v>
      </c>
      <c r="C361" s="1" t="s">
        <v>23</v>
      </c>
      <c r="D361" s="1" t="str">
        <f t="shared" si="40"/>
        <v>89177328</v>
      </c>
      <c r="E361" s="1" t="s">
        <v>24</v>
      </c>
      <c r="F361" s="1" t="str">
        <f t="shared" si="41"/>
        <v>0010</v>
      </c>
      <c r="G361" s="1" t="str">
        <f>""</f>
        <v/>
      </c>
      <c r="H361" s="1" t="str">
        <f>"0036"</f>
        <v>0036</v>
      </c>
      <c r="I361" s="1" t="s">
        <v>143</v>
      </c>
      <c r="J361" s="1" t="str">
        <f>"01043977573"</f>
        <v>01043977573</v>
      </c>
      <c r="K361" s="1" t="str">
        <f>"2017-04-11 17:30:10"</f>
        <v>2017-04-11 17:30:10</v>
      </c>
      <c r="L361" s="1" t="str">
        <f>"2017-04-11 17:30:32"</f>
        <v>2017-04-11 17:30:32</v>
      </c>
      <c r="M361" s="2">
        <v>2.0057870370370368E-2</v>
      </c>
      <c r="N361" s="1" t="s">
        <v>26</v>
      </c>
      <c r="O361" s="1" t="s">
        <v>34</v>
      </c>
      <c r="P361" s="2">
        <v>2.0312500000000001E-2</v>
      </c>
      <c r="Q361" s="1" t="s">
        <v>363</v>
      </c>
      <c r="R361" s="1">
        <v>0</v>
      </c>
      <c r="S361" s="1" t="str">
        <f>""</f>
        <v/>
      </c>
      <c r="T361" s="1" t="s">
        <v>29</v>
      </c>
      <c r="U361" s="1" t="s">
        <v>30</v>
      </c>
      <c r="V361" s="1">
        <v>0</v>
      </c>
    </row>
    <row r="362" spans="2:22" x14ac:dyDescent="0.15">
      <c r="B362" s="1" t="str">
        <f>"135****6726"</f>
        <v>135****6726</v>
      </c>
      <c r="C362" s="1" t="s">
        <v>23</v>
      </c>
      <c r="D362" s="1" t="str">
        <f t="shared" si="40"/>
        <v>89177328</v>
      </c>
      <c r="E362" s="1" t="s">
        <v>24</v>
      </c>
      <c r="F362" s="1" t="str">
        <f t="shared" si="41"/>
        <v>0010</v>
      </c>
      <c r="G362" s="1" t="str">
        <f>""</f>
        <v/>
      </c>
      <c r="H362" s="1" t="str">
        <f>"0031"</f>
        <v>0031</v>
      </c>
      <c r="I362" s="1" t="s">
        <v>95</v>
      </c>
      <c r="J362" s="1" t="str">
        <f>"01043977565"</f>
        <v>01043977565</v>
      </c>
      <c r="K362" s="1" t="str">
        <f>"2017-04-11 17:13:55"</f>
        <v>2017-04-11 17:13:55</v>
      </c>
      <c r="L362" s="1" t="str">
        <f>"2017-04-11 17:14:02"</f>
        <v>2017-04-11 17:14:02</v>
      </c>
      <c r="M362" s="2">
        <v>2.8194444444444442E-2</v>
      </c>
      <c r="N362" s="1" t="s">
        <v>26</v>
      </c>
      <c r="O362" s="1" t="s">
        <v>27</v>
      </c>
      <c r="P362" s="2">
        <v>2.8275462962962964E-2</v>
      </c>
      <c r="Q362" s="1" t="s">
        <v>364</v>
      </c>
      <c r="R362" s="1">
        <v>0</v>
      </c>
      <c r="S362" s="1" t="str">
        <f>""</f>
        <v/>
      </c>
      <c r="T362" s="1" t="s">
        <v>29</v>
      </c>
      <c r="U362" s="1" t="s">
        <v>30</v>
      </c>
      <c r="V362" s="1">
        <v>0</v>
      </c>
    </row>
    <row r="363" spans="2:22" x14ac:dyDescent="0.15">
      <c r="B363" s="1" t="str">
        <f>"138****2501"</f>
        <v>138****2501</v>
      </c>
      <c r="C363" s="1" t="s">
        <v>23</v>
      </c>
      <c r="D363" s="1" t="str">
        <f t="shared" si="40"/>
        <v>89177328</v>
      </c>
      <c r="E363" s="1" t="s">
        <v>24</v>
      </c>
      <c r="F363" s="1" t="str">
        <f t="shared" si="41"/>
        <v>0010</v>
      </c>
      <c r="G363" s="1" t="str">
        <f>""</f>
        <v/>
      </c>
      <c r="H363" s="1" t="str">
        <f>"0034"</f>
        <v>0034</v>
      </c>
      <c r="I363" s="1" t="s">
        <v>31</v>
      </c>
      <c r="J363" s="1" t="str">
        <f>"01043977568"</f>
        <v>01043977568</v>
      </c>
      <c r="K363" s="1" t="str">
        <f>"2017-04-11 17:07:04"</f>
        <v>2017-04-11 17:07:04</v>
      </c>
      <c r="L363" s="1" t="str">
        <f>"2017-04-11 17:07:16"</f>
        <v>2017-04-11 17:07:16</v>
      </c>
      <c r="M363" s="2">
        <v>1.8761574074074073E-2</v>
      </c>
      <c r="N363" s="1" t="s">
        <v>26</v>
      </c>
      <c r="O363" s="1" t="s">
        <v>34</v>
      </c>
      <c r="P363" s="2">
        <v>1.8900462962962963E-2</v>
      </c>
      <c r="Q363" s="1" t="s">
        <v>365</v>
      </c>
      <c r="R363" s="1">
        <v>0</v>
      </c>
      <c r="S363" s="1" t="str">
        <f>""</f>
        <v/>
      </c>
      <c r="T363" s="1" t="s">
        <v>29</v>
      </c>
      <c r="U363" s="1" t="s">
        <v>30</v>
      </c>
      <c r="V363" s="1">
        <v>0</v>
      </c>
    </row>
    <row r="364" spans="2:22" x14ac:dyDescent="0.15">
      <c r="B364" s="1" t="str">
        <f>"151****5088"</f>
        <v>151****5088</v>
      </c>
      <c r="C364" s="1" t="s">
        <v>35</v>
      </c>
      <c r="D364" s="1" t="str">
        <f t="shared" si="40"/>
        <v>89177328</v>
      </c>
      <c r="E364" s="1" t="s">
        <v>24</v>
      </c>
      <c r="F364" s="1" t="str">
        <f t="shared" si="41"/>
        <v>0010</v>
      </c>
      <c r="G364" s="1" t="str">
        <f>""</f>
        <v/>
      </c>
      <c r="H364" s="1" t="str">
        <f>"0035"</f>
        <v>0035</v>
      </c>
      <c r="I364" s="1" t="s">
        <v>25</v>
      </c>
      <c r="J364" s="1" t="str">
        <f>"01043977569"</f>
        <v>01043977569</v>
      </c>
      <c r="K364" s="1" t="str">
        <f>"2017-04-11 16:38:17"</f>
        <v>2017-04-11 16:38:17</v>
      </c>
      <c r="L364" s="1" t="str">
        <f>"2017-04-11 16:38:26"</f>
        <v>2017-04-11 16:38:26</v>
      </c>
      <c r="M364" s="2">
        <v>1.2604166666666666E-2</v>
      </c>
      <c r="N364" s="1" t="s">
        <v>26</v>
      </c>
      <c r="O364" s="1" t="s">
        <v>27</v>
      </c>
      <c r="P364" s="2">
        <v>1.2708333333333334E-2</v>
      </c>
      <c r="Q364" s="1" t="s">
        <v>366</v>
      </c>
      <c r="R364" s="1">
        <v>0</v>
      </c>
      <c r="S364" s="1" t="str">
        <f>""</f>
        <v/>
      </c>
      <c r="T364" s="1" t="s">
        <v>29</v>
      </c>
      <c r="U364" s="1" t="s">
        <v>30</v>
      </c>
      <c r="V364" s="1">
        <v>0</v>
      </c>
    </row>
    <row r="365" spans="2:22" x14ac:dyDescent="0.15">
      <c r="B365" s="1" t="str">
        <f>"153****9989"</f>
        <v>153****9989</v>
      </c>
      <c r="C365" s="1" t="s">
        <v>23</v>
      </c>
      <c r="D365" s="1" t="str">
        <f t="shared" si="40"/>
        <v>89177328</v>
      </c>
      <c r="E365" s="1" t="s">
        <v>24</v>
      </c>
      <c r="F365" s="1" t="str">
        <f t="shared" si="41"/>
        <v>0010</v>
      </c>
      <c r="G365" s="1" t="str">
        <f>""</f>
        <v/>
      </c>
      <c r="H365" s="1" t="str">
        <f>"0031"</f>
        <v>0031</v>
      </c>
      <c r="I365" s="1" t="s">
        <v>95</v>
      </c>
      <c r="J365" s="1" t="str">
        <f>"01043977565"</f>
        <v>01043977565</v>
      </c>
      <c r="K365" s="1" t="str">
        <f>"2017-04-11 16:23:27"</f>
        <v>2017-04-11 16:23:27</v>
      </c>
      <c r="L365" s="1" t="str">
        <f>"2017-04-11 16:24:02"</f>
        <v>2017-04-11 16:24:02</v>
      </c>
      <c r="M365" s="2">
        <v>1.1423611111111112E-2</v>
      </c>
      <c r="N365" s="1" t="s">
        <v>26</v>
      </c>
      <c r="O365" s="1" t="s">
        <v>27</v>
      </c>
      <c r="P365" s="2">
        <v>1.1828703703703704E-2</v>
      </c>
      <c r="Q365" s="1" t="s">
        <v>367</v>
      </c>
      <c r="R365" s="1">
        <v>0</v>
      </c>
      <c r="S365" s="1" t="str">
        <f>""</f>
        <v/>
      </c>
      <c r="T365" s="1" t="s">
        <v>29</v>
      </c>
      <c r="U365" s="1" t="s">
        <v>30</v>
      </c>
      <c r="V365" s="1">
        <v>0</v>
      </c>
    </row>
    <row r="366" spans="2:22" x14ac:dyDescent="0.15">
      <c r="B366" s="1" t="str">
        <f>"010****0603"</f>
        <v>010****0603</v>
      </c>
      <c r="C366" s="1" t="s">
        <v>23</v>
      </c>
      <c r="D366" s="1" t="str">
        <f t="shared" si="40"/>
        <v>89177328</v>
      </c>
      <c r="E366" s="1" t="s">
        <v>24</v>
      </c>
      <c r="F366" s="1" t="str">
        <f t="shared" si="41"/>
        <v>0010</v>
      </c>
      <c r="G366" s="1" t="str">
        <f>""</f>
        <v/>
      </c>
      <c r="H366" s="1" t="str">
        <f>"0017"</f>
        <v>0017</v>
      </c>
      <c r="I366" s="1" t="s">
        <v>135</v>
      </c>
      <c r="J366" s="1" t="str">
        <f>"01043989717"</f>
        <v>01043989717</v>
      </c>
      <c r="K366" s="1" t="str">
        <f>"2017-04-11 16:16:40"</f>
        <v>2017-04-11 16:16:40</v>
      </c>
      <c r="L366" s="1" t="str">
        <f>"2017-04-11 16:17:09"</f>
        <v>2017-04-11 16:17:09</v>
      </c>
      <c r="M366" s="2">
        <v>1.5162037037037036E-2</v>
      </c>
      <c r="N366" s="1" t="s">
        <v>26</v>
      </c>
      <c r="O366" s="1" t="s">
        <v>27</v>
      </c>
      <c r="P366" s="2">
        <v>1.5497685185185186E-2</v>
      </c>
      <c r="Q366" s="1" t="s">
        <v>368</v>
      </c>
      <c r="R366" s="1">
        <v>0</v>
      </c>
      <c r="S366" s="1" t="str">
        <f>""</f>
        <v/>
      </c>
      <c r="T366" s="1" t="s">
        <v>29</v>
      </c>
      <c r="U366" s="1" t="s">
        <v>30</v>
      </c>
      <c r="V366" s="1">
        <v>0</v>
      </c>
    </row>
    <row r="367" spans="2:22" x14ac:dyDescent="0.15">
      <c r="B367" s="1" t="str">
        <f>"010****4789"</f>
        <v>010****4789</v>
      </c>
      <c r="C367" s="1" t="s">
        <v>23</v>
      </c>
      <c r="D367" s="1" t="str">
        <f>"4000108333"</f>
        <v>4000108333</v>
      </c>
      <c r="E367" s="1" t="s">
        <v>53</v>
      </c>
      <c r="F367" s="1" t="str">
        <f>""</f>
        <v/>
      </c>
      <c r="G367" s="1" t="str">
        <f>""</f>
        <v/>
      </c>
      <c r="H367" s="1" t="str">
        <f>""</f>
        <v/>
      </c>
      <c r="I367" s="1" t="str">
        <f>""</f>
        <v/>
      </c>
      <c r="J367" s="1" t="str">
        <f>""</f>
        <v/>
      </c>
      <c r="K367" s="1" t="str">
        <f>"2017-04-11 16:12:05"</f>
        <v>2017-04-11 16:12:05</v>
      </c>
      <c r="L367" s="1" t="str">
        <f>"-"</f>
        <v>-</v>
      </c>
      <c r="M367" s="2">
        <v>0</v>
      </c>
      <c r="N367" s="1" t="s">
        <v>55</v>
      </c>
      <c r="O367" s="1" t="s">
        <v>34</v>
      </c>
      <c r="P367" s="2">
        <v>1.3888888888888889E-4</v>
      </c>
      <c r="Q367" s="1" t="str">
        <f>""</f>
        <v/>
      </c>
      <c r="R367" s="1">
        <v>0.12</v>
      </c>
      <c r="S367" s="1" t="str">
        <f>""</f>
        <v/>
      </c>
      <c r="T367" s="1" t="s">
        <v>29</v>
      </c>
      <c r="U367" s="1" t="s">
        <v>30</v>
      </c>
      <c r="V367" s="1">
        <v>0</v>
      </c>
    </row>
    <row r="368" spans="2:22" x14ac:dyDescent="0.15">
      <c r="B368" s="1" t="str">
        <f>"137****9377"</f>
        <v>137****9377</v>
      </c>
      <c r="C368" s="1" t="s">
        <v>23</v>
      </c>
      <c r="D368" s="1" t="str">
        <f t="shared" ref="D368:D377" si="42">"89177328"</f>
        <v>89177328</v>
      </c>
      <c r="E368" s="1" t="s">
        <v>24</v>
      </c>
      <c r="F368" s="1" t="str">
        <f t="shared" ref="F368:F377" si="43">"0010"</f>
        <v>0010</v>
      </c>
      <c r="G368" s="1" t="str">
        <f>""</f>
        <v/>
      </c>
      <c r="H368" s="1" t="str">
        <f>"0033"</f>
        <v>0033</v>
      </c>
      <c r="I368" s="1" t="s">
        <v>106</v>
      </c>
      <c r="J368" s="1" t="str">
        <f>"01043977567"</f>
        <v>01043977567</v>
      </c>
      <c r="K368" s="1" t="str">
        <f>"2017-04-11 16:08:55"</f>
        <v>2017-04-11 16:08:55</v>
      </c>
      <c r="L368" s="1" t="str">
        <f>"2017-04-11 16:09:04"</f>
        <v>2017-04-11 16:09:04</v>
      </c>
      <c r="M368" s="2">
        <v>5.0115740740740737E-3</v>
      </c>
      <c r="N368" s="1" t="s">
        <v>26</v>
      </c>
      <c r="O368" s="1" t="s">
        <v>34</v>
      </c>
      <c r="P368" s="2">
        <v>5.115740740740741E-3</v>
      </c>
      <c r="Q368" s="1" t="s">
        <v>369</v>
      </c>
      <c r="R368" s="1">
        <v>0</v>
      </c>
      <c r="S368" s="1" t="str">
        <f>""</f>
        <v/>
      </c>
      <c r="T368" s="1" t="s">
        <v>29</v>
      </c>
      <c r="U368" s="1" t="s">
        <v>30</v>
      </c>
      <c r="V368" s="1">
        <v>0</v>
      </c>
    </row>
    <row r="369" spans="2:22" x14ac:dyDescent="0.15">
      <c r="B369" s="1" t="str">
        <f>"010****6501"</f>
        <v>010****6501</v>
      </c>
      <c r="C369" s="1" t="s">
        <v>23</v>
      </c>
      <c r="D369" s="1" t="str">
        <f t="shared" si="42"/>
        <v>89177328</v>
      </c>
      <c r="E369" s="1" t="s">
        <v>24</v>
      </c>
      <c r="F369" s="1" t="str">
        <f t="shared" si="43"/>
        <v>0010</v>
      </c>
      <c r="G369" s="1" t="str">
        <f>""</f>
        <v/>
      </c>
      <c r="H369" s="1" t="str">
        <f>"0034"</f>
        <v>0034</v>
      </c>
      <c r="I369" s="1" t="s">
        <v>31</v>
      </c>
      <c r="J369" s="1" t="str">
        <f>"01043977568"</f>
        <v>01043977568</v>
      </c>
      <c r="K369" s="1" t="str">
        <f>"2017-04-11 15:56:38"</f>
        <v>2017-04-11 15:56:38</v>
      </c>
      <c r="L369" s="1" t="str">
        <f>"2017-04-11 15:56:48"</f>
        <v>2017-04-11 15:56:48</v>
      </c>
      <c r="M369" s="2">
        <v>2.8935185185185189E-4</v>
      </c>
      <c r="N369" s="1" t="s">
        <v>26</v>
      </c>
      <c r="O369" s="1" t="s">
        <v>27</v>
      </c>
      <c r="P369" s="2">
        <v>4.0509259259259258E-4</v>
      </c>
      <c r="Q369" s="1" t="s">
        <v>370</v>
      </c>
      <c r="R369" s="1">
        <v>0</v>
      </c>
      <c r="S369" s="1" t="str">
        <f>""</f>
        <v/>
      </c>
      <c r="T369" s="1" t="s">
        <v>29</v>
      </c>
      <c r="U369" s="1" t="s">
        <v>30</v>
      </c>
      <c r="V369" s="1">
        <v>0</v>
      </c>
    </row>
    <row r="370" spans="2:22" x14ac:dyDescent="0.15">
      <c r="B370" s="1" t="str">
        <f>"135****8503"</f>
        <v>135****8503</v>
      </c>
      <c r="C370" s="1" t="s">
        <v>23</v>
      </c>
      <c r="D370" s="1" t="str">
        <f t="shared" si="42"/>
        <v>89177328</v>
      </c>
      <c r="E370" s="1" t="s">
        <v>24</v>
      </c>
      <c r="F370" s="1" t="str">
        <f t="shared" si="43"/>
        <v>0010</v>
      </c>
      <c r="G370" s="1" t="str">
        <f>""</f>
        <v/>
      </c>
      <c r="H370" s="1" t="str">
        <f>"0033"</f>
        <v>0033</v>
      </c>
      <c r="I370" s="1" t="s">
        <v>106</v>
      </c>
      <c r="J370" s="1" t="str">
        <f>"01043977567"</f>
        <v>01043977567</v>
      </c>
      <c r="K370" s="1" t="str">
        <f>"2017-04-11 15:52:35"</f>
        <v>2017-04-11 15:52:35</v>
      </c>
      <c r="L370" s="1" t="str">
        <f>"2017-04-11 15:52:45"</f>
        <v>2017-04-11 15:52:45</v>
      </c>
      <c r="M370" s="2">
        <v>3.4953703703703705E-3</v>
      </c>
      <c r="N370" s="1" t="s">
        <v>26</v>
      </c>
      <c r="O370" s="1" t="s">
        <v>27</v>
      </c>
      <c r="P370" s="2">
        <v>3.6111111111111114E-3</v>
      </c>
      <c r="Q370" s="1" t="s">
        <v>371</v>
      </c>
      <c r="R370" s="1">
        <v>0</v>
      </c>
      <c r="S370" s="1" t="str">
        <f>""</f>
        <v/>
      </c>
      <c r="T370" s="1" t="s">
        <v>29</v>
      </c>
      <c r="U370" s="1" t="s">
        <v>30</v>
      </c>
      <c r="V370" s="1">
        <v>0</v>
      </c>
    </row>
    <row r="371" spans="2:22" x14ac:dyDescent="0.15">
      <c r="B371" s="1" t="str">
        <f>"186****3283"</f>
        <v>186****3283</v>
      </c>
      <c r="C371" s="1" t="s">
        <v>23</v>
      </c>
      <c r="D371" s="1" t="str">
        <f t="shared" si="42"/>
        <v>89177328</v>
      </c>
      <c r="E371" s="1" t="s">
        <v>24</v>
      </c>
      <c r="F371" s="1" t="str">
        <f t="shared" si="43"/>
        <v>0010</v>
      </c>
      <c r="G371" s="1" t="str">
        <f>""</f>
        <v/>
      </c>
      <c r="H371" s="1" t="str">
        <f>"0033"</f>
        <v>0033</v>
      </c>
      <c r="I371" s="1" t="s">
        <v>106</v>
      </c>
      <c r="J371" s="1" t="str">
        <f>"01043977567"</f>
        <v>01043977567</v>
      </c>
      <c r="K371" s="1" t="str">
        <f>"2017-04-11 15:51:58"</f>
        <v>2017-04-11 15:51:58</v>
      </c>
      <c r="L371" s="1" t="str">
        <f>"-"</f>
        <v>-</v>
      </c>
      <c r="M371" s="2">
        <v>0</v>
      </c>
      <c r="N371" s="1" t="s">
        <v>33</v>
      </c>
      <c r="O371" s="1" t="s">
        <v>34</v>
      </c>
      <c r="P371" s="2">
        <v>1.1574074074074073E-5</v>
      </c>
      <c r="Q371" s="1" t="str">
        <f>""</f>
        <v/>
      </c>
      <c r="R371" s="1">
        <v>0</v>
      </c>
      <c r="S371" s="1" t="str">
        <f>""</f>
        <v/>
      </c>
      <c r="T371" s="1" t="s">
        <v>29</v>
      </c>
      <c r="U371" s="1" t="s">
        <v>30</v>
      </c>
      <c r="V371" s="1">
        <v>0</v>
      </c>
    </row>
    <row r="372" spans="2:22" x14ac:dyDescent="0.15">
      <c r="B372" s="1" t="str">
        <f>"010****3434"</f>
        <v>010****3434</v>
      </c>
      <c r="C372" s="1" t="s">
        <v>23</v>
      </c>
      <c r="D372" s="1" t="str">
        <f t="shared" si="42"/>
        <v>89177328</v>
      </c>
      <c r="E372" s="1" t="s">
        <v>24</v>
      </c>
      <c r="F372" s="1" t="str">
        <f t="shared" si="43"/>
        <v>0010</v>
      </c>
      <c r="G372" s="1" t="str">
        <f>""</f>
        <v/>
      </c>
      <c r="H372" s="1" t="str">
        <f>"0034"</f>
        <v>0034</v>
      </c>
      <c r="I372" s="1" t="s">
        <v>31</v>
      </c>
      <c r="J372" s="1" t="str">
        <f>"01043977568"</f>
        <v>01043977568</v>
      </c>
      <c r="K372" s="1" t="str">
        <f>"2017-04-11 15:49:49"</f>
        <v>2017-04-11 15:49:49</v>
      </c>
      <c r="L372" s="1" t="str">
        <f>"2017-04-11 15:50:00"</f>
        <v>2017-04-11 15:50:00</v>
      </c>
      <c r="M372" s="2">
        <v>2.6620370370370372E-4</v>
      </c>
      <c r="N372" s="1" t="s">
        <v>26</v>
      </c>
      <c r="O372" s="1" t="s">
        <v>27</v>
      </c>
      <c r="P372" s="2">
        <v>3.9351851851851852E-4</v>
      </c>
      <c r="Q372" s="1" t="s">
        <v>372</v>
      </c>
      <c r="R372" s="1">
        <v>0</v>
      </c>
      <c r="S372" s="1" t="str">
        <f>""</f>
        <v/>
      </c>
      <c r="T372" s="1" t="s">
        <v>29</v>
      </c>
      <c r="U372" s="1" t="s">
        <v>30</v>
      </c>
      <c r="V372" s="1">
        <v>0</v>
      </c>
    </row>
    <row r="373" spans="2:22" x14ac:dyDescent="0.15">
      <c r="B373" s="1" t="str">
        <f>"186****8031"</f>
        <v>186****8031</v>
      </c>
      <c r="C373" s="1" t="s">
        <v>23</v>
      </c>
      <c r="D373" s="1" t="str">
        <f t="shared" si="42"/>
        <v>89177328</v>
      </c>
      <c r="E373" s="1" t="s">
        <v>24</v>
      </c>
      <c r="F373" s="1" t="str">
        <f t="shared" si="43"/>
        <v>0010</v>
      </c>
      <c r="G373" s="1" t="str">
        <f>""</f>
        <v/>
      </c>
      <c r="H373" s="1" t="str">
        <f>"0035"</f>
        <v>0035</v>
      </c>
      <c r="I373" s="1" t="s">
        <v>25</v>
      </c>
      <c r="J373" s="1" t="str">
        <f>"01043977569"</f>
        <v>01043977569</v>
      </c>
      <c r="K373" s="1" t="str">
        <f>"2017-04-11 15:47:28"</f>
        <v>2017-04-11 15:47:28</v>
      </c>
      <c r="L373" s="1" t="str">
        <f>"2017-04-11 15:47:37"</f>
        <v>2017-04-11 15:47:37</v>
      </c>
      <c r="M373" s="2">
        <v>4.7685185185185183E-3</v>
      </c>
      <c r="N373" s="1" t="s">
        <v>26</v>
      </c>
      <c r="O373" s="1" t="s">
        <v>27</v>
      </c>
      <c r="P373" s="2">
        <v>4.8726851851851856E-3</v>
      </c>
      <c r="Q373" s="1" t="s">
        <v>373</v>
      </c>
      <c r="R373" s="1">
        <v>0</v>
      </c>
      <c r="S373" s="1" t="str">
        <f>""</f>
        <v/>
      </c>
      <c r="T373" s="1" t="s">
        <v>29</v>
      </c>
      <c r="U373" s="1" t="s">
        <v>30</v>
      </c>
      <c r="V373" s="1">
        <v>0</v>
      </c>
    </row>
    <row r="374" spans="2:22" x14ac:dyDescent="0.15">
      <c r="B374" s="1" t="str">
        <f>"136****6811"</f>
        <v>136****6811</v>
      </c>
      <c r="C374" s="1" t="s">
        <v>23</v>
      </c>
      <c r="D374" s="1" t="str">
        <f t="shared" si="42"/>
        <v>89177328</v>
      </c>
      <c r="E374" s="1" t="s">
        <v>24</v>
      </c>
      <c r="F374" s="1" t="str">
        <f t="shared" si="43"/>
        <v>0010</v>
      </c>
      <c r="G374" s="1" t="str">
        <f>""</f>
        <v/>
      </c>
      <c r="H374" s="1" t="str">
        <f>"0032"</f>
        <v>0032</v>
      </c>
      <c r="I374" s="1" t="s">
        <v>119</v>
      </c>
      <c r="J374" s="1" t="str">
        <f>"01043977566"</f>
        <v>01043977566</v>
      </c>
      <c r="K374" s="1" t="str">
        <f>"2017-04-11 15:47:03"</f>
        <v>2017-04-11 15:47:03</v>
      </c>
      <c r="L374" s="1" t="str">
        <f>"2017-04-11 15:47:16"</f>
        <v>2017-04-11 15:47:16</v>
      </c>
      <c r="M374" s="2">
        <v>8.6805555555555559E-3</v>
      </c>
      <c r="N374" s="1" t="s">
        <v>26</v>
      </c>
      <c r="O374" s="1" t="s">
        <v>34</v>
      </c>
      <c r="P374" s="2">
        <v>8.8310185185185176E-3</v>
      </c>
      <c r="Q374" s="1" t="s">
        <v>374</v>
      </c>
      <c r="R374" s="1">
        <v>0</v>
      </c>
      <c r="S374" s="1" t="str">
        <f>""</f>
        <v/>
      </c>
      <c r="T374" s="1" t="s">
        <v>29</v>
      </c>
      <c r="U374" s="1" t="s">
        <v>30</v>
      </c>
      <c r="V374" s="1">
        <v>0</v>
      </c>
    </row>
    <row r="375" spans="2:22" x14ac:dyDescent="0.15">
      <c r="B375" s="1" t="str">
        <f>"010****2872"</f>
        <v>010****2872</v>
      </c>
      <c r="C375" s="1" t="s">
        <v>23</v>
      </c>
      <c r="D375" s="1" t="str">
        <f t="shared" si="42"/>
        <v>89177328</v>
      </c>
      <c r="E375" s="1" t="s">
        <v>24</v>
      </c>
      <c r="F375" s="1" t="str">
        <f t="shared" si="43"/>
        <v>0010</v>
      </c>
      <c r="G375" s="1" t="str">
        <f>""</f>
        <v/>
      </c>
      <c r="H375" s="1" t="str">
        <f>"0017"</f>
        <v>0017</v>
      </c>
      <c r="I375" s="1" t="s">
        <v>135</v>
      </c>
      <c r="J375" s="1" t="str">
        <f>"01043989717"</f>
        <v>01043989717</v>
      </c>
      <c r="K375" s="1" t="str">
        <f>"2017-04-11 15:39:09"</f>
        <v>2017-04-11 15:39:09</v>
      </c>
      <c r="L375" s="1" t="str">
        <f>"2017-04-11 15:39:17"</f>
        <v>2017-04-11 15:39:17</v>
      </c>
      <c r="M375" s="2">
        <v>1.9259259259259261E-2</v>
      </c>
      <c r="N375" s="1" t="s">
        <v>26</v>
      </c>
      <c r="O375" s="1" t="s">
        <v>27</v>
      </c>
      <c r="P375" s="2">
        <v>1.9351851851851853E-2</v>
      </c>
      <c r="Q375" s="1" t="s">
        <v>375</v>
      </c>
      <c r="R375" s="1">
        <v>0</v>
      </c>
      <c r="S375" s="1" t="str">
        <f>""</f>
        <v/>
      </c>
      <c r="T375" s="1" t="s">
        <v>29</v>
      </c>
      <c r="U375" s="1" t="s">
        <v>30</v>
      </c>
      <c r="V375" s="1">
        <v>0</v>
      </c>
    </row>
    <row r="376" spans="2:22" x14ac:dyDescent="0.15">
      <c r="B376" s="1" t="str">
        <f>"152****9336"</f>
        <v>152****9336</v>
      </c>
      <c r="C376" s="1" t="s">
        <v>23</v>
      </c>
      <c r="D376" s="1" t="str">
        <f t="shared" si="42"/>
        <v>89177328</v>
      </c>
      <c r="E376" s="1" t="s">
        <v>24</v>
      </c>
      <c r="F376" s="1" t="str">
        <f t="shared" si="43"/>
        <v>0010</v>
      </c>
      <c r="G376" s="1" t="str">
        <f>""</f>
        <v/>
      </c>
      <c r="H376" s="1" t="str">
        <f>"0031"</f>
        <v>0031</v>
      </c>
      <c r="I376" s="1" t="s">
        <v>95</v>
      </c>
      <c r="J376" s="1" t="str">
        <f>"01043977565"</f>
        <v>01043977565</v>
      </c>
      <c r="K376" s="1" t="str">
        <f>"2017-04-11 15:38:14"</f>
        <v>2017-04-11 15:38:14</v>
      </c>
      <c r="L376" s="1" t="str">
        <f>"2017-04-11 15:38:23"</f>
        <v>2017-04-11 15:38:23</v>
      </c>
      <c r="M376" s="2">
        <v>9.3634259259259261E-3</v>
      </c>
      <c r="N376" s="1" t="s">
        <v>26</v>
      </c>
      <c r="O376" s="1" t="s">
        <v>27</v>
      </c>
      <c r="P376" s="2">
        <v>9.4675925925925917E-3</v>
      </c>
      <c r="Q376" s="1" t="s">
        <v>376</v>
      </c>
      <c r="R376" s="1">
        <v>0</v>
      </c>
      <c r="S376" s="1" t="str">
        <f>""</f>
        <v/>
      </c>
      <c r="T376" s="1" t="s">
        <v>29</v>
      </c>
      <c r="U376" s="1" t="s">
        <v>30</v>
      </c>
      <c r="V376" s="1">
        <v>0</v>
      </c>
    </row>
    <row r="377" spans="2:22" x14ac:dyDescent="0.15">
      <c r="B377" s="1" t="str">
        <f>"152****8729"</f>
        <v>152****8729</v>
      </c>
      <c r="C377" s="1" t="s">
        <v>241</v>
      </c>
      <c r="D377" s="1" t="str">
        <f t="shared" si="42"/>
        <v>89177328</v>
      </c>
      <c r="E377" s="1" t="s">
        <v>24</v>
      </c>
      <c r="F377" s="1" t="str">
        <f t="shared" si="43"/>
        <v>0010</v>
      </c>
      <c r="G377" s="1" t="str">
        <f>""</f>
        <v/>
      </c>
      <c r="H377" s="1" t="str">
        <f>"0034"</f>
        <v>0034</v>
      </c>
      <c r="I377" s="1" t="s">
        <v>31</v>
      </c>
      <c r="J377" s="1" t="str">
        <f>"01043977568"</f>
        <v>01043977568</v>
      </c>
      <c r="K377" s="1" t="str">
        <f>"2017-04-11 15:31:21"</f>
        <v>2017-04-11 15:31:21</v>
      </c>
      <c r="L377" s="1" t="str">
        <f>"2017-04-11 15:31:29"</f>
        <v>2017-04-11 15:31:29</v>
      </c>
      <c r="M377" s="2">
        <v>1.1481481481481483E-2</v>
      </c>
      <c r="N377" s="1" t="s">
        <v>26</v>
      </c>
      <c r="O377" s="1" t="s">
        <v>27</v>
      </c>
      <c r="P377" s="2">
        <v>1.1574074074074075E-2</v>
      </c>
      <c r="Q377" s="1" t="s">
        <v>377</v>
      </c>
      <c r="R377" s="1">
        <v>0</v>
      </c>
      <c r="S377" s="1" t="str">
        <f>""</f>
        <v/>
      </c>
      <c r="T377" s="1" t="s">
        <v>29</v>
      </c>
      <c r="U377" s="1" t="s">
        <v>30</v>
      </c>
      <c r="V377" s="1">
        <v>0</v>
      </c>
    </row>
    <row r="378" spans="2:22" x14ac:dyDescent="0.15">
      <c r="B378" s="1" t="str">
        <f>"135****4500"</f>
        <v>135****4500</v>
      </c>
      <c r="C378" s="1" t="s">
        <v>23</v>
      </c>
      <c r="D378" s="1" t="str">
        <f>"4000108333"</f>
        <v>4000108333</v>
      </c>
      <c r="E378" s="1" t="s">
        <v>53</v>
      </c>
      <c r="F378" s="1" t="str">
        <f>"0000"</f>
        <v>0000</v>
      </c>
      <c r="G378" s="1" t="str">
        <f>""</f>
        <v/>
      </c>
      <c r="H378" s="1" t="str">
        <f>"1010"</f>
        <v>1010</v>
      </c>
      <c r="I378" s="1" t="s">
        <v>148</v>
      </c>
      <c r="J378" s="1" t="str">
        <f>"13718091869"</f>
        <v>13718091869</v>
      </c>
      <c r="K378" s="1" t="str">
        <f>"2017-04-11 15:28:07"</f>
        <v>2017-04-11 15:28:07</v>
      </c>
      <c r="L378" s="1" t="str">
        <f>"2017-04-11 15:28:52"</f>
        <v>2017-04-11 15:28:52</v>
      </c>
      <c r="M378" s="2">
        <v>9.5486111111111101E-3</v>
      </c>
      <c r="N378" s="1" t="s">
        <v>26</v>
      </c>
      <c r="O378" s="1" t="s">
        <v>34</v>
      </c>
      <c r="P378" s="2">
        <v>1.0069444444444445E-2</v>
      </c>
      <c r="Q378" s="1" t="s">
        <v>378</v>
      </c>
      <c r="R378" s="1">
        <v>1.8</v>
      </c>
      <c r="S378" s="1" t="str">
        <f>""</f>
        <v/>
      </c>
      <c r="T378" s="1" t="s">
        <v>29</v>
      </c>
      <c r="U378" s="1" t="s">
        <v>30</v>
      </c>
      <c r="V378" s="1">
        <v>0</v>
      </c>
    </row>
    <row r="379" spans="2:22" x14ac:dyDescent="0.15">
      <c r="B379" s="1" t="str">
        <f>"180****1506"</f>
        <v>180****1506</v>
      </c>
      <c r="C379" s="1" t="s">
        <v>379</v>
      </c>
      <c r="D379" s="1" t="str">
        <f t="shared" ref="D379:D392" si="44">"89177328"</f>
        <v>89177328</v>
      </c>
      <c r="E379" s="1" t="s">
        <v>24</v>
      </c>
      <c r="F379" s="1" t="str">
        <f t="shared" ref="F379:F392" si="45">"0010"</f>
        <v>0010</v>
      </c>
      <c r="G379" s="1" t="str">
        <f>""</f>
        <v/>
      </c>
      <c r="H379" s="1" t="str">
        <f>"0017"</f>
        <v>0017</v>
      </c>
      <c r="I379" s="1" t="s">
        <v>135</v>
      </c>
      <c r="J379" s="1" t="str">
        <f>"01043989717"</f>
        <v>01043989717</v>
      </c>
      <c r="K379" s="1" t="str">
        <f>"2017-04-11 15:23:07"</f>
        <v>2017-04-11 15:23:07</v>
      </c>
      <c r="L379" s="1" t="str">
        <f>"2017-04-11 15:23:15"</f>
        <v>2017-04-11 15:23:15</v>
      </c>
      <c r="M379" s="2">
        <v>3.9120370370370368E-3</v>
      </c>
      <c r="N379" s="1" t="s">
        <v>26</v>
      </c>
      <c r="O379" s="1" t="s">
        <v>27</v>
      </c>
      <c r="P379" s="2">
        <v>4.0046296296296297E-3</v>
      </c>
      <c r="Q379" s="1" t="s">
        <v>380</v>
      </c>
      <c r="R379" s="1">
        <v>0</v>
      </c>
      <c r="S379" s="1" t="str">
        <f>""</f>
        <v/>
      </c>
      <c r="T379" s="1" t="s">
        <v>29</v>
      </c>
      <c r="U379" s="1" t="s">
        <v>30</v>
      </c>
      <c r="V379" s="1">
        <v>0</v>
      </c>
    </row>
    <row r="380" spans="2:22" x14ac:dyDescent="0.15">
      <c r="B380" s="1" t="str">
        <f>"010****2872"</f>
        <v>010****2872</v>
      </c>
      <c r="C380" s="1" t="s">
        <v>23</v>
      </c>
      <c r="D380" s="1" t="str">
        <f t="shared" si="44"/>
        <v>89177328</v>
      </c>
      <c r="E380" s="1" t="s">
        <v>24</v>
      </c>
      <c r="F380" s="1" t="str">
        <f t="shared" si="45"/>
        <v>0010</v>
      </c>
      <c r="G380" s="1" t="str">
        <f>""</f>
        <v/>
      </c>
      <c r="H380" s="1" t="str">
        <f>"0032"</f>
        <v>0032</v>
      </c>
      <c r="I380" s="1" t="s">
        <v>119</v>
      </c>
      <c r="J380" s="1" t="str">
        <f>"01043977566"</f>
        <v>01043977566</v>
      </c>
      <c r="K380" s="1" t="str">
        <f>"2017-04-11 15:21:04"</f>
        <v>2017-04-11 15:21:04</v>
      </c>
      <c r="L380" s="1" t="str">
        <f>"-"</f>
        <v>-</v>
      </c>
      <c r="M380" s="2">
        <v>0</v>
      </c>
      <c r="N380" s="1" t="s">
        <v>33</v>
      </c>
      <c r="O380" s="1" t="s">
        <v>34</v>
      </c>
      <c r="P380" s="2">
        <v>2.3148148148148147E-5</v>
      </c>
      <c r="Q380" s="1" t="str">
        <f>""</f>
        <v/>
      </c>
      <c r="R380" s="1">
        <v>0</v>
      </c>
      <c r="S380" s="1" t="str">
        <f>""</f>
        <v/>
      </c>
      <c r="T380" s="1" t="s">
        <v>29</v>
      </c>
      <c r="U380" s="1" t="s">
        <v>30</v>
      </c>
      <c r="V380" s="1">
        <v>0</v>
      </c>
    </row>
    <row r="381" spans="2:22" x14ac:dyDescent="0.15">
      <c r="B381" s="1" t="str">
        <f>"135****4500"</f>
        <v>135****4500</v>
      </c>
      <c r="C381" s="1" t="s">
        <v>23</v>
      </c>
      <c r="D381" s="1" t="str">
        <f t="shared" si="44"/>
        <v>89177328</v>
      </c>
      <c r="E381" s="1" t="s">
        <v>24</v>
      </c>
      <c r="F381" s="1" t="str">
        <f t="shared" si="45"/>
        <v>0010</v>
      </c>
      <c r="G381" s="1" t="str">
        <f>""</f>
        <v/>
      </c>
      <c r="H381" s="1" t="str">
        <f>"0031"</f>
        <v>0031</v>
      </c>
      <c r="I381" s="1" t="s">
        <v>95</v>
      </c>
      <c r="J381" s="1" t="str">
        <f>"01043977565"</f>
        <v>01043977565</v>
      </c>
      <c r="K381" s="1" t="str">
        <f>"2017-04-11 15:00:44"</f>
        <v>2017-04-11 15:00:44</v>
      </c>
      <c r="L381" s="1" t="str">
        <f>"2017-04-11 15:00:53"</f>
        <v>2017-04-11 15:00:53</v>
      </c>
      <c r="M381" s="2">
        <v>1.8113425925925925E-2</v>
      </c>
      <c r="N381" s="1" t="s">
        <v>26</v>
      </c>
      <c r="O381" s="1" t="s">
        <v>27</v>
      </c>
      <c r="P381" s="2">
        <v>1.8217592592592594E-2</v>
      </c>
      <c r="Q381" s="1" t="s">
        <v>381</v>
      </c>
      <c r="R381" s="1">
        <v>0</v>
      </c>
      <c r="S381" s="1" t="str">
        <f>""</f>
        <v/>
      </c>
      <c r="T381" s="1" t="s">
        <v>29</v>
      </c>
      <c r="U381" s="1" t="s">
        <v>30</v>
      </c>
      <c r="V381" s="1">
        <v>0</v>
      </c>
    </row>
    <row r="382" spans="2:22" x14ac:dyDescent="0.15">
      <c r="B382" s="1" t="str">
        <f>"010****7191"</f>
        <v>010****7191</v>
      </c>
      <c r="C382" s="1" t="s">
        <v>23</v>
      </c>
      <c r="D382" s="1" t="str">
        <f t="shared" si="44"/>
        <v>89177328</v>
      </c>
      <c r="E382" s="1" t="s">
        <v>24</v>
      </c>
      <c r="F382" s="1" t="str">
        <f t="shared" si="45"/>
        <v>0010</v>
      </c>
      <c r="G382" s="1" t="str">
        <f>""</f>
        <v/>
      </c>
      <c r="H382" s="1" t="str">
        <f>"0036"</f>
        <v>0036</v>
      </c>
      <c r="I382" s="1" t="s">
        <v>143</v>
      </c>
      <c r="J382" s="1" t="str">
        <f>"01043977573"</f>
        <v>01043977573</v>
      </c>
      <c r="K382" s="1" t="str">
        <f>"2017-04-11 14:53:36"</f>
        <v>2017-04-11 14:53:36</v>
      </c>
      <c r="L382" s="1" t="str">
        <f>"2017-04-11 14:53:47"</f>
        <v>2017-04-11 14:53:47</v>
      </c>
      <c r="M382" s="2">
        <v>9.780092592592592E-3</v>
      </c>
      <c r="N382" s="1" t="s">
        <v>26</v>
      </c>
      <c r="O382" s="1" t="s">
        <v>27</v>
      </c>
      <c r="P382" s="2">
        <v>9.9074074074074082E-3</v>
      </c>
      <c r="Q382" s="1" t="s">
        <v>382</v>
      </c>
      <c r="R382" s="1">
        <v>0</v>
      </c>
      <c r="S382" s="1" t="str">
        <f>""</f>
        <v/>
      </c>
      <c r="T382" s="1" t="s">
        <v>29</v>
      </c>
      <c r="U382" s="1" t="s">
        <v>30</v>
      </c>
      <c r="V382" s="1">
        <v>0</v>
      </c>
    </row>
    <row r="383" spans="2:22" x14ac:dyDescent="0.15">
      <c r="B383" s="1" t="str">
        <f>"151****5088"</f>
        <v>151****5088</v>
      </c>
      <c r="C383" s="1" t="s">
        <v>35</v>
      </c>
      <c r="D383" s="1" t="str">
        <f t="shared" si="44"/>
        <v>89177328</v>
      </c>
      <c r="E383" s="1" t="s">
        <v>24</v>
      </c>
      <c r="F383" s="1" t="str">
        <f t="shared" si="45"/>
        <v>0010</v>
      </c>
      <c r="G383" s="1" t="str">
        <f>""</f>
        <v/>
      </c>
      <c r="H383" s="1" t="str">
        <f>"0033"</f>
        <v>0033</v>
      </c>
      <c r="I383" s="1" t="s">
        <v>106</v>
      </c>
      <c r="J383" s="1" t="str">
        <f>"01043977567"</f>
        <v>01043977567</v>
      </c>
      <c r="K383" s="1" t="str">
        <f>"2017-04-11 14:48:58"</f>
        <v>2017-04-11 14:48:58</v>
      </c>
      <c r="L383" s="1" t="str">
        <f>"-"</f>
        <v>-</v>
      </c>
      <c r="M383" s="2">
        <v>0</v>
      </c>
      <c r="N383" s="1" t="s">
        <v>33</v>
      </c>
      <c r="O383" s="1" t="s">
        <v>34</v>
      </c>
      <c r="P383" s="2">
        <v>2.3148148148148147E-5</v>
      </c>
      <c r="Q383" s="1" t="str">
        <f>""</f>
        <v/>
      </c>
      <c r="R383" s="1">
        <v>0</v>
      </c>
      <c r="S383" s="1" t="str">
        <f>""</f>
        <v/>
      </c>
      <c r="T383" s="1" t="s">
        <v>29</v>
      </c>
      <c r="U383" s="1" t="s">
        <v>30</v>
      </c>
      <c r="V383" s="1">
        <v>0</v>
      </c>
    </row>
    <row r="384" spans="2:22" x14ac:dyDescent="0.15">
      <c r="B384" s="1" t="str">
        <f>"185****2956"</f>
        <v>185****2956</v>
      </c>
      <c r="C384" s="1" t="s">
        <v>23</v>
      </c>
      <c r="D384" s="1" t="str">
        <f t="shared" si="44"/>
        <v>89177328</v>
      </c>
      <c r="E384" s="1" t="s">
        <v>24</v>
      </c>
      <c r="F384" s="1" t="str">
        <f t="shared" si="45"/>
        <v>0010</v>
      </c>
      <c r="G384" s="1" t="str">
        <f>""</f>
        <v/>
      </c>
      <c r="H384" s="1" t="str">
        <f>"0036"</f>
        <v>0036</v>
      </c>
      <c r="I384" s="1" t="s">
        <v>143</v>
      </c>
      <c r="J384" s="1" t="str">
        <f>"01043977573"</f>
        <v>01043977573</v>
      </c>
      <c r="K384" s="1" t="str">
        <f>"2017-04-11 14:28:49"</f>
        <v>2017-04-11 14:28:49</v>
      </c>
      <c r="L384" s="1" t="str">
        <f>"2017-04-11 14:29:00"</f>
        <v>2017-04-11 14:29:00</v>
      </c>
      <c r="M384" s="2">
        <v>6.0416666666666665E-3</v>
      </c>
      <c r="N384" s="1" t="s">
        <v>26</v>
      </c>
      <c r="O384" s="1" t="s">
        <v>27</v>
      </c>
      <c r="P384" s="2">
        <v>6.168981481481481E-3</v>
      </c>
      <c r="Q384" s="1" t="s">
        <v>383</v>
      </c>
      <c r="R384" s="1">
        <v>0</v>
      </c>
      <c r="S384" s="1" t="str">
        <f>""</f>
        <v/>
      </c>
      <c r="T384" s="1" t="s">
        <v>29</v>
      </c>
      <c r="U384" s="1" t="s">
        <v>30</v>
      </c>
      <c r="V384" s="1">
        <v>0</v>
      </c>
    </row>
    <row r="385" spans="2:22" x14ac:dyDescent="0.15">
      <c r="B385" s="1" t="str">
        <f>"150****8555"</f>
        <v>150****8555</v>
      </c>
      <c r="C385" s="1" t="s">
        <v>76</v>
      </c>
      <c r="D385" s="1" t="str">
        <f t="shared" si="44"/>
        <v>89177328</v>
      </c>
      <c r="E385" s="1" t="s">
        <v>24</v>
      </c>
      <c r="F385" s="1" t="str">
        <f t="shared" si="45"/>
        <v>0010</v>
      </c>
      <c r="G385" s="1" t="str">
        <f>""</f>
        <v/>
      </c>
      <c r="H385" s="1" t="str">
        <f>"0017"</f>
        <v>0017</v>
      </c>
      <c r="I385" s="1" t="s">
        <v>135</v>
      </c>
      <c r="J385" s="1" t="str">
        <f>"01043989717"</f>
        <v>01043989717</v>
      </c>
      <c r="K385" s="1" t="str">
        <f>"2017-04-11 14:17:33"</f>
        <v>2017-04-11 14:17:33</v>
      </c>
      <c r="L385" s="1" t="str">
        <f>"2017-04-11 14:17:41"</f>
        <v>2017-04-11 14:17:41</v>
      </c>
      <c r="M385" s="2">
        <v>6.7708333333333336E-3</v>
      </c>
      <c r="N385" s="1" t="s">
        <v>26</v>
      </c>
      <c r="O385" s="1" t="s">
        <v>27</v>
      </c>
      <c r="P385" s="2">
        <v>6.8634259259259256E-3</v>
      </c>
      <c r="Q385" s="1" t="s">
        <v>384</v>
      </c>
      <c r="R385" s="1">
        <v>0</v>
      </c>
      <c r="S385" s="1" t="str">
        <f>""</f>
        <v/>
      </c>
      <c r="T385" s="1" t="s">
        <v>29</v>
      </c>
      <c r="U385" s="1" t="s">
        <v>30</v>
      </c>
      <c r="V385" s="1">
        <v>0</v>
      </c>
    </row>
    <row r="386" spans="2:22" x14ac:dyDescent="0.15">
      <c r="B386" s="1" t="str">
        <f>"177****0206"</f>
        <v>177****0206</v>
      </c>
      <c r="C386" s="1" t="s">
        <v>23</v>
      </c>
      <c r="D386" s="1" t="str">
        <f t="shared" si="44"/>
        <v>89177328</v>
      </c>
      <c r="E386" s="1" t="s">
        <v>24</v>
      </c>
      <c r="F386" s="1" t="str">
        <f t="shared" si="45"/>
        <v>0010</v>
      </c>
      <c r="G386" s="1" t="str">
        <f>""</f>
        <v/>
      </c>
      <c r="H386" s="1" t="str">
        <f>"0033"</f>
        <v>0033</v>
      </c>
      <c r="I386" s="1" t="s">
        <v>106</v>
      </c>
      <c r="J386" s="1" t="str">
        <f>"01043977567"</f>
        <v>01043977567</v>
      </c>
      <c r="K386" s="1" t="str">
        <f>"2017-04-11 14:08:22"</f>
        <v>2017-04-11 14:08:22</v>
      </c>
      <c r="L386" s="1" t="str">
        <f>"2017-04-11 14:08:29"</f>
        <v>2017-04-11 14:08:29</v>
      </c>
      <c r="M386" s="2">
        <v>1.1921296296296296E-3</v>
      </c>
      <c r="N386" s="1" t="s">
        <v>26</v>
      </c>
      <c r="O386" s="1" t="s">
        <v>27</v>
      </c>
      <c r="P386" s="2">
        <v>1.2731481481481483E-3</v>
      </c>
      <c r="Q386" s="1" t="s">
        <v>385</v>
      </c>
      <c r="R386" s="1">
        <v>0</v>
      </c>
      <c r="S386" s="1" t="str">
        <f>""</f>
        <v/>
      </c>
      <c r="T386" s="1" t="s">
        <v>386</v>
      </c>
      <c r="U386" s="1" t="s">
        <v>30</v>
      </c>
      <c r="V386" s="1">
        <v>0</v>
      </c>
    </row>
    <row r="387" spans="2:22" x14ac:dyDescent="0.15">
      <c r="B387" s="1" t="str">
        <f>"186****0604"</f>
        <v>186****0604</v>
      </c>
      <c r="C387" s="1" t="s">
        <v>23</v>
      </c>
      <c r="D387" s="1" t="str">
        <f t="shared" si="44"/>
        <v>89177328</v>
      </c>
      <c r="E387" s="1" t="s">
        <v>24</v>
      </c>
      <c r="F387" s="1" t="str">
        <f t="shared" si="45"/>
        <v>0010</v>
      </c>
      <c r="G387" s="1" t="str">
        <f>""</f>
        <v/>
      </c>
      <c r="H387" s="1" t="str">
        <f>"0033"</f>
        <v>0033</v>
      </c>
      <c r="I387" s="1" t="s">
        <v>106</v>
      </c>
      <c r="J387" s="1" t="str">
        <f>"01043977567"</f>
        <v>01043977567</v>
      </c>
      <c r="K387" s="1" t="str">
        <f>"2017-04-11 14:05:30"</f>
        <v>2017-04-11 14:05:30</v>
      </c>
      <c r="L387" s="1" t="str">
        <f>"2017-04-11 14:05:34"</f>
        <v>2017-04-11 14:05:34</v>
      </c>
      <c r="M387" s="2">
        <v>1.689814814814815E-3</v>
      </c>
      <c r="N387" s="1" t="s">
        <v>26</v>
      </c>
      <c r="O387" s="1" t="s">
        <v>34</v>
      </c>
      <c r="P387" s="2">
        <v>1.736111111111111E-3</v>
      </c>
      <c r="Q387" s="1" t="s">
        <v>387</v>
      </c>
      <c r="R387" s="1">
        <v>0</v>
      </c>
      <c r="S387" s="1" t="str">
        <f>""</f>
        <v/>
      </c>
      <c r="T387" s="1" t="s">
        <v>386</v>
      </c>
      <c r="U387" s="1" t="s">
        <v>30</v>
      </c>
      <c r="V387" s="1">
        <v>0</v>
      </c>
    </row>
    <row r="388" spans="2:22" x14ac:dyDescent="0.15">
      <c r="B388" s="1" t="str">
        <f>"186****0604"</f>
        <v>186****0604</v>
      </c>
      <c r="C388" s="1" t="s">
        <v>23</v>
      </c>
      <c r="D388" s="1" t="str">
        <f t="shared" si="44"/>
        <v>89177328</v>
      </c>
      <c r="E388" s="1" t="s">
        <v>24</v>
      </c>
      <c r="F388" s="1" t="str">
        <f t="shared" si="45"/>
        <v>0010</v>
      </c>
      <c r="G388" s="1" t="str">
        <f>""</f>
        <v/>
      </c>
      <c r="H388" s="1" t="str">
        <f>"0033"</f>
        <v>0033</v>
      </c>
      <c r="I388" s="1" t="s">
        <v>106</v>
      </c>
      <c r="J388" s="1" t="str">
        <f>"01043977567"</f>
        <v>01043977567</v>
      </c>
      <c r="K388" s="1" t="str">
        <f>"2017-04-11 14:05:18"</f>
        <v>2017-04-11 14:05:18</v>
      </c>
      <c r="L388" s="1" t="str">
        <f>"-"</f>
        <v>-</v>
      </c>
      <c r="M388" s="2">
        <v>0</v>
      </c>
      <c r="N388" s="1" t="s">
        <v>33</v>
      </c>
      <c r="O388" s="1" t="s">
        <v>34</v>
      </c>
      <c r="P388" s="2">
        <v>8.1018518518518516E-5</v>
      </c>
      <c r="Q388" s="1" t="str">
        <f>""</f>
        <v/>
      </c>
      <c r="R388" s="1">
        <v>0</v>
      </c>
      <c r="S388" s="1" t="str">
        <f>""</f>
        <v/>
      </c>
      <c r="T388" s="1" t="s">
        <v>29</v>
      </c>
      <c r="U388" s="1" t="s">
        <v>30</v>
      </c>
      <c r="V388" s="1">
        <v>0</v>
      </c>
    </row>
    <row r="389" spans="2:22" x14ac:dyDescent="0.15">
      <c r="B389" s="1" t="str">
        <f>"136****8575"</f>
        <v>136****8575</v>
      </c>
      <c r="C389" s="1" t="s">
        <v>23</v>
      </c>
      <c r="D389" s="1" t="str">
        <f t="shared" si="44"/>
        <v>89177328</v>
      </c>
      <c r="E389" s="1" t="s">
        <v>24</v>
      </c>
      <c r="F389" s="1" t="str">
        <f t="shared" si="45"/>
        <v>0010</v>
      </c>
      <c r="G389" s="1" t="str">
        <f>""</f>
        <v/>
      </c>
      <c r="H389" s="1" t="str">
        <f>"0034"</f>
        <v>0034</v>
      </c>
      <c r="I389" s="1" t="s">
        <v>31</v>
      </c>
      <c r="J389" s="1" t="str">
        <f>"01043977568"</f>
        <v>01043977568</v>
      </c>
      <c r="K389" s="1" t="str">
        <f>"2017-04-11 13:56:33"</f>
        <v>2017-04-11 13:56:33</v>
      </c>
      <c r="L389" s="1" t="str">
        <f>"2017-04-11 13:56:42"</f>
        <v>2017-04-11 13:56:42</v>
      </c>
      <c r="M389" s="2">
        <v>5.7523148148148143E-3</v>
      </c>
      <c r="N389" s="1" t="s">
        <v>26</v>
      </c>
      <c r="O389" s="1" t="s">
        <v>27</v>
      </c>
      <c r="P389" s="2">
        <v>5.8564814814814825E-3</v>
      </c>
      <c r="Q389" s="1" t="s">
        <v>388</v>
      </c>
      <c r="R389" s="1">
        <v>0</v>
      </c>
      <c r="S389" s="1" t="str">
        <f>""</f>
        <v/>
      </c>
      <c r="T389" s="1" t="s">
        <v>29</v>
      </c>
      <c r="U389" s="1" t="s">
        <v>30</v>
      </c>
      <c r="V389" s="1">
        <v>0</v>
      </c>
    </row>
    <row r="390" spans="2:22" x14ac:dyDescent="0.15">
      <c r="B390" s="1" t="str">
        <f>"158****8585"</f>
        <v>158****8585</v>
      </c>
      <c r="C390" s="1" t="s">
        <v>389</v>
      </c>
      <c r="D390" s="1" t="str">
        <f t="shared" si="44"/>
        <v>89177328</v>
      </c>
      <c r="E390" s="1" t="s">
        <v>24</v>
      </c>
      <c r="F390" s="1" t="str">
        <f t="shared" si="45"/>
        <v>0010</v>
      </c>
      <c r="G390" s="1" t="str">
        <f>""</f>
        <v/>
      </c>
      <c r="H390" s="1" t="str">
        <f>"0033"</f>
        <v>0033</v>
      </c>
      <c r="I390" s="1" t="s">
        <v>106</v>
      </c>
      <c r="J390" s="1" t="str">
        <f>"01043977567"</f>
        <v>01043977567</v>
      </c>
      <c r="K390" s="1" t="str">
        <f>"2017-04-11 13:46:50"</f>
        <v>2017-04-11 13:46:50</v>
      </c>
      <c r="L390" s="1" t="str">
        <f>"2017-04-11 13:46:58"</f>
        <v>2017-04-11 13:46:58</v>
      </c>
      <c r="M390" s="2">
        <v>1.0717592592592593E-2</v>
      </c>
      <c r="N390" s="1" t="s">
        <v>26</v>
      </c>
      <c r="O390" s="1" t="s">
        <v>27</v>
      </c>
      <c r="P390" s="2">
        <v>1.0810185185185185E-2</v>
      </c>
      <c r="Q390" s="1" t="s">
        <v>390</v>
      </c>
      <c r="R390" s="1">
        <v>0</v>
      </c>
      <c r="S390" s="1" t="str">
        <f>""</f>
        <v/>
      </c>
      <c r="T390" s="1" t="s">
        <v>29</v>
      </c>
      <c r="U390" s="1" t="s">
        <v>30</v>
      </c>
      <c r="V390" s="1">
        <v>0</v>
      </c>
    </row>
    <row r="391" spans="2:22" x14ac:dyDescent="0.15">
      <c r="B391" s="1" t="str">
        <f>"136****3333"</f>
        <v>136****3333</v>
      </c>
      <c r="C391" s="1" t="s">
        <v>137</v>
      </c>
      <c r="D391" s="1" t="str">
        <f t="shared" si="44"/>
        <v>89177328</v>
      </c>
      <c r="E391" s="1" t="s">
        <v>24</v>
      </c>
      <c r="F391" s="1" t="str">
        <f t="shared" si="45"/>
        <v>0010</v>
      </c>
      <c r="G391" s="1" t="str">
        <f>""</f>
        <v/>
      </c>
      <c r="H391" s="1" t="str">
        <f>"0034"</f>
        <v>0034</v>
      </c>
      <c r="I391" s="1" t="s">
        <v>31</v>
      </c>
      <c r="J391" s="1" t="str">
        <f>"01043977568"</f>
        <v>01043977568</v>
      </c>
      <c r="K391" s="1" t="str">
        <f>"2017-04-11 13:46:34"</f>
        <v>2017-04-11 13:46:34</v>
      </c>
      <c r="L391" s="1" t="str">
        <f>"2017-04-11 13:46:46"</f>
        <v>2017-04-11 13:46:46</v>
      </c>
      <c r="M391" s="2">
        <v>3.3333333333333335E-3</v>
      </c>
      <c r="N391" s="1" t="s">
        <v>26</v>
      </c>
      <c r="O391" s="1" t="s">
        <v>34</v>
      </c>
      <c r="P391" s="2">
        <v>3.472222222222222E-3</v>
      </c>
      <c r="Q391" s="1" t="s">
        <v>391</v>
      </c>
      <c r="R391" s="1">
        <v>0</v>
      </c>
      <c r="S391" s="1" t="str">
        <f>""</f>
        <v/>
      </c>
      <c r="T391" s="1" t="s">
        <v>29</v>
      </c>
      <c r="U391" s="1" t="s">
        <v>30</v>
      </c>
      <c r="V391" s="1">
        <v>0</v>
      </c>
    </row>
    <row r="392" spans="2:22" x14ac:dyDescent="0.15">
      <c r="B392" s="1" t="str">
        <f>"186****9000"</f>
        <v>186****9000</v>
      </c>
      <c r="C392" s="1" t="s">
        <v>23</v>
      </c>
      <c r="D392" s="1" t="str">
        <f t="shared" si="44"/>
        <v>89177328</v>
      </c>
      <c r="E392" s="1" t="s">
        <v>24</v>
      </c>
      <c r="F392" s="1" t="str">
        <f t="shared" si="45"/>
        <v>0010</v>
      </c>
      <c r="G392" s="1" t="str">
        <f>""</f>
        <v/>
      </c>
      <c r="H392" s="1" t="str">
        <f>"0033"</f>
        <v>0033</v>
      </c>
      <c r="I392" s="1" t="s">
        <v>106</v>
      </c>
      <c r="J392" s="1" t="str">
        <f>"01043977567"</f>
        <v>01043977567</v>
      </c>
      <c r="K392" s="1" t="str">
        <f>"2017-04-11 13:46:13"</f>
        <v>2017-04-11 13:46:13</v>
      </c>
      <c r="L392" s="1" t="str">
        <f>"2017-04-11 13:46:24"</f>
        <v>2017-04-11 13:46:24</v>
      </c>
      <c r="M392" s="2">
        <v>8.1018518518518516E-5</v>
      </c>
      <c r="N392" s="1" t="s">
        <v>26</v>
      </c>
      <c r="O392" s="1" t="s">
        <v>34</v>
      </c>
      <c r="P392" s="2">
        <v>2.0833333333333335E-4</v>
      </c>
      <c r="Q392" s="1" t="s">
        <v>392</v>
      </c>
      <c r="R392" s="1">
        <v>0</v>
      </c>
      <c r="S392" s="1" t="str">
        <f>""</f>
        <v/>
      </c>
      <c r="T392" s="1" t="s">
        <v>29</v>
      </c>
      <c r="U392" s="1" t="s">
        <v>30</v>
      </c>
      <c r="V392" s="1">
        <v>0</v>
      </c>
    </row>
    <row r="393" spans="2:22" x14ac:dyDescent="0.15">
      <c r="B393" s="1" t="str">
        <f>"186****9000"</f>
        <v>186****9000</v>
      </c>
      <c r="C393" s="1" t="s">
        <v>23</v>
      </c>
      <c r="D393" s="1" t="str">
        <f>"4000108333"</f>
        <v>4000108333</v>
      </c>
      <c r="E393" s="1" t="str">
        <f>""</f>
        <v/>
      </c>
      <c r="F393" s="1" t="str">
        <f>""</f>
        <v/>
      </c>
      <c r="G393" s="1" t="str">
        <f>""</f>
        <v/>
      </c>
      <c r="H393" s="1" t="str">
        <f>""</f>
        <v/>
      </c>
      <c r="I393" s="1" t="str">
        <f>""</f>
        <v/>
      </c>
      <c r="J393" s="1" t="str">
        <f>""</f>
        <v/>
      </c>
      <c r="K393" s="1" t="str">
        <f>"2017-04-11 13:46:06"</f>
        <v>2017-04-11 13:46:06</v>
      </c>
      <c r="L393" s="1" t="str">
        <f>"-"</f>
        <v>-</v>
      </c>
      <c r="M393" s="2">
        <v>0</v>
      </c>
      <c r="N393" s="1" t="s">
        <v>393</v>
      </c>
      <c r="O393" s="1" t="s">
        <v>34</v>
      </c>
      <c r="P393" s="2">
        <v>1.1574074074074073E-5</v>
      </c>
      <c r="Q393" s="1" t="str">
        <f>""</f>
        <v/>
      </c>
      <c r="R393" s="1">
        <v>0</v>
      </c>
      <c r="S393" s="1" t="str">
        <f>""</f>
        <v/>
      </c>
      <c r="T393" s="1" t="s">
        <v>29</v>
      </c>
      <c r="U393" s="1" t="s">
        <v>30</v>
      </c>
      <c r="V393" s="1">
        <v>0</v>
      </c>
    </row>
    <row r="394" spans="2:22" x14ac:dyDescent="0.15">
      <c r="B394" s="1" t="str">
        <f>"137****5828"</f>
        <v>137****5828</v>
      </c>
      <c r="C394" s="1" t="s">
        <v>76</v>
      </c>
      <c r="D394" s="1" t="str">
        <f>"89177328"</f>
        <v>89177328</v>
      </c>
      <c r="E394" s="1" t="s">
        <v>24</v>
      </c>
      <c r="F394" s="1" t="str">
        <f>"0010"</f>
        <v>0010</v>
      </c>
      <c r="G394" s="1" t="str">
        <f>""</f>
        <v/>
      </c>
      <c r="H394" s="1" t="str">
        <f>"0033"</f>
        <v>0033</v>
      </c>
      <c r="I394" s="1" t="s">
        <v>106</v>
      </c>
      <c r="J394" s="1" t="str">
        <f>"01043977567"</f>
        <v>01043977567</v>
      </c>
      <c r="K394" s="1" t="str">
        <f>"2017-04-11 13:20:56"</f>
        <v>2017-04-11 13:20:56</v>
      </c>
      <c r="L394" s="1" t="str">
        <f>"2017-04-11 13:21:06"</f>
        <v>2017-04-11 13:21:06</v>
      </c>
      <c r="M394" s="2">
        <v>1.3171296296296294E-2</v>
      </c>
      <c r="N394" s="1" t="s">
        <v>26</v>
      </c>
      <c r="O394" s="1" t="s">
        <v>27</v>
      </c>
      <c r="P394" s="2">
        <v>1.3287037037037036E-2</v>
      </c>
      <c r="Q394" s="1" t="s">
        <v>394</v>
      </c>
      <c r="R394" s="1">
        <v>0</v>
      </c>
      <c r="S394" s="1" t="str">
        <f>""</f>
        <v/>
      </c>
      <c r="T394" s="1" t="s">
        <v>29</v>
      </c>
      <c r="U394" s="1" t="s">
        <v>30</v>
      </c>
      <c r="V394" s="1">
        <v>0</v>
      </c>
    </row>
    <row r="395" spans="2:22" x14ac:dyDescent="0.15">
      <c r="B395" s="1" t="str">
        <f>"186****9000"</f>
        <v>186****9000</v>
      </c>
      <c r="C395" s="1" t="s">
        <v>23</v>
      </c>
      <c r="D395" s="1" t="str">
        <f>"4000108333"</f>
        <v>4000108333</v>
      </c>
      <c r="E395" s="1" t="s">
        <v>53</v>
      </c>
      <c r="F395" s="1" t="str">
        <f>"0000"</f>
        <v>0000</v>
      </c>
      <c r="G395" s="1" t="str">
        <f>""</f>
        <v/>
      </c>
      <c r="H395" s="1" t="str">
        <f>"1010"</f>
        <v>1010</v>
      </c>
      <c r="I395" s="1" t="s">
        <v>148</v>
      </c>
      <c r="J395" s="1" t="str">
        <f>"13718091869"</f>
        <v>13718091869</v>
      </c>
      <c r="K395" s="1" t="str">
        <f>"2017-04-11 13:04:23"</f>
        <v>2017-04-11 13:04:23</v>
      </c>
      <c r="L395" s="1" t="str">
        <f>"-"</f>
        <v>-</v>
      </c>
      <c r="M395" s="2">
        <v>0</v>
      </c>
      <c r="N395" s="1" t="s">
        <v>33</v>
      </c>
      <c r="O395" s="1" t="s">
        <v>34</v>
      </c>
      <c r="P395" s="2">
        <v>3.2407407407407406E-4</v>
      </c>
      <c r="Q395" s="1" t="str">
        <f>""</f>
        <v/>
      </c>
      <c r="R395" s="1">
        <v>0.12</v>
      </c>
      <c r="S395" s="1" t="str">
        <f>""</f>
        <v/>
      </c>
      <c r="T395" s="1" t="s">
        <v>29</v>
      </c>
      <c r="U395" s="1" t="s">
        <v>30</v>
      </c>
      <c r="V395" s="1">
        <v>0</v>
      </c>
    </row>
    <row r="396" spans="2:22" x14ac:dyDescent="0.15">
      <c r="B396" s="1" t="str">
        <f>"186****9000"</f>
        <v>186****9000</v>
      </c>
      <c r="C396" s="1" t="s">
        <v>23</v>
      </c>
      <c r="D396" s="1" t="str">
        <f t="shared" ref="D396:D412" si="46">"89177328"</f>
        <v>89177328</v>
      </c>
      <c r="E396" s="1" t="s">
        <v>24</v>
      </c>
      <c r="F396" s="1" t="str">
        <f t="shared" ref="F396:F412" si="47">"0010"</f>
        <v>0010</v>
      </c>
      <c r="G396" s="1" t="str">
        <f>""</f>
        <v/>
      </c>
      <c r="H396" s="1" t="str">
        <f>"0033"</f>
        <v>0033</v>
      </c>
      <c r="I396" s="1" t="s">
        <v>106</v>
      </c>
      <c r="J396" s="1" t="str">
        <f>"01043977567"</f>
        <v>01043977567</v>
      </c>
      <c r="K396" s="1" t="str">
        <f>"2017-04-11 13:02:36"</f>
        <v>2017-04-11 13:02:36</v>
      </c>
      <c r="L396" s="1" t="str">
        <f>"2017-04-11 13:02:46"</f>
        <v>2017-04-11 13:02:46</v>
      </c>
      <c r="M396" s="2">
        <v>6.2500000000000001E-4</v>
      </c>
      <c r="N396" s="1" t="s">
        <v>26</v>
      </c>
      <c r="O396" s="1" t="s">
        <v>27</v>
      </c>
      <c r="P396" s="2">
        <v>7.407407407407407E-4</v>
      </c>
      <c r="Q396" s="1" t="s">
        <v>395</v>
      </c>
      <c r="R396" s="1">
        <v>0</v>
      </c>
      <c r="S396" s="1" t="str">
        <f>""</f>
        <v/>
      </c>
      <c r="T396" s="1" t="s">
        <v>386</v>
      </c>
      <c r="U396" s="1" t="s">
        <v>30</v>
      </c>
      <c r="V396" s="1">
        <v>0</v>
      </c>
    </row>
    <row r="397" spans="2:22" x14ac:dyDescent="0.15">
      <c r="B397" s="1" t="str">
        <f>"186****9000"</f>
        <v>186****9000</v>
      </c>
      <c r="C397" s="1" t="s">
        <v>23</v>
      </c>
      <c r="D397" s="1" t="str">
        <f t="shared" si="46"/>
        <v>89177328</v>
      </c>
      <c r="E397" s="1" t="s">
        <v>24</v>
      </c>
      <c r="F397" s="1" t="str">
        <f t="shared" si="47"/>
        <v>0010</v>
      </c>
      <c r="G397" s="1" t="str">
        <f>""</f>
        <v/>
      </c>
      <c r="H397" s="1" t="str">
        <f>"0034"</f>
        <v>0034</v>
      </c>
      <c r="I397" s="1" t="s">
        <v>31</v>
      </c>
      <c r="J397" s="1" t="str">
        <f>"01043977568"</f>
        <v>01043977568</v>
      </c>
      <c r="K397" s="1" t="str">
        <f>"2017-04-11 13:01:54"</f>
        <v>2017-04-11 13:01:54</v>
      </c>
      <c r="L397" s="1" t="str">
        <f>"2017-04-11 13:02:03"</f>
        <v>2017-04-11 13:02:03</v>
      </c>
      <c r="M397" s="2">
        <v>2.6620370370370372E-4</v>
      </c>
      <c r="N397" s="1" t="s">
        <v>26</v>
      </c>
      <c r="O397" s="1" t="s">
        <v>34</v>
      </c>
      <c r="P397" s="2">
        <v>3.7037037037037035E-4</v>
      </c>
      <c r="Q397" s="1" t="s">
        <v>396</v>
      </c>
      <c r="R397" s="1">
        <v>0</v>
      </c>
      <c r="S397" s="1" t="str">
        <f>""</f>
        <v/>
      </c>
      <c r="T397" s="1" t="s">
        <v>29</v>
      </c>
      <c r="U397" s="1" t="s">
        <v>30</v>
      </c>
      <c r="V397" s="1">
        <v>0</v>
      </c>
    </row>
    <row r="398" spans="2:22" x14ac:dyDescent="0.15">
      <c r="B398" s="1" t="str">
        <f>"186****8502"</f>
        <v>186****8502</v>
      </c>
      <c r="C398" s="1" t="s">
        <v>23</v>
      </c>
      <c r="D398" s="1" t="str">
        <f t="shared" si="46"/>
        <v>89177328</v>
      </c>
      <c r="E398" s="1" t="s">
        <v>24</v>
      </c>
      <c r="F398" s="1" t="str">
        <f t="shared" si="47"/>
        <v>0010</v>
      </c>
      <c r="G398" s="1" t="str">
        <f>""</f>
        <v/>
      </c>
      <c r="H398" s="1" t="str">
        <f>"0017"</f>
        <v>0017</v>
      </c>
      <c r="I398" s="1" t="s">
        <v>135</v>
      </c>
      <c r="J398" s="1" t="str">
        <f>"01043989717"</f>
        <v>01043989717</v>
      </c>
      <c r="K398" s="1" t="str">
        <f>"2017-04-11 11:49:51"</f>
        <v>2017-04-11 11:49:51</v>
      </c>
      <c r="L398" s="1" t="str">
        <f>"2017-04-11 11:49:59"</f>
        <v>2017-04-11 11:49:59</v>
      </c>
      <c r="M398" s="2">
        <v>4.0624999999999993E-3</v>
      </c>
      <c r="N398" s="1" t="s">
        <v>26</v>
      </c>
      <c r="O398" s="1" t="s">
        <v>27</v>
      </c>
      <c r="P398" s="2">
        <v>4.155092592592593E-3</v>
      </c>
      <c r="Q398" s="1" t="s">
        <v>397</v>
      </c>
      <c r="R398" s="1">
        <v>0</v>
      </c>
      <c r="S398" s="1" t="str">
        <f>""</f>
        <v/>
      </c>
      <c r="T398" s="1" t="s">
        <v>29</v>
      </c>
      <c r="U398" s="1" t="s">
        <v>30</v>
      </c>
      <c r="V398" s="1">
        <v>0</v>
      </c>
    </row>
    <row r="399" spans="2:22" x14ac:dyDescent="0.15">
      <c r="B399" s="1" t="str">
        <f>"136****1624"</f>
        <v>136****1624</v>
      </c>
      <c r="C399" s="1" t="s">
        <v>23</v>
      </c>
      <c r="D399" s="1" t="str">
        <f t="shared" si="46"/>
        <v>89177328</v>
      </c>
      <c r="E399" s="1" t="s">
        <v>24</v>
      </c>
      <c r="F399" s="1" t="str">
        <f t="shared" si="47"/>
        <v>0010</v>
      </c>
      <c r="G399" s="1" t="str">
        <f>""</f>
        <v/>
      </c>
      <c r="H399" s="1" t="str">
        <f>"0017"</f>
        <v>0017</v>
      </c>
      <c r="I399" s="1" t="s">
        <v>135</v>
      </c>
      <c r="J399" s="1" t="str">
        <f>"01043989717"</f>
        <v>01043989717</v>
      </c>
      <c r="K399" s="1" t="str">
        <f>"2017-04-11 11:33:41"</f>
        <v>2017-04-11 11:33:41</v>
      </c>
      <c r="L399" s="1" t="str">
        <f>"2017-04-11 11:33:50"</f>
        <v>2017-04-11 11:33:50</v>
      </c>
      <c r="M399" s="2">
        <v>2.0601851851851853E-3</v>
      </c>
      <c r="N399" s="1" t="s">
        <v>26</v>
      </c>
      <c r="O399" s="1" t="s">
        <v>27</v>
      </c>
      <c r="P399" s="2">
        <v>2.1643518518518518E-3</v>
      </c>
      <c r="Q399" s="1" t="s">
        <v>398</v>
      </c>
      <c r="R399" s="1">
        <v>0</v>
      </c>
      <c r="S399" s="1" t="str">
        <f>""</f>
        <v/>
      </c>
      <c r="T399" s="1" t="s">
        <v>29</v>
      </c>
      <c r="U399" s="1" t="s">
        <v>30</v>
      </c>
      <c r="V399" s="1">
        <v>0</v>
      </c>
    </row>
    <row r="400" spans="2:22" x14ac:dyDescent="0.15">
      <c r="B400" s="1" t="str">
        <f>"130****5656"</f>
        <v>130****5656</v>
      </c>
      <c r="C400" s="1" t="s">
        <v>112</v>
      </c>
      <c r="D400" s="1" t="str">
        <f t="shared" si="46"/>
        <v>89177328</v>
      </c>
      <c r="E400" s="1" t="s">
        <v>24</v>
      </c>
      <c r="F400" s="1" t="str">
        <f t="shared" si="47"/>
        <v>0010</v>
      </c>
      <c r="G400" s="1" t="str">
        <f>""</f>
        <v/>
      </c>
      <c r="H400" s="1" t="str">
        <f>"0036"</f>
        <v>0036</v>
      </c>
      <c r="I400" s="1" t="s">
        <v>143</v>
      </c>
      <c r="J400" s="1" t="str">
        <f>"01043977573"</f>
        <v>01043977573</v>
      </c>
      <c r="K400" s="1" t="str">
        <f>"2017-04-11 11:27:07"</f>
        <v>2017-04-11 11:27:07</v>
      </c>
      <c r="L400" s="1" t="str">
        <f>"-"</f>
        <v>-</v>
      </c>
      <c r="M400" s="2">
        <v>0</v>
      </c>
      <c r="N400" s="1" t="s">
        <v>33</v>
      </c>
      <c r="O400" s="1" t="s">
        <v>34</v>
      </c>
      <c r="P400" s="2">
        <v>6.9444444444444444E-5</v>
      </c>
      <c r="Q400" s="1" t="str">
        <f>""</f>
        <v/>
      </c>
      <c r="R400" s="1">
        <v>0</v>
      </c>
      <c r="S400" s="1" t="str">
        <f>""</f>
        <v/>
      </c>
      <c r="T400" s="1" t="s">
        <v>29</v>
      </c>
      <c r="U400" s="1" t="s">
        <v>30</v>
      </c>
      <c r="V400" s="1">
        <v>0</v>
      </c>
    </row>
    <row r="401" spans="2:22" x14ac:dyDescent="0.15">
      <c r="B401" s="1" t="str">
        <f>"010****2351"</f>
        <v>010****2351</v>
      </c>
      <c r="C401" s="1" t="s">
        <v>23</v>
      </c>
      <c r="D401" s="1" t="str">
        <f t="shared" si="46"/>
        <v>89177328</v>
      </c>
      <c r="E401" s="1" t="s">
        <v>24</v>
      </c>
      <c r="F401" s="1" t="str">
        <f t="shared" si="47"/>
        <v>0010</v>
      </c>
      <c r="G401" s="1" t="str">
        <f>""</f>
        <v/>
      </c>
      <c r="H401" s="1" t="str">
        <f>"0036"</f>
        <v>0036</v>
      </c>
      <c r="I401" s="1" t="s">
        <v>143</v>
      </c>
      <c r="J401" s="1" t="str">
        <f>"01043977573"</f>
        <v>01043977573</v>
      </c>
      <c r="K401" s="1" t="str">
        <f>"2017-04-11 11:21:24"</f>
        <v>2017-04-11 11:21:24</v>
      </c>
      <c r="L401" s="1" t="str">
        <f>"2017-04-11 11:21:33"</f>
        <v>2017-04-11 11:21:33</v>
      </c>
      <c r="M401" s="2">
        <v>9.6064814814814808E-4</v>
      </c>
      <c r="N401" s="1" t="s">
        <v>26</v>
      </c>
      <c r="O401" s="1" t="s">
        <v>34</v>
      </c>
      <c r="P401" s="2">
        <v>1.0648148148148147E-3</v>
      </c>
      <c r="Q401" s="1" t="s">
        <v>399</v>
      </c>
      <c r="R401" s="1">
        <v>0</v>
      </c>
      <c r="S401" s="1" t="str">
        <f>""</f>
        <v/>
      </c>
      <c r="T401" s="1" t="s">
        <v>29</v>
      </c>
      <c r="U401" s="1" t="s">
        <v>30</v>
      </c>
      <c r="V401" s="1">
        <v>0</v>
      </c>
    </row>
    <row r="402" spans="2:22" x14ac:dyDescent="0.15">
      <c r="B402" s="1" t="str">
        <f>"133****1398"</f>
        <v>133****1398</v>
      </c>
      <c r="C402" s="1" t="s">
        <v>23</v>
      </c>
      <c r="D402" s="1" t="str">
        <f t="shared" si="46"/>
        <v>89177328</v>
      </c>
      <c r="E402" s="1" t="s">
        <v>24</v>
      </c>
      <c r="F402" s="1" t="str">
        <f t="shared" si="47"/>
        <v>0010</v>
      </c>
      <c r="G402" s="1" t="str">
        <f>""</f>
        <v/>
      </c>
      <c r="H402" s="1" t="str">
        <f>"0033"</f>
        <v>0033</v>
      </c>
      <c r="I402" s="1" t="s">
        <v>106</v>
      </c>
      <c r="J402" s="1" t="str">
        <f>"01043977567"</f>
        <v>01043977567</v>
      </c>
      <c r="K402" s="1" t="str">
        <f>"2017-04-11 11:16:44"</f>
        <v>2017-04-11 11:16:44</v>
      </c>
      <c r="L402" s="1" t="str">
        <f>"2017-04-11 11:16:54"</f>
        <v>2017-04-11 11:16:54</v>
      </c>
      <c r="M402" s="2">
        <v>4.7800925925925919E-3</v>
      </c>
      <c r="N402" s="1" t="s">
        <v>26</v>
      </c>
      <c r="O402" s="1" t="s">
        <v>27</v>
      </c>
      <c r="P402" s="2">
        <v>4.8958333333333328E-3</v>
      </c>
      <c r="Q402" s="1" t="s">
        <v>400</v>
      </c>
      <c r="R402" s="1">
        <v>0</v>
      </c>
      <c r="S402" s="1" t="str">
        <f>""</f>
        <v/>
      </c>
      <c r="T402" s="1" t="s">
        <v>29</v>
      </c>
      <c r="U402" s="1" t="s">
        <v>30</v>
      </c>
      <c r="V402" s="1">
        <v>0</v>
      </c>
    </row>
    <row r="403" spans="2:22" x14ac:dyDescent="0.15">
      <c r="B403" s="1" t="str">
        <f>"035****2832"</f>
        <v>035****2832</v>
      </c>
      <c r="C403" s="1" t="s">
        <v>102</v>
      </c>
      <c r="D403" s="1" t="str">
        <f t="shared" si="46"/>
        <v>89177328</v>
      </c>
      <c r="E403" s="1" t="s">
        <v>24</v>
      </c>
      <c r="F403" s="1" t="str">
        <f t="shared" si="47"/>
        <v>0010</v>
      </c>
      <c r="G403" s="1" t="str">
        <f>""</f>
        <v/>
      </c>
      <c r="H403" s="1" t="str">
        <f>"0033"</f>
        <v>0033</v>
      </c>
      <c r="I403" s="1" t="s">
        <v>106</v>
      </c>
      <c r="J403" s="1" t="str">
        <f>"01043977567"</f>
        <v>01043977567</v>
      </c>
      <c r="K403" s="1" t="str">
        <f>"2017-04-11 10:45:49"</f>
        <v>2017-04-11 10:45:49</v>
      </c>
      <c r="L403" s="1" t="str">
        <f>"2017-04-11 10:45:59"</f>
        <v>2017-04-11 10:45:59</v>
      </c>
      <c r="M403" s="2">
        <v>2.7777777777777778E-4</v>
      </c>
      <c r="N403" s="1" t="s">
        <v>26</v>
      </c>
      <c r="O403" s="1" t="s">
        <v>27</v>
      </c>
      <c r="P403" s="2">
        <v>3.9351851851851852E-4</v>
      </c>
      <c r="Q403" s="1" t="s">
        <v>401</v>
      </c>
      <c r="R403" s="1">
        <v>0</v>
      </c>
      <c r="S403" s="1" t="str">
        <f>""</f>
        <v/>
      </c>
      <c r="T403" s="1" t="s">
        <v>29</v>
      </c>
      <c r="U403" s="1" t="s">
        <v>30</v>
      </c>
      <c r="V403" s="1">
        <v>0</v>
      </c>
    </row>
    <row r="404" spans="2:22" x14ac:dyDescent="0.15">
      <c r="B404" s="1" t="str">
        <f>"136****9418"</f>
        <v>136****9418</v>
      </c>
      <c r="C404" s="1" t="s">
        <v>23</v>
      </c>
      <c r="D404" s="1" t="str">
        <f t="shared" si="46"/>
        <v>89177328</v>
      </c>
      <c r="E404" s="1" t="s">
        <v>24</v>
      </c>
      <c r="F404" s="1" t="str">
        <f t="shared" si="47"/>
        <v>0010</v>
      </c>
      <c r="G404" s="1" t="str">
        <f>""</f>
        <v/>
      </c>
      <c r="H404" s="1" t="str">
        <f>"0033"</f>
        <v>0033</v>
      </c>
      <c r="I404" s="1" t="s">
        <v>106</v>
      </c>
      <c r="J404" s="1" t="str">
        <f>"01043977567"</f>
        <v>01043977567</v>
      </c>
      <c r="K404" s="1" t="str">
        <f>"2017-04-11 10:26:29"</f>
        <v>2017-04-11 10:26:29</v>
      </c>
      <c r="L404" s="1" t="str">
        <f>"2017-04-11 10:26:38"</f>
        <v>2017-04-11 10:26:38</v>
      </c>
      <c r="M404" s="2">
        <v>6.7592592592592591E-3</v>
      </c>
      <c r="N404" s="1" t="s">
        <v>26</v>
      </c>
      <c r="O404" s="1" t="s">
        <v>27</v>
      </c>
      <c r="P404" s="2">
        <v>6.8634259259259256E-3</v>
      </c>
      <c r="Q404" s="1" t="s">
        <v>402</v>
      </c>
      <c r="R404" s="1">
        <v>0</v>
      </c>
      <c r="S404" s="1" t="str">
        <f>""</f>
        <v/>
      </c>
      <c r="T404" s="1" t="s">
        <v>29</v>
      </c>
      <c r="U404" s="1" t="s">
        <v>30</v>
      </c>
      <c r="V404" s="1">
        <v>0</v>
      </c>
    </row>
    <row r="405" spans="2:22" x14ac:dyDescent="0.15">
      <c r="B405" s="1" t="str">
        <f>"152****6557"</f>
        <v>152****6557</v>
      </c>
      <c r="C405" s="1" t="s">
        <v>23</v>
      </c>
      <c r="D405" s="1" t="str">
        <f t="shared" si="46"/>
        <v>89177328</v>
      </c>
      <c r="E405" s="1" t="s">
        <v>24</v>
      </c>
      <c r="F405" s="1" t="str">
        <f t="shared" si="47"/>
        <v>0010</v>
      </c>
      <c r="G405" s="1" t="str">
        <f>""</f>
        <v/>
      </c>
      <c r="H405" s="1" t="str">
        <f>"0033"</f>
        <v>0033</v>
      </c>
      <c r="I405" s="1" t="s">
        <v>106</v>
      </c>
      <c r="J405" s="1" t="str">
        <f>"01043977567"</f>
        <v>01043977567</v>
      </c>
      <c r="K405" s="1" t="str">
        <f>"2017-04-11 10:20:26"</f>
        <v>2017-04-11 10:20:26</v>
      </c>
      <c r="L405" s="1" t="str">
        <f>"2017-04-11 10:20:37"</f>
        <v>2017-04-11 10:20:37</v>
      </c>
      <c r="M405" s="2">
        <v>3.8425925925925923E-3</v>
      </c>
      <c r="N405" s="1" t="s">
        <v>26</v>
      </c>
      <c r="O405" s="1" t="s">
        <v>27</v>
      </c>
      <c r="P405" s="2">
        <v>3.9699074074074072E-3</v>
      </c>
      <c r="Q405" s="1" t="s">
        <v>403</v>
      </c>
      <c r="R405" s="1">
        <v>0</v>
      </c>
      <c r="S405" s="1" t="str">
        <f>""</f>
        <v/>
      </c>
      <c r="T405" s="1" t="s">
        <v>29</v>
      </c>
      <c r="U405" s="1" t="s">
        <v>30</v>
      </c>
      <c r="V405" s="1">
        <v>0</v>
      </c>
    </row>
    <row r="406" spans="2:22" x14ac:dyDescent="0.15">
      <c r="B406" s="1" t="str">
        <f>"186****0604"</f>
        <v>186****0604</v>
      </c>
      <c r="C406" s="1" t="s">
        <v>23</v>
      </c>
      <c r="D406" s="1" t="str">
        <f t="shared" si="46"/>
        <v>89177328</v>
      </c>
      <c r="E406" s="1" t="s">
        <v>24</v>
      </c>
      <c r="F406" s="1" t="str">
        <f t="shared" si="47"/>
        <v>0010</v>
      </c>
      <c r="G406" s="1" t="str">
        <f>""</f>
        <v/>
      </c>
      <c r="H406" s="1" t="str">
        <f>"0036"</f>
        <v>0036</v>
      </c>
      <c r="I406" s="1" t="s">
        <v>143</v>
      </c>
      <c r="J406" s="1" t="str">
        <f>"01043977573"</f>
        <v>01043977573</v>
      </c>
      <c r="K406" s="1" t="str">
        <f>"2017-04-11 10:12:08"</f>
        <v>2017-04-11 10:12:08</v>
      </c>
      <c r="L406" s="1" t="str">
        <f>"-"</f>
        <v>-</v>
      </c>
      <c r="M406" s="2">
        <v>0</v>
      </c>
      <c r="N406" s="1" t="s">
        <v>33</v>
      </c>
      <c r="O406" s="1" t="s">
        <v>34</v>
      </c>
      <c r="P406" s="2">
        <v>3.4722222222222222E-5</v>
      </c>
      <c r="Q406" s="1" t="str">
        <f>""</f>
        <v/>
      </c>
      <c r="R406" s="1">
        <v>0</v>
      </c>
      <c r="S406" s="1" t="str">
        <f>""</f>
        <v/>
      </c>
      <c r="T406" s="1" t="s">
        <v>29</v>
      </c>
      <c r="U406" s="1" t="s">
        <v>30</v>
      </c>
      <c r="V406" s="1">
        <v>0</v>
      </c>
    </row>
    <row r="407" spans="2:22" x14ac:dyDescent="0.15">
      <c r="B407" s="1" t="str">
        <f>"130****5656"</f>
        <v>130****5656</v>
      </c>
      <c r="C407" s="1" t="s">
        <v>112</v>
      </c>
      <c r="D407" s="1" t="str">
        <f t="shared" si="46"/>
        <v>89177328</v>
      </c>
      <c r="E407" s="1" t="s">
        <v>24</v>
      </c>
      <c r="F407" s="1" t="str">
        <f t="shared" si="47"/>
        <v>0010</v>
      </c>
      <c r="G407" s="1" t="str">
        <f>""</f>
        <v/>
      </c>
      <c r="H407" s="1" t="str">
        <f>"0036"</f>
        <v>0036</v>
      </c>
      <c r="I407" s="1" t="s">
        <v>143</v>
      </c>
      <c r="J407" s="1" t="str">
        <f>"01043977573"</f>
        <v>01043977573</v>
      </c>
      <c r="K407" s="1" t="str">
        <f>"2017-04-11 10:10:20"</f>
        <v>2017-04-11 10:10:20</v>
      </c>
      <c r="L407" s="1" t="str">
        <f>"-"</f>
        <v>-</v>
      </c>
      <c r="M407" s="2">
        <v>0</v>
      </c>
      <c r="N407" s="1" t="s">
        <v>33</v>
      </c>
      <c r="O407" s="1" t="s">
        <v>34</v>
      </c>
      <c r="P407" s="2">
        <v>4.6296296296296294E-5</v>
      </c>
      <c r="Q407" s="1" t="str">
        <f>""</f>
        <v/>
      </c>
      <c r="R407" s="1">
        <v>0</v>
      </c>
      <c r="S407" s="1" t="str">
        <f>""</f>
        <v/>
      </c>
      <c r="T407" s="1" t="s">
        <v>29</v>
      </c>
      <c r="U407" s="1" t="s">
        <v>30</v>
      </c>
      <c r="V407" s="1">
        <v>0</v>
      </c>
    </row>
    <row r="408" spans="2:22" x14ac:dyDescent="0.15">
      <c r="B408" s="1" t="str">
        <f>"186****0604"</f>
        <v>186****0604</v>
      </c>
      <c r="C408" s="1" t="s">
        <v>23</v>
      </c>
      <c r="D408" s="1" t="str">
        <f t="shared" si="46"/>
        <v>89177328</v>
      </c>
      <c r="E408" s="1" t="s">
        <v>24</v>
      </c>
      <c r="F408" s="1" t="str">
        <f t="shared" si="47"/>
        <v>0010</v>
      </c>
      <c r="G408" s="1" t="str">
        <f>""</f>
        <v/>
      </c>
      <c r="H408" s="1" t="str">
        <f>"0036"</f>
        <v>0036</v>
      </c>
      <c r="I408" s="1" t="s">
        <v>143</v>
      </c>
      <c r="J408" s="1" t="str">
        <f>"01043977573"</f>
        <v>01043977573</v>
      </c>
      <c r="K408" s="1" t="str">
        <f>"2017-04-11 10:07:18"</f>
        <v>2017-04-11 10:07:18</v>
      </c>
      <c r="L408" s="1" t="str">
        <f>"-"</f>
        <v>-</v>
      </c>
      <c r="M408" s="2">
        <v>0</v>
      </c>
      <c r="N408" s="1" t="s">
        <v>33</v>
      </c>
      <c r="O408" s="1" t="s">
        <v>34</v>
      </c>
      <c r="P408" s="2">
        <v>5.7870370370370366E-5</v>
      </c>
      <c r="Q408" s="1" t="str">
        <f>""</f>
        <v/>
      </c>
      <c r="R408" s="1">
        <v>0</v>
      </c>
      <c r="S408" s="1" t="str">
        <f>""</f>
        <v/>
      </c>
      <c r="T408" s="1" t="s">
        <v>29</v>
      </c>
      <c r="U408" s="1" t="s">
        <v>30</v>
      </c>
      <c r="V408" s="1">
        <v>0</v>
      </c>
    </row>
    <row r="409" spans="2:22" x14ac:dyDescent="0.15">
      <c r="B409" s="1" t="str">
        <f>"186****0604"</f>
        <v>186****0604</v>
      </c>
      <c r="C409" s="1" t="s">
        <v>23</v>
      </c>
      <c r="D409" s="1" t="str">
        <f t="shared" si="46"/>
        <v>89177328</v>
      </c>
      <c r="E409" s="1" t="s">
        <v>24</v>
      </c>
      <c r="F409" s="1" t="str">
        <f t="shared" si="47"/>
        <v>0010</v>
      </c>
      <c r="G409" s="1" t="str">
        <f>""</f>
        <v/>
      </c>
      <c r="H409" s="1" t="str">
        <f>"0036"</f>
        <v>0036</v>
      </c>
      <c r="I409" s="1" t="s">
        <v>143</v>
      </c>
      <c r="J409" s="1" t="str">
        <f>"01043977573"</f>
        <v>01043977573</v>
      </c>
      <c r="K409" s="1" t="str">
        <f>"2017-04-11 10:01:17"</f>
        <v>2017-04-11 10:01:17</v>
      </c>
      <c r="L409" s="1" t="str">
        <f>"2017-04-11 10:01:25"</f>
        <v>2017-04-11 10:01:25</v>
      </c>
      <c r="M409" s="2">
        <v>1.1574074074074073E-5</v>
      </c>
      <c r="N409" s="1" t="s">
        <v>26</v>
      </c>
      <c r="O409" s="1" t="s">
        <v>34</v>
      </c>
      <c r="P409" s="2">
        <v>1.0416666666666667E-4</v>
      </c>
      <c r="Q409" s="1" t="str">
        <f>""</f>
        <v/>
      </c>
      <c r="R409" s="1">
        <v>0</v>
      </c>
      <c r="S409" s="1" t="str">
        <f>""</f>
        <v/>
      </c>
      <c r="T409" s="1" t="s">
        <v>29</v>
      </c>
      <c r="U409" s="1" t="s">
        <v>30</v>
      </c>
      <c r="V409" s="1">
        <v>0</v>
      </c>
    </row>
    <row r="410" spans="2:22" x14ac:dyDescent="0.15">
      <c r="B410" s="1" t="str">
        <f>"010****3739"</f>
        <v>010****3739</v>
      </c>
      <c r="C410" s="1" t="s">
        <v>23</v>
      </c>
      <c r="D410" s="1" t="str">
        <f t="shared" si="46"/>
        <v>89177328</v>
      </c>
      <c r="E410" s="1" t="s">
        <v>24</v>
      </c>
      <c r="F410" s="1" t="str">
        <f t="shared" si="47"/>
        <v>0010</v>
      </c>
      <c r="G410" s="1" t="str">
        <f>""</f>
        <v/>
      </c>
      <c r="H410" s="1" t="str">
        <f>"0036"</f>
        <v>0036</v>
      </c>
      <c r="I410" s="1" t="s">
        <v>143</v>
      </c>
      <c r="J410" s="1" t="str">
        <f>"01043977573"</f>
        <v>01043977573</v>
      </c>
      <c r="K410" s="1" t="str">
        <f>"2017-04-11 09:51:19"</f>
        <v>2017-04-11 09:51:19</v>
      </c>
      <c r="L410" s="1" t="str">
        <f>"2017-04-11 09:51:28"</f>
        <v>2017-04-11 09:51:28</v>
      </c>
      <c r="M410" s="2">
        <v>1.1458333333333333E-3</v>
      </c>
      <c r="N410" s="1" t="s">
        <v>26</v>
      </c>
      <c r="O410" s="1" t="s">
        <v>34</v>
      </c>
      <c r="P410" s="2">
        <v>1.25E-3</v>
      </c>
      <c r="Q410" s="1" t="s">
        <v>404</v>
      </c>
      <c r="R410" s="1">
        <v>0</v>
      </c>
      <c r="S410" s="1" t="str">
        <f>""</f>
        <v/>
      </c>
      <c r="T410" s="1" t="s">
        <v>29</v>
      </c>
      <c r="U410" s="1" t="s">
        <v>30</v>
      </c>
      <c r="V410" s="1">
        <v>0</v>
      </c>
    </row>
    <row r="411" spans="2:22" x14ac:dyDescent="0.15">
      <c r="B411" s="1" t="str">
        <f>"136****6764"</f>
        <v>136****6764</v>
      </c>
      <c r="C411" s="1" t="s">
        <v>23</v>
      </c>
      <c r="D411" s="1" t="str">
        <f t="shared" si="46"/>
        <v>89177328</v>
      </c>
      <c r="E411" s="1" t="s">
        <v>24</v>
      </c>
      <c r="F411" s="1" t="str">
        <f t="shared" si="47"/>
        <v>0010</v>
      </c>
      <c r="G411" s="1" t="str">
        <f>""</f>
        <v/>
      </c>
      <c r="H411" s="1" t="str">
        <f>"0033"</f>
        <v>0033</v>
      </c>
      <c r="I411" s="1" t="s">
        <v>106</v>
      </c>
      <c r="J411" s="1" t="str">
        <f>"01043977567"</f>
        <v>01043977567</v>
      </c>
      <c r="K411" s="1" t="str">
        <f>"2017-04-11 09:23:32"</f>
        <v>2017-04-11 09:23:32</v>
      </c>
      <c r="L411" s="1" t="str">
        <f>"2017-04-11 09:23:41"</f>
        <v>2017-04-11 09:23:41</v>
      </c>
      <c r="M411" s="2">
        <v>8.6458333333333335E-3</v>
      </c>
      <c r="N411" s="1" t="s">
        <v>26</v>
      </c>
      <c r="O411" s="1" t="s">
        <v>27</v>
      </c>
      <c r="P411" s="2">
        <v>8.7499999999999991E-3</v>
      </c>
      <c r="Q411" s="1" t="s">
        <v>405</v>
      </c>
      <c r="R411" s="1">
        <v>0</v>
      </c>
      <c r="S411" s="1" t="str">
        <f>""</f>
        <v/>
      </c>
      <c r="T411" s="1" t="s">
        <v>29</v>
      </c>
      <c r="U411" s="1" t="s">
        <v>30</v>
      </c>
      <c r="V411" s="1">
        <v>0</v>
      </c>
    </row>
    <row r="412" spans="2:22" x14ac:dyDescent="0.15">
      <c r="B412" s="1" t="str">
        <f>"136****5762"</f>
        <v>136****5762</v>
      </c>
      <c r="C412" s="1" t="s">
        <v>23</v>
      </c>
      <c r="D412" s="1" t="str">
        <f t="shared" si="46"/>
        <v>89177328</v>
      </c>
      <c r="E412" s="1" t="s">
        <v>24</v>
      </c>
      <c r="F412" s="1" t="str">
        <f t="shared" si="47"/>
        <v>0010</v>
      </c>
      <c r="G412" s="1" t="str">
        <f>""</f>
        <v/>
      </c>
      <c r="H412" s="1" t="str">
        <f>"0033"</f>
        <v>0033</v>
      </c>
      <c r="I412" s="1" t="s">
        <v>106</v>
      </c>
      <c r="J412" s="1" t="str">
        <f>"01043977567"</f>
        <v>01043977567</v>
      </c>
      <c r="K412" s="1" t="str">
        <f>"2017-04-11 09:20:23"</f>
        <v>2017-04-11 09:20:23</v>
      </c>
      <c r="L412" s="1" t="str">
        <f>"2017-04-11 09:20:34"</f>
        <v>2017-04-11 09:20:34</v>
      </c>
      <c r="M412" s="2">
        <v>1.0995370370370371E-3</v>
      </c>
      <c r="N412" s="1" t="s">
        <v>26</v>
      </c>
      <c r="O412" s="1" t="s">
        <v>27</v>
      </c>
      <c r="P412" s="2">
        <v>1.2268518518518518E-3</v>
      </c>
      <c r="Q412" s="1" t="s">
        <v>406</v>
      </c>
      <c r="R412" s="1">
        <v>0</v>
      </c>
      <c r="S412" s="1" t="str">
        <f>""</f>
        <v/>
      </c>
      <c r="T412" s="1" t="s">
        <v>29</v>
      </c>
      <c r="U412" s="1" t="s">
        <v>30</v>
      </c>
      <c r="V412" s="1">
        <v>0</v>
      </c>
    </row>
    <row r="413" spans="2:22" x14ac:dyDescent="0.15">
      <c r="B413" s="1" t="str">
        <f>"010****0744"</f>
        <v>010****0744</v>
      </c>
      <c r="C413" s="1" t="s">
        <v>23</v>
      </c>
      <c r="D413" s="1" t="str">
        <f>"4000108333"</f>
        <v>4000108333</v>
      </c>
      <c r="E413" s="1" t="s">
        <v>53</v>
      </c>
      <c r="F413" s="1" t="str">
        <f>"0000"</f>
        <v>0000</v>
      </c>
      <c r="G413" s="1" t="str">
        <f>""</f>
        <v/>
      </c>
      <c r="H413" s="1" t="str">
        <f>"0033"</f>
        <v>0033</v>
      </c>
      <c r="I413" s="1" t="s">
        <v>106</v>
      </c>
      <c r="J413" s="1" t="str">
        <f>"01043977567"</f>
        <v>01043977567</v>
      </c>
      <c r="K413" s="1" t="str">
        <f>"2017-04-11 09:06:47"</f>
        <v>2017-04-11 09:06:47</v>
      </c>
      <c r="L413" s="1" t="str">
        <f>"2017-04-11 09:07:45"</f>
        <v>2017-04-11 09:07:45</v>
      </c>
      <c r="M413" s="2">
        <v>2.3148148148148147E-5</v>
      </c>
      <c r="N413" s="1" t="s">
        <v>26</v>
      </c>
      <c r="O413" s="1" t="s">
        <v>34</v>
      </c>
      <c r="P413" s="2">
        <v>6.9444444444444447E-4</v>
      </c>
      <c r="Q413" s="1" t="str">
        <f>""</f>
        <v/>
      </c>
      <c r="R413" s="1">
        <v>0.12</v>
      </c>
      <c r="S413" s="1" t="str">
        <f>""</f>
        <v/>
      </c>
      <c r="T413" s="1" t="s">
        <v>29</v>
      </c>
      <c r="U413" s="1" t="s">
        <v>30</v>
      </c>
      <c r="V413" s="1">
        <v>0</v>
      </c>
    </row>
    <row r="414" spans="2:22" x14ac:dyDescent="0.15">
      <c r="B414" s="1" t="str">
        <f>"186****4148"</f>
        <v>186****4148</v>
      </c>
      <c r="C414" s="1" t="s">
        <v>193</v>
      </c>
      <c r="D414" s="1" t="str">
        <f>"4000108333"</f>
        <v>4000108333</v>
      </c>
      <c r="E414" s="1" t="s">
        <v>53</v>
      </c>
      <c r="F414" s="1" t="str">
        <f>"0000"</f>
        <v>0000</v>
      </c>
      <c r="G414" s="1" t="str">
        <f>""</f>
        <v/>
      </c>
      <c r="H414" s="1" t="str">
        <f>"1010"</f>
        <v>1010</v>
      </c>
      <c r="I414" s="1" t="s">
        <v>148</v>
      </c>
      <c r="J414" s="1" t="str">
        <f>"13718091869"</f>
        <v>13718091869</v>
      </c>
      <c r="K414" s="1" t="str">
        <f>"2017-04-11 08:54:30"</f>
        <v>2017-04-11 08:54:30</v>
      </c>
      <c r="L414" s="1" t="str">
        <f>"2017-04-11 08:55:15"</f>
        <v>2017-04-11 08:55:15</v>
      </c>
      <c r="M414" s="2">
        <v>2.642361111111111E-2</v>
      </c>
      <c r="N414" s="1" t="s">
        <v>26</v>
      </c>
      <c r="O414" s="1" t="s">
        <v>34</v>
      </c>
      <c r="P414" s="2">
        <v>2.6944444444444441E-2</v>
      </c>
      <c r="Q414" s="1" t="s">
        <v>407</v>
      </c>
      <c r="R414" s="1">
        <v>4.68</v>
      </c>
      <c r="S414" s="1" t="str">
        <f>""</f>
        <v/>
      </c>
      <c r="T414" s="1" t="s">
        <v>29</v>
      </c>
      <c r="U414" s="1" t="s">
        <v>30</v>
      </c>
      <c r="V414" s="1">
        <v>0</v>
      </c>
    </row>
    <row r="415" spans="2:22" x14ac:dyDescent="0.15">
      <c r="B415" s="1" t="str">
        <f>"187****5925"</f>
        <v>187****5925</v>
      </c>
      <c r="C415" s="1" t="s">
        <v>291</v>
      </c>
      <c r="D415" s="1" t="str">
        <f>"89177328"</f>
        <v>89177328</v>
      </c>
      <c r="E415" s="1" t="s">
        <v>24</v>
      </c>
      <c r="F415" s="1" t="str">
        <f>"0010"</f>
        <v>0010</v>
      </c>
      <c r="G415" s="1" t="str">
        <f>""</f>
        <v/>
      </c>
      <c r="H415" s="1" t="str">
        <f>"0017"</f>
        <v>0017</v>
      </c>
      <c r="I415" s="1" t="s">
        <v>135</v>
      </c>
      <c r="J415" s="1" t="str">
        <f>"01043989717"</f>
        <v>01043989717</v>
      </c>
      <c r="K415" s="1" t="str">
        <f>"2017-04-11 08:42:18"</f>
        <v>2017-04-11 08:42:18</v>
      </c>
      <c r="L415" s="1" t="str">
        <f>"2017-04-11 08:42:27"</f>
        <v>2017-04-11 08:42:27</v>
      </c>
      <c r="M415" s="2">
        <v>3.5879629629629635E-4</v>
      </c>
      <c r="N415" s="1" t="s">
        <v>26</v>
      </c>
      <c r="O415" s="1" t="s">
        <v>27</v>
      </c>
      <c r="P415" s="2">
        <v>4.6296296296296293E-4</v>
      </c>
      <c r="Q415" s="1" t="s">
        <v>408</v>
      </c>
      <c r="R415" s="1">
        <v>0</v>
      </c>
      <c r="S415" s="1" t="str">
        <f>""</f>
        <v/>
      </c>
      <c r="T415" s="1" t="s">
        <v>29</v>
      </c>
      <c r="U415" s="1" t="s">
        <v>30</v>
      </c>
      <c r="V415" s="1">
        <v>0</v>
      </c>
    </row>
    <row r="416" spans="2:22" x14ac:dyDescent="0.15">
      <c r="B416" s="1" t="str">
        <f>"186****9000"</f>
        <v>186****9000</v>
      </c>
      <c r="C416" s="1" t="s">
        <v>23</v>
      </c>
      <c r="D416" s="1" t="str">
        <f>"60648935"</f>
        <v>60648935</v>
      </c>
      <c r="E416" s="1" t="s">
        <v>409</v>
      </c>
      <c r="F416" s="1" t="str">
        <f>"0009"</f>
        <v>0009</v>
      </c>
      <c r="G416" s="1" t="str">
        <f>""</f>
        <v/>
      </c>
      <c r="H416" s="1" t="str">
        <f>""</f>
        <v/>
      </c>
      <c r="I416" s="1" t="str">
        <f>""</f>
        <v/>
      </c>
      <c r="J416" s="1" t="str">
        <f>""</f>
        <v/>
      </c>
      <c r="K416" s="1" t="str">
        <f>"2017-04-11 08:40:06"</f>
        <v>2017-04-11 08:40:06</v>
      </c>
      <c r="L416" s="1" t="str">
        <f>"-"</f>
        <v>-</v>
      </c>
      <c r="M416" s="2">
        <v>0</v>
      </c>
      <c r="N416" s="1" t="s">
        <v>55</v>
      </c>
      <c r="O416" s="1" t="s">
        <v>27</v>
      </c>
      <c r="P416" s="2">
        <v>4.6296296296296294E-5</v>
      </c>
      <c r="Q416" s="1" t="str">
        <f>""</f>
        <v/>
      </c>
      <c r="R416" s="1">
        <v>0</v>
      </c>
      <c r="S416" s="1" t="str">
        <f>""</f>
        <v/>
      </c>
      <c r="T416" s="1" t="s">
        <v>29</v>
      </c>
      <c r="U416" s="1" t="s">
        <v>30</v>
      </c>
      <c r="V416" s="1">
        <v>0</v>
      </c>
    </row>
    <row r="417" spans="2:22" x14ac:dyDescent="0.15">
      <c r="B417" s="1" t="str">
        <f>"186****9000"</f>
        <v>186****9000</v>
      </c>
      <c r="C417" s="1" t="s">
        <v>23</v>
      </c>
      <c r="D417" s="1" t="str">
        <f t="shared" ref="D417:D422" si="48">"89177328"</f>
        <v>89177328</v>
      </c>
      <c r="E417" s="1" t="s">
        <v>24</v>
      </c>
      <c r="F417" s="1" t="str">
        <f t="shared" ref="F417:F422" si="49">"0010"</f>
        <v>0010</v>
      </c>
      <c r="G417" s="1" t="str">
        <f>""</f>
        <v/>
      </c>
      <c r="H417" s="1" t="str">
        <f>"0035"</f>
        <v>0035</v>
      </c>
      <c r="I417" s="1" t="s">
        <v>25</v>
      </c>
      <c r="J417" s="1" t="str">
        <f>"01043977569"</f>
        <v>01043977569</v>
      </c>
      <c r="K417" s="1" t="str">
        <f>"2017-04-11 08:36:39"</f>
        <v>2017-04-11 08:36:39</v>
      </c>
      <c r="L417" s="1" t="str">
        <f>"2017-04-11 08:36:52"</f>
        <v>2017-04-11 08:36:52</v>
      </c>
      <c r="M417" s="2">
        <v>1.0185185185185186E-3</v>
      </c>
      <c r="N417" s="1" t="s">
        <v>26</v>
      </c>
      <c r="O417" s="1" t="s">
        <v>27</v>
      </c>
      <c r="P417" s="2">
        <v>1.1689814814814816E-3</v>
      </c>
      <c r="Q417" s="1" t="s">
        <v>410</v>
      </c>
      <c r="R417" s="1">
        <v>0</v>
      </c>
      <c r="S417" s="1" t="str">
        <f>""</f>
        <v/>
      </c>
      <c r="T417" s="1" t="s">
        <v>411</v>
      </c>
      <c r="U417" s="1" t="s">
        <v>30</v>
      </c>
      <c r="V417" s="1">
        <v>0</v>
      </c>
    </row>
    <row r="418" spans="2:22" x14ac:dyDescent="0.15">
      <c r="B418" s="1" t="str">
        <f>"136****8368"</f>
        <v>136****8368</v>
      </c>
      <c r="C418" s="1" t="s">
        <v>23</v>
      </c>
      <c r="D418" s="1" t="str">
        <f t="shared" si="48"/>
        <v>89177328</v>
      </c>
      <c r="E418" s="1" t="s">
        <v>24</v>
      </c>
      <c r="F418" s="1" t="str">
        <f t="shared" si="49"/>
        <v>0010</v>
      </c>
      <c r="G418" s="1" t="str">
        <f>""</f>
        <v/>
      </c>
      <c r="H418" s="1" t="str">
        <f>"0036"</f>
        <v>0036</v>
      </c>
      <c r="I418" s="1" t="s">
        <v>143</v>
      </c>
      <c r="J418" s="1" t="str">
        <f>"01043977573"</f>
        <v>01043977573</v>
      </c>
      <c r="K418" s="1" t="str">
        <f>"2017-04-11 08:34:30"</f>
        <v>2017-04-11 08:34:30</v>
      </c>
      <c r="L418" s="1" t="str">
        <f>"2017-04-11 08:34:40"</f>
        <v>2017-04-11 08:34:40</v>
      </c>
      <c r="M418" s="2">
        <v>2.4305555555555556E-2</v>
      </c>
      <c r="N418" s="1" t="s">
        <v>26</v>
      </c>
      <c r="O418" s="1" t="s">
        <v>34</v>
      </c>
      <c r="P418" s="2">
        <v>2.4421296296296292E-2</v>
      </c>
      <c r="Q418" s="1" t="s">
        <v>412</v>
      </c>
      <c r="R418" s="1">
        <v>0</v>
      </c>
      <c r="S418" s="1" t="str">
        <f>""</f>
        <v/>
      </c>
      <c r="T418" s="1" t="s">
        <v>29</v>
      </c>
      <c r="U418" s="1" t="s">
        <v>30</v>
      </c>
      <c r="V418" s="1">
        <v>0</v>
      </c>
    </row>
    <row r="419" spans="2:22" x14ac:dyDescent="0.15">
      <c r="B419" s="1" t="str">
        <f>"133****1132"</f>
        <v>133****1132</v>
      </c>
      <c r="C419" s="1" t="s">
        <v>23</v>
      </c>
      <c r="D419" s="1" t="str">
        <f t="shared" si="48"/>
        <v>89177328</v>
      </c>
      <c r="E419" s="1" t="s">
        <v>24</v>
      </c>
      <c r="F419" s="1" t="str">
        <f t="shared" si="49"/>
        <v>0010</v>
      </c>
      <c r="G419" s="1" t="str">
        <f>""</f>
        <v/>
      </c>
      <c r="H419" s="1" t="str">
        <f>"0036"</f>
        <v>0036</v>
      </c>
      <c r="I419" s="1" t="s">
        <v>143</v>
      </c>
      <c r="J419" s="1" t="str">
        <f>"01043977573"</f>
        <v>01043977573</v>
      </c>
      <c r="K419" s="1" t="str">
        <f>"2017-04-11 08:24:00"</f>
        <v>2017-04-11 08:24:00</v>
      </c>
      <c r="L419" s="1" t="str">
        <f>"-"</f>
        <v>-</v>
      </c>
      <c r="M419" s="2">
        <v>0</v>
      </c>
      <c r="N419" s="1" t="s">
        <v>33</v>
      </c>
      <c r="O419" s="1" t="s">
        <v>34</v>
      </c>
      <c r="P419" s="2">
        <v>9.2592592592592588E-5</v>
      </c>
      <c r="Q419" s="1" t="str">
        <f>""</f>
        <v/>
      </c>
      <c r="R419" s="1">
        <v>0</v>
      </c>
      <c r="S419" s="1" t="str">
        <f>""</f>
        <v/>
      </c>
      <c r="T419" s="1" t="s">
        <v>29</v>
      </c>
      <c r="U419" s="1" t="s">
        <v>30</v>
      </c>
      <c r="V419" s="1">
        <v>0</v>
      </c>
    </row>
    <row r="420" spans="2:22" x14ac:dyDescent="0.15">
      <c r="B420" s="1" t="str">
        <f>"152****8566"</f>
        <v>152****8566</v>
      </c>
      <c r="C420" s="1" t="s">
        <v>81</v>
      </c>
      <c r="D420" s="1" t="str">
        <f t="shared" si="48"/>
        <v>89177328</v>
      </c>
      <c r="E420" s="1" t="s">
        <v>24</v>
      </c>
      <c r="F420" s="1" t="str">
        <f t="shared" si="49"/>
        <v>0010</v>
      </c>
      <c r="G420" s="1" t="str">
        <f>""</f>
        <v/>
      </c>
      <c r="H420" s="1" t="str">
        <f>"0018"</f>
        <v>0018</v>
      </c>
      <c r="I420" s="1" t="s">
        <v>36</v>
      </c>
      <c r="J420" s="1" t="str">
        <f>"01043977572"</f>
        <v>01043977572</v>
      </c>
      <c r="K420" s="1" t="str">
        <f>"2017-04-11 08:20:08"</f>
        <v>2017-04-11 08:20:08</v>
      </c>
      <c r="L420" s="1" t="str">
        <f>"2017-04-11 08:20:17"</f>
        <v>2017-04-11 08:20:17</v>
      </c>
      <c r="M420" s="2">
        <v>6.2500000000000001E-4</v>
      </c>
      <c r="N420" s="1" t="s">
        <v>26</v>
      </c>
      <c r="O420" s="1" t="s">
        <v>34</v>
      </c>
      <c r="P420" s="2">
        <v>7.291666666666667E-4</v>
      </c>
      <c r="Q420" s="1" t="s">
        <v>413</v>
      </c>
      <c r="R420" s="1">
        <v>0</v>
      </c>
      <c r="S420" s="1" t="str">
        <f>""</f>
        <v/>
      </c>
      <c r="T420" s="1" t="s">
        <v>29</v>
      </c>
      <c r="U420" s="1" t="s">
        <v>30</v>
      </c>
      <c r="V420" s="1">
        <v>0</v>
      </c>
    </row>
    <row r="421" spans="2:22" x14ac:dyDescent="0.15">
      <c r="B421" s="1" t="str">
        <f>"130****5656"</f>
        <v>130****5656</v>
      </c>
      <c r="C421" s="1" t="s">
        <v>112</v>
      </c>
      <c r="D421" s="1" t="str">
        <f t="shared" si="48"/>
        <v>89177328</v>
      </c>
      <c r="E421" s="1" t="s">
        <v>24</v>
      </c>
      <c r="F421" s="1" t="str">
        <f t="shared" si="49"/>
        <v>0010</v>
      </c>
      <c r="G421" s="1" t="str">
        <f>""</f>
        <v/>
      </c>
      <c r="H421" s="1" t="str">
        <f>"0035"</f>
        <v>0035</v>
      </c>
      <c r="I421" s="1" t="s">
        <v>25</v>
      </c>
      <c r="J421" s="1" t="str">
        <f>"01043977569"</f>
        <v>01043977569</v>
      </c>
      <c r="K421" s="1" t="str">
        <f>"2017-04-11 08:05:14"</f>
        <v>2017-04-11 08:05:14</v>
      </c>
      <c r="L421" s="1" t="str">
        <f>"-"</f>
        <v>-</v>
      </c>
      <c r="M421" s="2">
        <v>0</v>
      </c>
      <c r="N421" s="1" t="s">
        <v>33</v>
      </c>
      <c r="O421" s="1" t="s">
        <v>34</v>
      </c>
      <c r="P421" s="2">
        <v>1.2847222222222223E-3</v>
      </c>
      <c r="Q421" s="1" t="str">
        <f>""</f>
        <v/>
      </c>
      <c r="R421" s="1">
        <v>0</v>
      </c>
      <c r="S421" s="1" t="str">
        <f>""</f>
        <v/>
      </c>
      <c r="T421" s="1" t="s">
        <v>29</v>
      </c>
      <c r="U421" s="1" t="s">
        <v>30</v>
      </c>
      <c r="V421" s="1">
        <v>0</v>
      </c>
    </row>
    <row r="422" spans="2:22" x14ac:dyDescent="0.15">
      <c r="B422" s="1" t="str">
        <f>"130****5656"</f>
        <v>130****5656</v>
      </c>
      <c r="C422" s="1" t="s">
        <v>112</v>
      </c>
      <c r="D422" s="1" t="str">
        <f t="shared" si="48"/>
        <v>89177328</v>
      </c>
      <c r="E422" s="1" t="s">
        <v>24</v>
      </c>
      <c r="F422" s="1" t="str">
        <f t="shared" si="49"/>
        <v>0010</v>
      </c>
      <c r="G422" s="1" t="str">
        <f>""</f>
        <v/>
      </c>
      <c r="H422" s="1" t="str">
        <f>"0036"</f>
        <v>0036</v>
      </c>
      <c r="I422" s="1" t="s">
        <v>143</v>
      </c>
      <c r="J422" s="1" t="str">
        <f>"01043977573"</f>
        <v>01043977573</v>
      </c>
      <c r="K422" s="1" t="str">
        <f>"2017-04-11 08:04:50"</f>
        <v>2017-04-11 08:04:50</v>
      </c>
      <c r="L422" s="1" t="str">
        <f>"-"</f>
        <v>-</v>
      </c>
      <c r="M422" s="2">
        <v>0</v>
      </c>
      <c r="N422" s="1" t="s">
        <v>33</v>
      </c>
      <c r="O422" s="1" t="s">
        <v>34</v>
      </c>
      <c r="P422" s="2">
        <v>3.4722222222222222E-5</v>
      </c>
      <c r="Q422" s="1" t="str">
        <f>""</f>
        <v/>
      </c>
      <c r="R422" s="1">
        <v>0</v>
      </c>
      <c r="S422" s="1" t="str">
        <f>""</f>
        <v/>
      </c>
      <c r="T422" s="1" t="s">
        <v>29</v>
      </c>
      <c r="U422" s="1" t="s">
        <v>30</v>
      </c>
      <c r="V422" s="1">
        <v>0</v>
      </c>
    </row>
    <row r="423" spans="2:22" x14ac:dyDescent="0.15">
      <c r="B423" s="1" t="str">
        <f>"010****4505"</f>
        <v>010****4505</v>
      </c>
      <c r="C423" s="1" t="s">
        <v>23</v>
      </c>
      <c r="D423" s="1" t="str">
        <f>"4000108333"</f>
        <v>4000108333</v>
      </c>
      <c r="E423" s="1" t="s">
        <v>414</v>
      </c>
      <c r="F423" s="1" t="str">
        <f>""</f>
        <v/>
      </c>
      <c r="G423" s="1" t="str">
        <f>""</f>
        <v/>
      </c>
      <c r="H423" s="1" t="str">
        <f>""</f>
        <v/>
      </c>
      <c r="I423" s="1" t="str">
        <f>""</f>
        <v/>
      </c>
      <c r="J423" s="1" t="str">
        <f>""</f>
        <v/>
      </c>
      <c r="K423" s="1" t="str">
        <f>"2017-04-11 07:33:01"</f>
        <v>2017-04-11 07:33:01</v>
      </c>
      <c r="L423" s="1" t="str">
        <f>"-"</f>
        <v>-</v>
      </c>
      <c r="M423" s="2">
        <v>0</v>
      </c>
      <c r="N423" s="1" t="s">
        <v>55</v>
      </c>
      <c r="O423" s="1" t="s">
        <v>34</v>
      </c>
      <c r="P423" s="2">
        <v>1.0416666666666667E-4</v>
      </c>
      <c r="Q423" s="1" t="str">
        <f>""</f>
        <v/>
      </c>
      <c r="R423" s="1">
        <v>0.12</v>
      </c>
      <c r="S423" s="1" t="str">
        <f>""</f>
        <v/>
      </c>
      <c r="T423" s="1" t="s">
        <v>183</v>
      </c>
      <c r="U423" s="1" t="s">
        <v>30</v>
      </c>
      <c r="V423" s="1">
        <v>0</v>
      </c>
    </row>
    <row r="424" spans="2:22" x14ac:dyDescent="0.15">
      <c r="B424" s="1" t="str">
        <f>"156****1717"</f>
        <v>156****1717</v>
      </c>
      <c r="C424" s="1" t="s">
        <v>23</v>
      </c>
      <c r="D424" s="1" t="str">
        <f>"89177328"</f>
        <v>89177328</v>
      </c>
      <c r="E424" s="1" t="s">
        <v>181</v>
      </c>
      <c r="F424" s="1" t="str">
        <f>""</f>
        <v/>
      </c>
      <c r="G424" s="1" t="str">
        <f>""</f>
        <v/>
      </c>
      <c r="H424" s="1" t="str">
        <f>""</f>
        <v/>
      </c>
      <c r="I424" s="1" t="str">
        <f>""</f>
        <v/>
      </c>
      <c r="J424" s="1" t="str">
        <f>""</f>
        <v/>
      </c>
      <c r="K424" s="1" t="str">
        <f>"2017-04-10 22:44:30"</f>
        <v>2017-04-10 22:44:30</v>
      </c>
      <c r="L424" s="1" t="str">
        <f>"-"</f>
        <v>-</v>
      </c>
      <c r="M424" s="2">
        <v>0</v>
      </c>
      <c r="N424" s="1" t="s">
        <v>55</v>
      </c>
      <c r="O424" s="1" t="s">
        <v>34</v>
      </c>
      <c r="P424" s="2">
        <v>8.1018518518518516E-5</v>
      </c>
      <c r="Q424" s="1" t="str">
        <f>""</f>
        <v/>
      </c>
      <c r="R424" s="1">
        <v>0</v>
      </c>
      <c r="S424" s="1" t="str">
        <f>""</f>
        <v/>
      </c>
      <c r="T424" s="1" t="s">
        <v>183</v>
      </c>
      <c r="U424" s="1" t="s">
        <v>30</v>
      </c>
      <c r="V424" s="1">
        <v>0</v>
      </c>
    </row>
    <row r="425" spans="2:22" x14ac:dyDescent="0.15">
      <c r="B425" s="1" t="str">
        <f>"137****1869"</f>
        <v>137****1869</v>
      </c>
      <c r="C425" s="1" t="s">
        <v>23</v>
      </c>
      <c r="D425" s="1" t="str">
        <f>"4000108333"</f>
        <v>4000108333</v>
      </c>
      <c r="E425" s="1" t="s">
        <v>414</v>
      </c>
      <c r="F425" s="1" t="str">
        <f>""</f>
        <v/>
      </c>
      <c r="G425" s="1" t="str">
        <f>""</f>
        <v/>
      </c>
      <c r="H425" s="1" t="str">
        <f>""</f>
        <v/>
      </c>
      <c r="I425" s="1" t="str">
        <f>""</f>
        <v/>
      </c>
      <c r="J425" s="1" t="str">
        <f>""</f>
        <v/>
      </c>
      <c r="K425" s="1" t="str">
        <f>"2017-04-10 22:43:41"</f>
        <v>2017-04-10 22:43:41</v>
      </c>
      <c r="L425" s="1" t="str">
        <f>"-"</f>
        <v>-</v>
      </c>
      <c r="M425" s="2">
        <v>0</v>
      </c>
      <c r="N425" s="1" t="s">
        <v>55</v>
      </c>
      <c r="O425" s="1" t="s">
        <v>34</v>
      </c>
      <c r="P425" s="2">
        <v>1.9675925925925926E-4</v>
      </c>
      <c r="Q425" s="1" t="str">
        <f>""</f>
        <v/>
      </c>
      <c r="R425" s="1">
        <v>0.12</v>
      </c>
      <c r="S425" s="1" t="str">
        <f>""</f>
        <v/>
      </c>
      <c r="T425" s="1" t="s">
        <v>183</v>
      </c>
      <c r="U425" s="1" t="s">
        <v>30</v>
      </c>
      <c r="V425" s="1">
        <v>0</v>
      </c>
    </row>
    <row r="426" spans="2:22" x14ac:dyDescent="0.15">
      <c r="B426" s="1" t="str">
        <f>"010****8290"</f>
        <v>010****8290</v>
      </c>
      <c r="C426" s="1" t="s">
        <v>23</v>
      </c>
      <c r="D426" s="1" t="str">
        <f t="shared" ref="D426:D458" si="50">"89177328"</f>
        <v>89177328</v>
      </c>
      <c r="E426" s="1" t="s">
        <v>24</v>
      </c>
      <c r="F426" s="1" t="str">
        <f t="shared" ref="F426:F458" si="51">"0010"</f>
        <v>0010</v>
      </c>
      <c r="G426" s="1" t="str">
        <f>""</f>
        <v/>
      </c>
      <c r="H426" s="1" t="str">
        <f>"0034"</f>
        <v>0034</v>
      </c>
      <c r="I426" s="1" t="s">
        <v>31</v>
      </c>
      <c r="J426" s="1" t="str">
        <f>"01043977568"</f>
        <v>01043977568</v>
      </c>
      <c r="K426" s="1" t="str">
        <f>"2017-04-10 20:44:58"</f>
        <v>2017-04-10 20:44:58</v>
      </c>
      <c r="L426" s="1" t="str">
        <f>"2017-04-10 20:45:11"</f>
        <v>2017-04-10 20:45:11</v>
      </c>
      <c r="M426" s="2">
        <v>2.8726851851851851E-2</v>
      </c>
      <c r="N426" s="1" t="s">
        <v>26</v>
      </c>
      <c r="O426" s="1" t="s">
        <v>34</v>
      </c>
      <c r="P426" s="2">
        <v>2.8877314814814817E-2</v>
      </c>
      <c r="Q426" s="1" t="s">
        <v>415</v>
      </c>
      <c r="R426" s="1">
        <v>0</v>
      </c>
      <c r="S426" s="1" t="str">
        <f>""</f>
        <v/>
      </c>
      <c r="T426" s="1" t="s">
        <v>29</v>
      </c>
      <c r="U426" s="1" t="s">
        <v>30</v>
      </c>
      <c r="V426" s="1">
        <v>0</v>
      </c>
    </row>
    <row r="427" spans="2:22" x14ac:dyDescent="0.15">
      <c r="B427" s="1" t="str">
        <f>"152****0210"</f>
        <v>152****0210</v>
      </c>
      <c r="C427" s="1" t="s">
        <v>23</v>
      </c>
      <c r="D427" s="1" t="str">
        <f t="shared" si="50"/>
        <v>89177328</v>
      </c>
      <c r="E427" s="1" t="s">
        <v>24</v>
      </c>
      <c r="F427" s="1" t="str">
        <f t="shared" si="51"/>
        <v>0010</v>
      </c>
      <c r="G427" s="1" t="str">
        <f>""</f>
        <v/>
      </c>
      <c r="H427" s="1" t="str">
        <f>"0034"</f>
        <v>0034</v>
      </c>
      <c r="I427" s="1" t="s">
        <v>31</v>
      </c>
      <c r="J427" s="1" t="str">
        <f>"01043977568"</f>
        <v>01043977568</v>
      </c>
      <c r="K427" s="1" t="str">
        <f>"2017-04-10 20:40:11"</f>
        <v>2017-04-10 20:40:11</v>
      </c>
      <c r="L427" s="1" t="str">
        <f>"-"</f>
        <v>-</v>
      </c>
      <c r="M427" s="2">
        <v>0</v>
      </c>
      <c r="N427" s="1" t="s">
        <v>33</v>
      </c>
      <c r="O427" s="1" t="s">
        <v>34</v>
      </c>
      <c r="P427" s="2">
        <v>1.1574074074074073E-5</v>
      </c>
      <c r="Q427" s="1" t="str">
        <f>""</f>
        <v/>
      </c>
      <c r="R427" s="1">
        <v>0</v>
      </c>
      <c r="S427" s="1" t="str">
        <f>""</f>
        <v/>
      </c>
      <c r="T427" s="1" t="s">
        <v>29</v>
      </c>
      <c r="U427" s="1" t="s">
        <v>30</v>
      </c>
      <c r="V427" s="1">
        <v>0</v>
      </c>
    </row>
    <row r="428" spans="2:22" x14ac:dyDescent="0.15">
      <c r="B428" s="1" t="str">
        <f>"133****6237"</f>
        <v>133****6237</v>
      </c>
      <c r="C428" s="1" t="s">
        <v>416</v>
      </c>
      <c r="D428" s="1" t="str">
        <f t="shared" si="50"/>
        <v>89177328</v>
      </c>
      <c r="E428" s="1" t="s">
        <v>24</v>
      </c>
      <c r="F428" s="1" t="str">
        <f t="shared" si="51"/>
        <v>0010</v>
      </c>
      <c r="G428" s="1" t="str">
        <f>""</f>
        <v/>
      </c>
      <c r="H428" s="1" t="str">
        <f>"0031"</f>
        <v>0031</v>
      </c>
      <c r="I428" s="1" t="s">
        <v>95</v>
      </c>
      <c r="J428" s="1" t="str">
        <f>"01043977565"</f>
        <v>01043977565</v>
      </c>
      <c r="K428" s="1" t="str">
        <f>"2017-04-10 19:52:41"</f>
        <v>2017-04-10 19:52:41</v>
      </c>
      <c r="L428" s="1" t="str">
        <f>"2017-04-10 19:52:52"</f>
        <v>2017-04-10 19:52:52</v>
      </c>
      <c r="M428" s="2">
        <v>4.5833333333333334E-3</v>
      </c>
      <c r="N428" s="1" t="s">
        <v>26</v>
      </c>
      <c r="O428" s="1" t="s">
        <v>27</v>
      </c>
      <c r="P428" s="2">
        <v>4.7106481481481478E-3</v>
      </c>
      <c r="Q428" s="1" t="s">
        <v>417</v>
      </c>
      <c r="R428" s="1">
        <v>0</v>
      </c>
      <c r="S428" s="1" t="str">
        <f>""</f>
        <v/>
      </c>
      <c r="T428" s="1" t="s">
        <v>29</v>
      </c>
      <c r="U428" s="1" t="s">
        <v>30</v>
      </c>
      <c r="V428" s="1">
        <v>0</v>
      </c>
    </row>
    <row r="429" spans="2:22" x14ac:dyDescent="0.15">
      <c r="B429" s="1" t="str">
        <f>"186****2600"</f>
        <v>186****2600</v>
      </c>
      <c r="C429" s="1" t="s">
        <v>23</v>
      </c>
      <c r="D429" s="1" t="str">
        <f t="shared" si="50"/>
        <v>89177328</v>
      </c>
      <c r="E429" s="1" t="s">
        <v>24</v>
      </c>
      <c r="F429" s="1" t="str">
        <f t="shared" si="51"/>
        <v>0010</v>
      </c>
      <c r="G429" s="1" t="str">
        <f>""</f>
        <v/>
      </c>
      <c r="H429" s="1" t="str">
        <f>"0034"</f>
        <v>0034</v>
      </c>
      <c r="I429" s="1" t="s">
        <v>31</v>
      </c>
      <c r="J429" s="1" t="str">
        <f>"01043977568"</f>
        <v>01043977568</v>
      </c>
      <c r="K429" s="1" t="str">
        <f>"2017-04-10 19:50:24"</f>
        <v>2017-04-10 19:50:24</v>
      </c>
      <c r="L429" s="1" t="str">
        <f>"2017-04-10 19:50:39"</f>
        <v>2017-04-10 19:50:39</v>
      </c>
      <c r="M429" s="2">
        <v>1.2291666666666666E-2</v>
      </c>
      <c r="N429" s="1" t="s">
        <v>26</v>
      </c>
      <c r="O429" s="1" t="s">
        <v>34</v>
      </c>
      <c r="P429" s="2">
        <v>1.2465277777777777E-2</v>
      </c>
      <c r="Q429" s="1" t="s">
        <v>418</v>
      </c>
      <c r="R429" s="1">
        <v>0</v>
      </c>
      <c r="S429" s="1" t="str">
        <f>""</f>
        <v/>
      </c>
      <c r="T429" s="1" t="s">
        <v>29</v>
      </c>
      <c r="U429" s="1" t="s">
        <v>30</v>
      </c>
      <c r="V429" s="1">
        <v>0</v>
      </c>
    </row>
    <row r="430" spans="2:22" x14ac:dyDescent="0.15">
      <c r="B430" s="1" t="str">
        <f>"131****8846"</f>
        <v>131****8846</v>
      </c>
      <c r="C430" s="1" t="s">
        <v>23</v>
      </c>
      <c r="D430" s="1" t="str">
        <f t="shared" si="50"/>
        <v>89177328</v>
      </c>
      <c r="E430" s="1" t="s">
        <v>24</v>
      </c>
      <c r="F430" s="1" t="str">
        <f t="shared" si="51"/>
        <v>0010</v>
      </c>
      <c r="G430" s="1" t="str">
        <f>""</f>
        <v/>
      </c>
      <c r="H430" s="1" t="str">
        <f>"0034"</f>
        <v>0034</v>
      </c>
      <c r="I430" s="1" t="s">
        <v>31</v>
      </c>
      <c r="J430" s="1" t="str">
        <f>"01043977568"</f>
        <v>01043977568</v>
      </c>
      <c r="K430" s="1" t="str">
        <f>"2017-04-10 19:35:50"</f>
        <v>2017-04-10 19:35:50</v>
      </c>
      <c r="L430" s="1" t="str">
        <f>"-"</f>
        <v>-</v>
      </c>
      <c r="M430" s="2">
        <v>0</v>
      </c>
      <c r="N430" s="1" t="s">
        <v>33</v>
      </c>
      <c r="O430" s="1" t="s">
        <v>34</v>
      </c>
      <c r="P430" s="2">
        <v>1.1574074074074073E-5</v>
      </c>
      <c r="Q430" s="1" t="str">
        <f>""</f>
        <v/>
      </c>
      <c r="R430" s="1">
        <v>0</v>
      </c>
      <c r="S430" s="1" t="str">
        <f>""</f>
        <v/>
      </c>
      <c r="T430" s="1" t="s">
        <v>29</v>
      </c>
      <c r="U430" s="1" t="s">
        <v>30</v>
      </c>
      <c r="V430" s="1">
        <v>0</v>
      </c>
    </row>
    <row r="431" spans="2:22" x14ac:dyDescent="0.15">
      <c r="B431" s="1" t="str">
        <f>"186****2508"</f>
        <v>186****2508</v>
      </c>
      <c r="C431" s="1" t="s">
        <v>23</v>
      </c>
      <c r="D431" s="1" t="str">
        <f t="shared" si="50"/>
        <v>89177328</v>
      </c>
      <c r="E431" s="1" t="s">
        <v>24</v>
      </c>
      <c r="F431" s="1" t="str">
        <f t="shared" si="51"/>
        <v>0010</v>
      </c>
      <c r="G431" s="1" t="str">
        <f>""</f>
        <v/>
      </c>
      <c r="H431" s="1" t="str">
        <f>"0032"</f>
        <v>0032</v>
      </c>
      <c r="I431" s="1" t="s">
        <v>119</v>
      </c>
      <c r="J431" s="1" t="str">
        <f>"01043977566"</f>
        <v>01043977566</v>
      </c>
      <c r="K431" s="1" t="str">
        <f>"2017-04-10 19:32:05"</f>
        <v>2017-04-10 19:32:05</v>
      </c>
      <c r="L431" s="1" t="str">
        <f>"2017-04-10 19:32:18"</f>
        <v>2017-04-10 19:32:18</v>
      </c>
      <c r="M431" s="2">
        <v>5.6944444444444438E-3</v>
      </c>
      <c r="N431" s="1" t="s">
        <v>26</v>
      </c>
      <c r="O431" s="1" t="s">
        <v>27</v>
      </c>
      <c r="P431" s="2">
        <v>5.8449074074074072E-3</v>
      </c>
      <c r="Q431" s="1" t="s">
        <v>419</v>
      </c>
      <c r="R431" s="1">
        <v>0</v>
      </c>
      <c r="S431" s="1" t="str">
        <f>""</f>
        <v/>
      </c>
      <c r="T431" s="1" t="s">
        <v>29</v>
      </c>
      <c r="U431" s="1" t="s">
        <v>30</v>
      </c>
      <c r="V431" s="1">
        <v>0</v>
      </c>
    </row>
    <row r="432" spans="2:22" x14ac:dyDescent="0.15">
      <c r="B432" s="1" t="str">
        <f>"135****4385"</f>
        <v>135****4385</v>
      </c>
      <c r="C432" s="1" t="s">
        <v>23</v>
      </c>
      <c r="D432" s="1" t="str">
        <f t="shared" si="50"/>
        <v>89177328</v>
      </c>
      <c r="E432" s="1" t="s">
        <v>24</v>
      </c>
      <c r="F432" s="1" t="str">
        <f t="shared" si="51"/>
        <v>0010</v>
      </c>
      <c r="G432" s="1" t="str">
        <f>""</f>
        <v/>
      </c>
      <c r="H432" s="1" t="str">
        <f>"0034"</f>
        <v>0034</v>
      </c>
      <c r="I432" s="1" t="s">
        <v>31</v>
      </c>
      <c r="J432" s="1" t="str">
        <f>"01043977568"</f>
        <v>01043977568</v>
      </c>
      <c r="K432" s="1" t="str">
        <f>"2017-04-10 19:20:33"</f>
        <v>2017-04-10 19:20:33</v>
      </c>
      <c r="L432" s="1" t="str">
        <f>"2017-04-10 19:20:41"</f>
        <v>2017-04-10 19:20:41</v>
      </c>
      <c r="M432" s="2">
        <v>8.9930555555555545E-3</v>
      </c>
      <c r="N432" s="1" t="s">
        <v>26</v>
      </c>
      <c r="O432" s="1" t="s">
        <v>27</v>
      </c>
      <c r="P432" s="2">
        <v>9.0856481481481483E-3</v>
      </c>
      <c r="Q432" s="1" t="s">
        <v>420</v>
      </c>
      <c r="R432" s="1">
        <v>0</v>
      </c>
      <c r="S432" s="1" t="str">
        <f>""</f>
        <v/>
      </c>
      <c r="T432" s="1" t="s">
        <v>29</v>
      </c>
      <c r="U432" s="1" t="s">
        <v>30</v>
      </c>
      <c r="V432" s="1">
        <v>0</v>
      </c>
    </row>
    <row r="433" spans="2:22" x14ac:dyDescent="0.15">
      <c r="B433" s="1" t="str">
        <f>"133****9212"</f>
        <v>133****9212</v>
      </c>
      <c r="C433" s="1" t="s">
        <v>23</v>
      </c>
      <c r="D433" s="1" t="str">
        <f t="shared" si="50"/>
        <v>89177328</v>
      </c>
      <c r="E433" s="1" t="s">
        <v>24</v>
      </c>
      <c r="F433" s="1" t="str">
        <f t="shared" si="51"/>
        <v>0010</v>
      </c>
      <c r="G433" s="1" t="str">
        <f>""</f>
        <v/>
      </c>
      <c r="H433" s="1" t="str">
        <f>"0032"</f>
        <v>0032</v>
      </c>
      <c r="I433" s="1" t="s">
        <v>119</v>
      </c>
      <c r="J433" s="1" t="str">
        <f>"01043977566"</f>
        <v>01043977566</v>
      </c>
      <c r="K433" s="1" t="str">
        <f>"2017-04-10 19:00:33"</f>
        <v>2017-04-10 19:00:33</v>
      </c>
      <c r="L433" s="1" t="str">
        <f>"2017-04-10 19:00:51"</f>
        <v>2017-04-10 19:00:51</v>
      </c>
      <c r="M433" s="2">
        <v>1.2256944444444444E-2</v>
      </c>
      <c r="N433" s="1" t="s">
        <v>26</v>
      </c>
      <c r="O433" s="1" t="s">
        <v>34</v>
      </c>
      <c r="P433" s="2">
        <v>1.2465277777777777E-2</v>
      </c>
      <c r="Q433" s="1" t="s">
        <v>421</v>
      </c>
      <c r="R433" s="1">
        <v>0</v>
      </c>
      <c r="S433" s="1" t="str">
        <f>""</f>
        <v/>
      </c>
      <c r="T433" s="1" t="s">
        <v>29</v>
      </c>
      <c r="U433" s="1" t="s">
        <v>30</v>
      </c>
      <c r="V433" s="1">
        <v>0</v>
      </c>
    </row>
    <row r="434" spans="2:22" x14ac:dyDescent="0.15">
      <c r="B434" s="1" t="str">
        <f>"189****0251"</f>
        <v>189****0251</v>
      </c>
      <c r="C434" s="1" t="s">
        <v>102</v>
      </c>
      <c r="D434" s="1" t="str">
        <f t="shared" si="50"/>
        <v>89177328</v>
      </c>
      <c r="E434" s="1" t="s">
        <v>24</v>
      </c>
      <c r="F434" s="1" t="str">
        <f t="shared" si="51"/>
        <v>0010</v>
      </c>
      <c r="G434" s="1" t="str">
        <f>""</f>
        <v/>
      </c>
      <c r="H434" s="1" t="str">
        <f>"0034"</f>
        <v>0034</v>
      </c>
      <c r="I434" s="1" t="s">
        <v>31</v>
      </c>
      <c r="J434" s="1" t="str">
        <f>"01043977568"</f>
        <v>01043977568</v>
      </c>
      <c r="K434" s="1" t="str">
        <f>"2017-04-10 18:59:01"</f>
        <v>2017-04-10 18:59:01</v>
      </c>
      <c r="L434" s="1" t="str">
        <f>"2017-04-10 18:59:16"</f>
        <v>2017-04-10 18:59:16</v>
      </c>
      <c r="M434" s="2">
        <v>1.324074074074074E-2</v>
      </c>
      <c r="N434" s="1" t="s">
        <v>26</v>
      </c>
      <c r="O434" s="1" t="s">
        <v>27</v>
      </c>
      <c r="P434" s="2">
        <v>1.3414351851851851E-2</v>
      </c>
      <c r="Q434" s="1" t="s">
        <v>422</v>
      </c>
      <c r="R434" s="1">
        <v>0</v>
      </c>
      <c r="S434" s="1" t="str">
        <f>""</f>
        <v/>
      </c>
      <c r="T434" s="1" t="s">
        <v>29</v>
      </c>
      <c r="U434" s="1" t="s">
        <v>30</v>
      </c>
      <c r="V434" s="1">
        <v>0</v>
      </c>
    </row>
    <row r="435" spans="2:22" x14ac:dyDescent="0.15">
      <c r="B435" s="1" t="str">
        <f>"010****7227"</f>
        <v>010****7227</v>
      </c>
      <c r="C435" s="1" t="s">
        <v>23</v>
      </c>
      <c r="D435" s="1" t="str">
        <f t="shared" si="50"/>
        <v>89177328</v>
      </c>
      <c r="E435" s="1" t="s">
        <v>24</v>
      </c>
      <c r="F435" s="1" t="str">
        <f t="shared" si="51"/>
        <v>0010</v>
      </c>
      <c r="G435" s="1" t="str">
        <f>""</f>
        <v/>
      </c>
      <c r="H435" s="1" t="str">
        <f>"0031"</f>
        <v>0031</v>
      </c>
      <c r="I435" s="1" t="s">
        <v>95</v>
      </c>
      <c r="J435" s="1" t="str">
        <f>"01043977565"</f>
        <v>01043977565</v>
      </c>
      <c r="K435" s="1" t="str">
        <f>"2017-04-10 18:55:45"</f>
        <v>2017-04-10 18:55:45</v>
      </c>
      <c r="L435" s="1" t="str">
        <f>"2017-04-10 18:55:57"</f>
        <v>2017-04-10 18:55:57</v>
      </c>
      <c r="M435" s="2">
        <v>2.9409722222222223E-2</v>
      </c>
      <c r="N435" s="1" t="s">
        <v>26</v>
      </c>
      <c r="O435" s="1" t="s">
        <v>27</v>
      </c>
      <c r="P435" s="2">
        <v>2.9548611111111109E-2</v>
      </c>
      <c r="Q435" s="1" t="s">
        <v>423</v>
      </c>
      <c r="R435" s="1">
        <v>0</v>
      </c>
      <c r="S435" s="1" t="str">
        <f>""</f>
        <v/>
      </c>
      <c r="T435" s="1" t="s">
        <v>29</v>
      </c>
      <c r="U435" s="1" t="s">
        <v>30</v>
      </c>
      <c r="V435" s="1">
        <v>0</v>
      </c>
    </row>
    <row r="436" spans="2:22" x14ac:dyDescent="0.15">
      <c r="B436" s="1" t="str">
        <f>"173****6680"</f>
        <v>173****6680</v>
      </c>
      <c r="C436" s="1" t="s">
        <v>23</v>
      </c>
      <c r="D436" s="1" t="str">
        <f t="shared" si="50"/>
        <v>89177328</v>
      </c>
      <c r="E436" s="1" t="s">
        <v>24</v>
      </c>
      <c r="F436" s="1" t="str">
        <f t="shared" si="51"/>
        <v>0010</v>
      </c>
      <c r="G436" s="1" t="str">
        <f>""</f>
        <v/>
      </c>
      <c r="H436" s="1" t="str">
        <f>"0034"</f>
        <v>0034</v>
      </c>
      <c r="I436" s="1" t="s">
        <v>31</v>
      </c>
      <c r="J436" s="1" t="str">
        <f>"01043977568"</f>
        <v>01043977568</v>
      </c>
      <c r="K436" s="1" t="str">
        <f>"2017-04-10 18:45:38"</f>
        <v>2017-04-10 18:45:38</v>
      </c>
      <c r="L436" s="1" t="str">
        <f>"2017-04-10 18:45:47"</f>
        <v>2017-04-10 18:45:47</v>
      </c>
      <c r="M436" s="2">
        <v>2.4652777777777776E-3</v>
      </c>
      <c r="N436" s="1" t="s">
        <v>26</v>
      </c>
      <c r="O436" s="1" t="s">
        <v>27</v>
      </c>
      <c r="P436" s="2">
        <v>2.5694444444444445E-3</v>
      </c>
      <c r="Q436" s="1" t="s">
        <v>424</v>
      </c>
      <c r="R436" s="1">
        <v>0</v>
      </c>
      <c r="S436" s="1" t="str">
        <f>""</f>
        <v/>
      </c>
      <c r="T436" s="1" t="s">
        <v>29</v>
      </c>
      <c r="U436" s="1" t="s">
        <v>30</v>
      </c>
      <c r="V436" s="1">
        <v>0</v>
      </c>
    </row>
    <row r="437" spans="2:22" x14ac:dyDescent="0.15">
      <c r="B437" s="1" t="str">
        <f>"136****4915"</f>
        <v>136****4915</v>
      </c>
      <c r="C437" s="1" t="s">
        <v>23</v>
      </c>
      <c r="D437" s="1" t="str">
        <f t="shared" si="50"/>
        <v>89177328</v>
      </c>
      <c r="E437" s="1" t="s">
        <v>24</v>
      </c>
      <c r="F437" s="1" t="str">
        <f t="shared" si="51"/>
        <v>0010</v>
      </c>
      <c r="G437" s="1" t="str">
        <f>""</f>
        <v/>
      </c>
      <c r="H437" s="1" t="str">
        <f>"0031"</f>
        <v>0031</v>
      </c>
      <c r="I437" s="1" t="s">
        <v>95</v>
      </c>
      <c r="J437" s="1" t="str">
        <f>"01043977565"</f>
        <v>01043977565</v>
      </c>
      <c r="K437" s="1" t="str">
        <f>"2017-04-10 18:15:01"</f>
        <v>2017-04-10 18:15:01</v>
      </c>
      <c r="L437" s="1" t="str">
        <f>"2017-04-10 18:15:07"</f>
        <v>2017-04-10 18:15:07</v>
      </c>
      <c r="M437" s="2">
        <v>5.0462962962962961E-3</v>
      </c>
      <c r="N437" s="1" t="s">
        <v>26</v>
      </c>
      <c r="O437" s="1" t="s">
        <v>34</v>
      </c>
      <c r="P437" s="2">
        <v>5.115740740740741E-3</v>
      </c>
      <c r="Q437" s="1" t="s">
        <v>425</v>
      </c>
      <c r="R437" s="1">
        <v>0</v>
      </c>
      <c r="S437" s="1" t="str">
        <f>""</f>
        <v/>
      </c>
      <c r="T437" s="1" t="s">
        <v>29</v>
      </c>
      <c r="U437" s="1" t="s">
        <v>30</v>
      </c>
      <c r="V437" s="1">
        <v>0</v>
      </c>
    </row>
    <row r="438" spans="2:22" x14ac:dyDescent="0.15">
      <c r="B438" s="1" t="str">
        <f>"133****9597"</f>
        <v>133****9597</v>
      </c>
      <c r="C438" s="1" t="s">
        <v>23</v>
      </c>
      <c r="D438" s="1" t="str">
        <f t="shared" si="50"/>
        <v>89177328</v>
      </c>
      <c r="E438" s="1" t="s">
        <v>24</v>
      </c>
      <c r="F438" s="1" t="str">
        <f t="shared" si="51"/>
        <v>0010</v>
      </c>
      <c r="G438" s="1" t="str">
        <f>""</f>
        <v/>
      </c>
      <c r="H438" s="1" t="str">
        <f>"0035"</f>
        <v>0035</v>
      </c>
      <c r="I438" s="1" t="s">
        <v>25</v>
      </c>
      <c r="J438" s="1" t="str">
        <f>"01043977569"</f>
        <v>01043977569</v>
      </c>
      <c r="K438" s="1" t="str">
        <f>"2017-04-10 17:43:38"</f>
        <v>2017-04-10 17:43:38</v>
      </c>
      <c r="L438" s="1" t="str">
        <f>"-"</f>
        <v>-</v>
      </c>
      <c r="M438" s="2">
        <v>0</v>
      </c>
      <c r="N438" s="1" t="s">
        <v>33</v>
      </c>
      <c r="O438" s="1" t="s">
        <v>34</v>
      </c>
      <c r="P438" s="2">
        <v>8.1018518518518516E-5</v>
      </c>
      <c r="Q438" s="1" t="str">
        <f>""</f>
        <v/>
      </c>
      <c r="R438" s="1">
        <v>0</v>
      </c>
      <c r="S438" s="1" t="str">
        <f>""</f>
        <v/>
      </c>
      <c r="T438" s="1" t="s">
        <v>29</v>
      </c>
      <c r="U438" s="1" t="s">
        <v>30</v>
      </c>
      <c r="V438" s="1">
        <v>0</v>
      </c>
    </row>
    <row r="439" spans="2:22" x14ac:dyDescent="0.15">
      <c r="B439" s="1" t="str">
        <f>"133****9597"</f>
        <v>133****9597</v>
      </c>
      <c r="C439" s="1" t="s">
        <v>23</v>
      </c>
      <c r="D439" s="1" t="str">
        <f t="shared" si="50"/>
        <v>89177328</v>
      </c>
      <c r="E439" s="1" t="s">
        <v>24</v>
      </c>
      <c r="F439" s="1" t="str">
        <f t="shared" si="51"/>
        <v>0010</v>
      </c>
      <c r="G439" s="1" t="str">
        <f>""</f>
        <v/>
      </c>
      <c r="H439" s="1" t="str">
        <f>"0017"</f>
        <v>0017</v>
      </c>
      <c r="I439" s="1" t="s">
        <v>135</v>
      </c>
      <c r="J439" s="1" t="str">
        <f>"01043989717"</f>
        <v>01043989717</v>
      </c>
      <c r="K439" s="1" t="str">
        <f>"2017-04-10 17:41:14"</f>
        <v>2017-04-10 17:41:14</v>
      </c>
      <c r="L439" s="1" t="str">
        <f>"-"</f>
        <v>-</v>
      </c>
      <c r="M439" s="2">
        <v>0</v>
      </c>
      <c r="N439" s="1" t="s">
        <v>33</v>
      </c>
      <c r="O439" s="1" t="s">
        <v>34</v>
      </c>
      <c r="P439" s="2">
        <v>5.7870370370370366E-5</v>
      </c>
      <c r="Q439" s="1" t="str">
        <f>""</f>
        <v/>
      </c>
      <c r="R439" s="1">
        <v>0</v>
      </c>
      <c r="S439" s="1" t="str">
        <f>""</f>
        <v/>
      </c>
      <c r="T439" s="1" t="s">
        <v>29</v>
      </c>
      <c r="U439" s="1" t="s">
        <v>30</v>
      </c>
      <c r="V439" s="1">
        <v>0</v>
      </c>
    </row>
    <row r="440" spans="2:22" x14ac:dyDescent="0.15">
      <c r="B440" s="1" t="str">
        <f>"157****4678"</f>
        <v>157****4678</v>
      </c>
      <c r="C440" s="1" t="s">
        <v>23</v>
      </c>
      <c r="D440" s="1" t="str">
        <f t="shared" si="50"/>
        <v>89177328</v>
      </c>
      <c r="E440" s="1" t="s">
        <v>24</v>
      </c>
      <c r="F440" s="1" t="str">
        <f t="shared" si="51"/>
        <v>0010</v>
      </c>
      <c r="G440" s="1" t="str">
        <f>""</f>
        <v/>
      </c>
      <c r="H440" s="1" t="str">
        <f>"0035"</f>
        <v>0035</v>
      </c>
      <c r="I440" s="1" t="s">
        <v>25</v>
      </c>
      <c r="J440" s="1" t="str">
        <f>"01043977569"</f>
        <v>01043977569</v>
      </c>
      <c r="K440" s="1" t="str">
        <f>"2017-04-10 17:38:24"</f>
        <v>2017-04-10 17:38:24</v>
      </c>
      <c r="L440" s="1" t="str">
        <f>"-"</f>
        <v>-</v>
      </c>
      <c r="M440" s="2">
        <v>0</v>
      </c>
      <c r="N440" s="1" t="s">
        <v>33</v>
      </c>
      <c r="O440" s="1" t="s">
        <v>34</v>
      </c>
      <c r="P440" s="2">
        <v>6.9444444444444444E-5</v>
      </c>
      <c r="Q440" s="1" t="str">
        <f>""</f>
        <v/>
      </c>
      <c r="R440" s="1">
        <v>0</v>
      </c>
      <c r="S440" s="1" t="str">
        <f>""</f>
        <v/>
      </c>
      <c r="T440" s="1" t="s">
        <v>29</v>
      </c>
      <c r="U440" s="1" t="s">
        <v>30</v>
      </c>
      <c r="V440" s="1">
        <v>0</v>
      </c>
    </row>
    <row r="441" spans="2:22" x14ac:dyDescent="0.15">
      <c r="B441" s="1" t="str">
        <f>"133****9597"</f>
        <v>133****9597</v>
      </c>
      <c r="C441" s="1" t="s">
        <v>23</v>
      </c>
      <c r="D441" s="1" t="str">
        <f t="shared" si="50"/>
        <v>89177328</v>
      </c>
      <c r="E441" s="1" t="s">
        <v>24</v>
      </c>
      <c r="F441" s="1" t="str">
        <f t="shared" si="51"/>
        <v>0010</v>
      </c>
      <c r="G441" s="1" t="str">
        <f>""</f>
        <v/>
      </c>
      <c r="H441" s="1" t="str">
        <f>"0017"</f>
        <v>0017</v>
      </c>
      <c r="I441" s="1" t="s">
        <v>135</v>
      </c>
      <c r="J441" s="1" t="str">
        <f>"01043989717"</f>
        <v>01043989717</v>
      </c>
      <c r="K441" s="1" t="str">
        <f>"2017-04-10 17:37:23"</f>
        <v>2017-04-10 17:37:23</v>
      </c>
      <c r="L441" s="1" t="str">
        <f>"-"</f>
        <v>-</v>
      </c>
      <c r="M441" s="2">
        <v>0</v>
      </c>
      <c r="N441" s="1" t="s">
        <v>33</v>
      </c>
      <c r="O441" s="1" t="s">
        <v>34</v>
      </c>
      <c r="P441" s="2">
        <v>5.7870370370370366E-5</v>
      </c>
      <c r="Q441" s="1" t="str">
        <f>""</f>
        <v/>
      </c>
      <c r="R441" s="1">
        <v>0</v>
      </c>
      <c r="S441" s="1" t="str">
        <f>""</f>
        <v/>
      </c>
      <c r="T441" s="1" t="s">
        <v>29</v>
      </c>
      <c r="U441" s="1" t="s">
        <v>30</v>
      </c>
      <c r="V441" s="1">
        <v>0</v>
      </c>
    </row>
    <row r="442" spans="2:22" x14ac:dyDescent="0.15">
      <c r="B442" s="1" t="str">
        <f>"188****7867"</f>
        <v>188****7867</v>
      </c>
      <c r="C442" s="1" t="s">
        <v>23</v>
      </c>
      <c r="D442" s="1" t="str">
        <f t="shared" si="50"/>
        <v>89177328</v>
      </c>
      <c r="E442" s="1" t="s">
        <v>24</v>
      </c>
      <c r="F442" s="1" t="str">
        <f t="shared" si="51"/>
        <v>0010</v>
      </c>
      <c r="G442" s="1" t="str">
        <f>""</f>
        <v/>
      </c>
      <c r="H442" s="1" t="str">
        <f>"0032"</f>
        <v>0032</v>
      </c>
      <c r="I442" s="1" t="s">
        <v>119</v>
      </c>
      <c r="J442" s="1" t="str">
        <f>"01043977566"</f>
        <v>01043977566</v>
      </c>
      <c r="K442" s="1" t="str">
        <f>"2017-04-10 17:36:56"</f>
        <v>2017-04-10 17:36:56</v>
      </c>
      <c r="L442" s="1" t="str">
        <f>"-"</f>
        <v>-</v>
      </c>
      <c r="M442" s="2">
        <v>0</v>
      </c>
      <c r="N442" s="1" t="s">
        <v>33</v>
      </c>
      <c r="O442" s="1" t="s">
        <v>34</v>
      </c>
      <c r="P442" s="2">
        <v>5.7870370370370366E-5</v>
      </c>
      <c r="Q442" s="1" t="str">
        <f>""</f>
        <v/>
      </c>
      <c r="R442" s="1">
        <v>0</v>
      </c>
      <c r="S442" s="1" t="str">
        <f>""</f>
        <v/>
      </c>
      <c r="T442" s="1" t="s">
        <v>29</v>
      </c>
      <c r="U442" s="1" t="s">
        <v>30</v>
      </c>
      <c r="V442" s="1">
        <v>0</v>
      </c>
    </row>
    <row r="443" spans="2:22" x14ac:dyDescent="0.15">
      <c r="B443" s="1" t="str">
        <f>"186****9088"</f>
        <v>186****9088</v>
      </c>
      <c r="C443" s="1" t="s">
        <v>23</v>
      </c>
      <c r="D443" s="1" t="str">
        <f t="shared" si="50"/>
        <v>89177328</v>
      </c>
      <c r="E443" s="1" t="s">
        <v>24</v>
      </c>
      <c r="F443" s="1" t="str">
        <f t="shared" si="51"/>
        <v>0010</v>
      </c>
      <c r="G443" s="1" t="str">
        <f>""</f>
        <v/>
      </c>
      <c r="H443" s="1" t="str">
        <f>"0018"</f>
        <v>0018</v>
      </c>
      <c r="I443" s="1" t="s">
        <v>36</v>
      </c>
      <c r="J443" s="1" t="str">
        <f>"01043977572"</f>
        <v>01043977572</v>
      </c>
      <c r="K443" s="1" t="str">
        <f>"2017-04-10 17:36:53"</f>
        <v>2017-04-10 17:36:53</v>
      </c>
      <c r="L443" s="1" t="str">
        <f>"2017-04-10 17:37:02"</f>
        <v>2017-04-10 17:37:02</v>
      </c>
      <c r="M443" s="2">
        <v>7.9745370370370369E-3</v>
      </c>
      <c r="N443" s="1" t="s">
        <v>26</v>
      </c>
      <c r="O443" s="1" t="s">
        <v>34</v>
      </c>
      <c r="P443" s="2">
        <v>8.0787037037037043E-3</v>
      </c>
      <c r="Q443" s="1" t="s">
        <v>426</v>
      </c>
      <c r="R443" s="1">
        <v>0</v>
      </c>
      <c r="S443" s="1" t="str">
        <f>""</f>
        <v/>
      </c>
      <c r="T443" s="1" t="s">
        <v>29</v>
      </c>
      <c r="U443" s="1" t="s">
        <v>30</v>
      </c>
      <c r="V443" s="1">
        <v>0</v>
      </c>
    </row>
    <row r="444" spans="2:22" x14ac:dyDescent="0.15">
      <c r="B444" s="1" t="str">
        <f>"157****4678"</f>
        <v>157****4678</v>
      </c>
      <c r="C444" s="1" t="s">
        <v>23</v>
      </c>
      <c r="D444" s="1" t="str">
        <f t="shared" si="50"/>
        <v>89177328</v>
      </c>
      <c r="E444" s="1" t="s">
        <v>24</v>
      </c>
      <c r="F444" s="1" t="str">
        <f t="shared" si="51"/>
        <v>0010</v>
      </c>
      <c r="G444" s="1" t="str">
        <f>""</f>
        <v/>
      </c>
      <c r="H444" s="1" t="str">
        <f>"0018"</f>
        <v>0018</v>
      </c>
      <c r="I444" s="1" t="s">
        <v>36</v>
      </c>
      <c r="J444" s="1" t="str">
        <f>"01043977572"</f>
        <v>01043977572</v>
      </c>
      <c r="K444" s="1" t="str">
        <f>"2017-04-10 17:34:42"</f>
        <v>2017-04-10 17:34:42</v>
      </c>
      <c r="L444" s="1" t="str">
        <f t="shared" ref="L444:L451" si="52">"-"</f>
        <v>-</v>
      </c>
      <c r="M444" s="2">
        <v>0</v>
      </c>
      <c r="N444" s="1" t="s">
        <v>33</v>
      </c>
      <c r="O444" s="1" t="s">
        <v>34</v>
      </c>
      <c r="P444" s="2">
        <v>9.2592592592592588E-5</v>
      </c>
      <c r="Q444" s="1" t="str">
        <f>""</f>
        <v/>
      </c>
      <c r="R444" s="1">
        <v>0</v>
      </c>
      <c r="S444" s="1" t="str">
        <f>""</f>
        <v/>
      </c>
      <c r="T444" s="1" t="s">
        <v>29</v>
      </c>
      <c r="U444" s="1" t="s">
        <v>30</v>
      </c>
      <c r="V444" s="1">
        <v>0</v>
      </c>
    </row>
    <row r="445" spans="2:22" x14ac:dyDescent="0.15">
      <c r="B445" s="1" t="str">
        <f>"188****7867"</f>
        <v>188****7867</v>
      </c>
      <c r="C445" s="1" t="s">
        <v>23</v>
      </c>
      <c r="D445" s="1" t="str">
        <f t="shared" si="50"/>
        <v>89177328</v>
      </c>
      <c r="E445" s="1" t="s">
        <v>24</v>
      </c>
      <c r="F445" s="1" t="str">
        <f t="shared" si="51"/>
        <v>0010</v>
      </c>
      <c r="G445" s="1" t="str">
        <f>""</f>
        <v/>
      </c>
      <c r="H445" s="1" t="str">
        <f>"0031"</f>
        <v>0031</v>
      </c>
      <c r="I445" s="1" t="s">
        <v>95</v>
      </c>
      <c r="J445" s="1" t="str">
        <f>"01043977565"</f>
        <v>01043977565</v>
      </c>
      <c r="K445" s="1" t="str">
        <f>"2017-04-10 17:33:51"</f>
        <v>2017-04-10 17:33:51</v>
      </c>
      <c r="L445" s="1" t="str">
        <f t="shared" si="52"/>
        <v>-</v>
      </c>
      <c r="M445" s="2">
        <v>0</v>
      </c>
      <c r="N445" s="1" t="s">
        <v>33</v>
      </c>
      <c r="O445" s="1" t="s">
        <v>34</v>
      </c>
      <c r="P445" s="2">
        <v>2.3148148148148147E-5</v>
      </c>
      <c r="Q445" s="1" t="str">
        <f>""</f>
        <v/>
      </c>
      <c r="R445" s="1">
        <v>0</v>
      </c>
      <c r="S445" s="1" t="str">
        <f>""</f>
        <v/>
      </c>
      <c r="T445" s="1" t="s">
        <v>29</v>
      </c>
      <c r="U445" s="1" t="s">
        <v>30</v>
      </c>
      <c r="V445" s="1">
        <v>0</v>
      </c>
    </row>
    <row r="446" spans="2:22" x14ac:dyDescent="0.15">
      <c r="B446" s="1" t="str">
        <f>"188****7867"</f>
        <v>188****7867</v>
      </c>
      <c r="C446" s="1" t="s">
        <v>23</v>
      </c>
      <c r="D446" s="1" t="str">
        <f t="shared" si="50"/>
        <v>89177328</v>
      </c>
      <c r="E446" s="1" t="s">
        <v>24</v>
      </c>
      <c r="F446" s="1" t="str">
        <f t="shared" si="51"/>
        <v>0010</v>
      </c>
      <c r="G446" s="1" t="str">
        <f>""</f>
        <v/>
      </c>
      <c r="H446" s="1" t="str">
        <f>"0034"</f>
        <v>0034</v>
      </c>
      <c r="I446" s="1" t="s">
        <v>31</v>
      </c>
      <c r="J446" s="1" t="str">
        <f>"01043977568"</f>
        <v>01043977568</v>
      </c>
      <c r="K446" s="1" t="str">
        <f>"2017-04-10 17:29:45"</f>
        <v>2017-04-10 17:29:45</v>
      </c>
      <c r="L446" s="1" t="str">
        <f t="shared" si="52"/>
        <v>-</v>
      </c>
      <c r="M446" s="2">
        <v>0</v>
      </c>
      <c r="N446" s="1" t="s">
        <v>33</v>
      </c>
      <c r="O446" s="1" t="s">
        <v>34</v>
      </c>
      <c r="P446" s="2">
        <v>1.1574074074074073E-5</v>
      </c>
      <c r="Q446" s="1" t="str">
        <f>""</f>
        <v/>
      </c>
      <c r="R446" s="1">
        <v>0</v>
      </c>
      <c r="S446" s="1" t="str">
        <f>""</f>
        <v/>
      </c>
      <c r="T446" s="1" t="s">
        <v>29</v>
      </c>
      <c r="U446" s="1" t="s">
        <v>30</v>
      </c>
      <c r="V446" s="1">
        <v>0</v>
      </c>
    </row>
    <row r="447" spans="2:22" x14ac:dyDescent="0.15">
      <c r="B447" s="1" t="str">
        <f>"157****4678"</f>
        <v>157****4678</v>
      </c>
      <c r="C447" s="1" t="s">
        <v>23</v>
      </c>
      <c r="D447" s="1" t="str">
        <f t="shared" si="50"/>
        <v>89177328</v>
      </c>
      <c r="E447" s="1" t="s">
        <v>24</v>
      </c>
      <c r="F447" s="1" t="str">
        <f t="shared" si="51"/>
        <v>0010</v>
      </c>
      <c r="G447" s="1" t="str">
        <f>""</f>
        <v/>
      </c>
      <c r="H447" s="1" t="str">
        <f>"0034"</f>
        <v>0034</v>
      </c>
      <c r="I447" s="1" t="s">
        <v>31</v>
      </c>
      <c r="J447" s="1" t="str">
        <f>"01043977568"</f>
        <v>01043977568</v>
      </c>
      <c r="K447" s="1" t="str">
        <f>"2017-04-10 17:28:36"</f>
        <v>2017-04-10 17:28:36</v>
      </c>
      <c r="L447" s="1" t="str">
        <f t="shared" si="52"/>
        <v>-</v>
      </c>
      <c r="M447" s="2">
        <v>0</v>
      </c>
      <c r="N447" s="1" t="s">
        <v>33</v>
      </c>
      <c r="O447" s="1" t="s">
        <v>34</v>
      </c>
      <c r="P447" s="2">
        <v>8.1018518518518516E-5</v>
      </c>
      <c r="Q447" s="1" t="str">
        <f>""</f>
        <v/>
      </c>
      <c r="R447" s="1">
        <v>0</v>
      </c>
      <c r="S447" s="1" t="str">
        <f>""</f>
        <v/>
      </c>
      <c r="T447" s="1" t="s">
        <v>29</v>
      </c>
      <c r="U447" s="1" t="s">
        <v>30</v>
      </c>
      <c r="V447" s="1">
        <v>0</v>
      </c>
    </row>
    <row r="448" spans="2:22" x14ac:dyDescent="0.15">
      <c r="B448" s="1" t="str">
        <f>"183****4280"</f>
        <v>183****4280</v>
      </c>
      <c r="C448" s="1" t="s">
        <v>23</v>
      </c>
      <c r="D448" s="1" t="str">
        <f t="shared" si="50"/>
        <v>89177328</v>
      </c>
      <c r="E448" s="1" t="s">
        <v>24</v>
      </c>
      <c r="F448" s="1" t="str">
        <f t="shared" si="51"/>
        <v>0010</v>
      </c>
      <c r="G448" s="1" t="str">
        <f>""</f>
        <v/>
      </c>
      <c r="H448" s="1" t="str">
        <f>"0034"</f>
        <v>0034</v>
      </c>
      <c r="I448" s="1" t="s">
        <v>31</v>
      </c>
      <c r="J448" s="1" t="str">
        <f>"01043977568"</f>
        <v>01043977568</v>
      </c>
      <c r="K448" s="1" t="str">
        <f>"2017-04-10 17:28:15"</f>
        <v>2017-04-10 17:28:15</v>
      </c>
      <c r="L448" s="1" t="str">
        <f t="shared" si="52"/>
        <v>-</v>
      </c>
      <c r="M448" s="2">
        <v>0</v>
      </c>
      <c r="N448" s="1" t="s">
        <v>33</v>
      </c>
      <c r="O448" s="1" t="s">
        <v>34</v>
      </c>
      <c r="P448" s="2">
        <v>5.7870370370370366E-5</v>
      </c>
      <c r="Q448" s="1" t="str">
        <f>""</f>
        <v/>
      </c>
      <c r="R448" s="1">
        <v>0</v>
      </c>
      <c r="S448" s="1" t="str">
        <f>""</f>
        <v/>
      </c>
      <c r="T448" s="1" t="s">
        <v>29</v>
      </c>
      <c r="U448" s="1" t="s">
        <v>30</v>
      </c>
      <c r="V448" s="1">
        <v>0</v>
      </c>
    </row>
    <row r="449" spans="2:22" x14ac:dyDescent="0.15">
      <c r="B449" s="1" t="str">
        <f>"177****0206"</f>
        <v>177****0206</v>
      </c>
      <c r="C449" s="1" t="s">
        <v>23</v>
      </c>
      <c r="D449" s="1" t="str">
        <f t="shared" si="50"/>
        <v>89177328</v>
      </c>
      <c r="E449" s="1" t="s">
        <v>24</v>
      </c>
      <c r="F449" s="1" t="str">
        <f t="shared" si="51"/>
        <v>0010</v>
      </c>
      <c r="G449" s="1" t="str">
        <f>""</f>
        <v/>
      </c>
      <c r="H449" s="1" t="str">
        <f>"0034"</f>
        <v>0034</v>
      </c>
      <c r="I449" s="1" t="s">
        <v>31</v>
      </c>
      <c r="J449" s="1" t="str">
        <f>"01043977568"</f>
        <v>01043977568</v>
      </c>
      <c r="K449" s="1" t="str">
        <f>"2017-04-10 17:27:51"</f>
        <v>2017-04-10 17:27:51</v>
      </c>
      <c r="L449" s="1" t="str">
        <f t="shared" si="52"/>
        <v>-</v>
      </c>
      <c r="M449" s="2">
        <v>0</v>
      </c>
      <c r="N449" s="1" t="s">
        <v>33</v>
      </c>
      <c r="O449" s="1" t="s">
        <v>34</v>
      </c>
      <c r="P449" s="2">
        <v>5.7870370370370366E-5</v>
      </c>
      <c r="Q449" s="1" t="str">
        <f>""</f>
        <v/>
      </c>
      <c r="R449" s="1">
        <v>0</v>
      </c>
      <c r="S449" s="1" t="str">
        <f>""</f>
        <v/>
      </c>
      <c r="T449" s="1" t="s">
        <v>29</v>
      </c>
      <c r="U449" s="1" t="s">
        <v>30</v>
      </c>
      <c r="V449" s="1">
        <v>0</v>
      </c>
    </row>
    <row r="450" spans="2:22" x14ac:dyDescent="0.15">
      <c r="B450" s="1" t="str">
        <f>"177****0206"</f>
        <v>177****0206</v>
      </c>
      <c r="C450" s="1" t="s">
        <v>23</v>
      </c>
      <c r="D450" s="1" t="str">
        <f t="shared" si="50"/>
        <v>89177328</v>
      </c>
      <c r="E450" s="1" t="s">
        <v>24</v>
      </c>
      <c r="F450" s="1" t="str">
        <f t="shared" si="51"/>
        <v>0010</v>
      </c>
      <c r="G450" s="1" t="str">
        <f>""</f>
        <v/>
      </c>
      <c r="H450" s="1" t="str">
        <f>"0034"</f>
        <v>0034</v>
      </c>
      <c r="I450" s="1" t="s">
        <v>31</v>
      </c>
      <c r="J450" s="1" t="str">
        <f>"01043977568"</f>
        <v>01043977568</v>
      </c>
      <c r="K450" s="1" t="str">
        <f>"2017-04-10 17:24:39"</f>
        <v>2017-04-10 17:24:39</v>
      </c>
      <c r="L450" s="1" t="str">
        <f t="shared" si="52"/>
        <v>-</v>
      </c>
      <c r="M450" s="2">
        <v>0</v>
      </c>
      <c r="N450" s="1" t="s">
        <v>33</v>
      </c>
      <c r="O450" s="1" t="s">
        <v>34</v>
      </c>
      <c r="P450" s="2">
        <v>8.1018518518518516E-5</v>
      </c>
      <c r="Q450" s="1" t="str">
        <f>""</f>
        <v/>
      </c>
      <c r="R450" s="1">
        <v>0</v>
      </c>
      <c r="S450" s="1" t="str">
        <f>""</f>
        <v/>
      </c>
      <c r="T450" s="1" t="s">
        <v>29</v>
      </c>
      <c r="U450" s="1" t="s">
        <v>30</v>
      </c>
      <c r="V450" s="1">
        <v>0</v>
      </c>
    </row>
    <row r="451" spans="2:22" x14ac:dyDescent="0.15">
      <c r="B451" s="1" t="str">
        <f>"183****4280"</f>
        <v>183****4280</v>
      </c>
      <c r="C451" s="1" t="s">
        <v>23</v>
      </c>
      <c r="D451" s="1" t="str">
        <f t="shared" si="50"/>
        <v>89177328</v>
      </c>
      <c r="E451" s="1" t="s">
        <v>24</v>
      </c>
      <c r="F451" s="1" t="str">
        <f t="shared" si="51"/>
        <v>0010</v>
      </c>
      <c r="G451" s="1" t="str">
        <f>""</f>
        <v/>
      </c>
      <c r="H451" s="1" t="str">
        <f>"0035"</f>
        <v>0035</v>
      </c>
      <c r="I451" s="1" t="s">
        <v>25</v>
      </c>
      <c r="J451" s="1" t="str">
        <f>"01043977569"</f>
        <v>01043977569</v>
      </c>
      <c r="K451" s="1" t="str">
        <f>"2017-04-10 17:24:12"</f>
        <v>2017-04-10 17:24:12</v>
      </c>
      <c r="L451" s="1" t="str">
        <f t="shared" si="52"/>
        <v>-</v>
      </c>
      <c r="M451" s="2">
        <v>0</v>
      </c>
      <c r="N451" s="1" t="s">
        <v>33</v>
      </c>
      <c r="O451" s="1" t="s">
        <v>34</v>
      </c>
      <c r="P451" s="2">
        <v>6.9444444444444444E-5</v>
      </c>
      <c r="Q451" s="1" t="str">
        <f>""</f>
        <v/>
      </c>
      <c r="R451" s="1">
        <v>0</v>
      </c>
      <c r="S451" s="1" t="str">
        <f>""</f>
        <v/>
      </c>
      <c r="T451" s="1" t="s">
        <v>29</v>
      </c>
      <c r="U451" s="1" t="s">
        <v>30</v>
      </c>
      <c r="V451" s="1">
        <v>0</v>
      </c>
    </row>
    <row r="452" spans="2:22" x14ac:dyDescent="0.15">
      <c r="B452" s="1" t="str">
        <f>"010****5899"</f>
        <v>010****5899</v>
      </c>
      <c r="C452" s="1" t="s">
        <v>23</v>
      </c>
      <c r="D452" s="1" t="str">
        <f t="shared" si="50"/>
        <v>89177328</v>
      </c>
      <c r="E452" s="1" t="s">
        <v>24</v>
      </c>
      <c r="F452" s="1" t="str">
        <f t="shared" si="51"/>
        <v>0010</v>
      </c>
      <c r="G452" s="1" t="str">
        <f>""</f>
        <v/>
      </c>
      <c r="H452" s="1" t="str">
        <f>"0031"</f>
        <v>0031</v>
      </c>
      <c r="I452" s="1" t="s">
        <v>95</v>
      </c>
      <c r="J452" s="1" t="str">
        <f>"01043977565"</f>
        <v>01043977565</v>
      </c>
      <c r="K452" s="1" t="str">
        <f>"2017-04-10 17:24:12"</f>
        <v>2017-04-10 17:24:12</v>
      </c>
      <c r="L452" s="1" t="str">
        <f>"2017-04-10 17:24:21"</f>
        <v>2017-04-10 17:24:21</v>
      </c>
      <c r="M452" s="2">
        <v>6.3773148148148148E-3</v>
      </c>
      <c r="N452" s="1" t="s">
        <v>26</v>
      </c>
      <c r="O452" s="1" t="s">
        <v>27</v>
      </c>
      <c r="P452" s="2">
        <v>6.4814814814814813E-3</v>
      </c>
      <c r="Q452" s="1" t="s">
        <v>427</v>
      </c>
      <c r="R452" s="1">
        <v>0</v>
      </c>
      <c r="S452" s="1" t="str">
        <f>""</f>
        <v/>
      </c>
      <c r="T452" s="1" t="s">
        <v>29</v>
      </c>
      <c r="U452" s="1" t="s">
        <v>30</v>
      </c>
      <c r="V452" s="1">
        <v>0</v>
      </c>
    </row>
    <row r="453" spans="2:22" x14ac:dyDescent="0.15">
      <c r="B453" s="1" t="str">
        <f>"186****0825"</f>
        <v>186****0825</v>
      </c>
      <c r="C453" s="1" t="s">
        <v>23</v>
      </c>
      <c r="D453" s="1" t="str">
        <f t="shared" si="50"/>
        <v>89177328</v>
      </c>
      <c r="E453" s="1" t="s">
        <v>24</v>
      </c>
      <c r="F453" s="1" t="str">
        <f t="shared" si="51"/>
        <v>0010</v>
      </c>
      <c r="G453" s="1" t="str">
        <f>""</f>
        <v/>
      </c>
      <c r="H453" s="1" t="str">
        <f>"0032"</f>
        <v>0032</v>
      </c>
      <c r="I453" s="1" t="s">
        <v>119</v>
      </c>
      <c r="J453" s="1" t="str">
        <f>"01043977566"</f>
        <v>01043977566</v>
      </c>
      <c r="K453" s="1" t="str">
        <f>"2017-04-10 17:23:32"</f>
        <v>2017-04-10 17:23:32</v>
      </c>
      <c r="L453" s="1" t="str">
        <f>"2017-04-10 17:23:42"</f>
        <v>2017-04-10 17:23:42</v>
      </c>
      <c r="M453" s="2">
        <v>3.2407407407407406E-4</v>
      </c>
      <c r="N453" s="1" t="s">
        <v>26</v>
      </c>
      <c r="O453" s="1" t="s">
        <v>27</v>
      </c>
      <c r="P453" s="2">
        <v>4.3981481481481481E-4</v>
      </c>
      <c r="Q453" s="1" t="s">
        <v>428</v>
      </c>
      <c r="R453" s="1">
        <v>0</v>
      </c>
      <c r="S453" s="1" t="str">
        <f>""</f>
        <v/>
      </c>
      <c r="T453" s="1" t="s">
        <v>29</v>
      </c>
      <c r="U453" s="1" t="s">
        <v>30</v>
      </c>
      <c r="V453" s="1">
        <v>0</v>
      </c>
    </row>
    <row r="454" spans="2:22" x14ac:dyDescent="0.15">
      <c r="B454" s="1" t="str">
        <f>"186****0604"</f>
        <v>186****0604</v>
      </c>
      <c r="C454" s="1" t="s">
        <v>23</v>
      </c>
      <c r="D454" s="1" t="str">
        <f t="shared" si="50"/>
        <v>89177328</v>
      </c>
      <c r="E454" s="1" t="s">
        <v>24</v>
      </c>
      <c r="F454" s="1" t="str">
        <f t="shared" si="51"/>
        <v>0010</v>
      </c>
      <c r="G454" s="1" t="str">
        <f>""</f>
        <v/>
      </c>
      <c r="H454" s="1" t="str">
        <f>"0017"</f>
        <v>0017</v>
      </c>
      <c r="I454" s="1" t="s">
        <v>135</v>
      </c>
      <c r="J454" s="1" t="str">
        <f>"01043989717"</f>
        <v>01043989717</v>
      </c>
      <c r="K454" s="1" t="str">
        <f>"2017-04-10 17:19:49"</f>
        <v>2017-04-10 17:19:49</v>
      </c>
      <c r="L454" s="1" t="str">
        <f>"-"</f>
        <v>-</v>
      </c>
      <c r="M454" s="2">
        <v>0</v>
      </c>
      <c r="N454" s="1" t="s">
        <v>33</v>
      </c>
      <c r="O454" s="1" t="s">
        <v>34</v>
      </c>
      <c r="P454" s="2">
        <v>9.2592592592592588E-5</v>
      </c>
      <c r="Q454" s="1" t="str">
        <f>""</f>
        <v/>
      </c>
      <c r="R454" s="1">
        <v>0</v>
      </c>
      <c r="S454" s="1" t="str">
        <f>""</f>
        <v/>
      </c>
      <c r="T454" s="1" t="s">
        <v>29</v>
      </c>
      <c r="U454" s="1" t="s">
        <v>30</v>
      </c>
      <c r="V454" s="1">
        <v>0</v>
      </c>
    </row>
    <row r="455" spans="2:22" x14ac:dyDescent="0.15">
      <c r="B455" s="1" t="str">
        <f>"130****5656"</f>
        <v>130****5656</v>
      </c>
      <c r="C455" s="1" t="s">
        <v>112</v>
      </c>
      <c r="D455" s="1" t="str">
        <f t="shared" si="50"/>
        <v>89177328</v>
      </c>
      <c r="E455" s="1" t="s">
        <v>24</v>
      </c>
      <c r="F455" s="1" t="str">
        <f t="shared" si="51"/>
        <v>0010</v>
      </c>
      <c r="G455" s="1" t="str">
        <f>""</f>
        <v/>
      </c>
      <c r="H455" s="1" t="str">
        <f>"0018"</f>
        <v>0018</v>
      </c>
      <c r="I455" s="1" t="s">
        <v>36</v>
      </c>
      <c r="J455" s="1" t="str">
        <f>"01043977572"</f>
        <v>01043977572</v>
      </c>
      <c r="K455" s="1" t="str">
        <f>"2017-04-10 17:19:20"</f>
        <v>2017-04-10 17:19:20</v>
      </c>
      <c r="L455" s="1" t="str">
        <f>"-"</f>
        <v>-</v>
      </c>
      <c r="M455" s="2">
        <v>0</v>
      </c>
      <c r="N455" s="1" t="s">
        <v>33</v>
      </c>
      <c r="O455" s="1" t="s">
        <v>34</v>
      </c>
      <c r="P455" s="2">
        <v>4.6296296296296294E-5</v>
      </c>
      <c r="Q455" s="1" t="str">
        <f>""</f>
        <v/>
      </c>
      <c r="R455" s="1">
        <v>0</v>
      </c>
      <c r="S455" s="1" t="str">
        <f>""</f>
        <v/>
      </c>
      <c r="T455" s="1" t="s">
        <v>29</v>
      </c>
      <c r="U455" s="1" t="s">
        <v>30</v>
      </c>
      <c r="V455" s="1">
        <v>0</v>
      </c>
    </row>
    <row r="456" spans="2:22" x14ac:dyDescent="0.15">
      <c r="B456" s="1" t="str">
        <f>"130****5656"</f>
        <v>130****5656</v>
      </c>
      <c r="C456" s="1" t="s">
        <v>112</v>
      </c>
      <c r="D456" s="1" t="str">
        <f t="shared" si="50"/>
        <v>89177328</v>
      </c>
      <c r="E456" s="1" t="s">
        <v>24</v>
      </c>
      <c r="F456" s="1" t="str">
        <f t="shared" si="51"/>
        <v>0010</v>
      </c>
      <c r="G456" s="1" t="str">
        <f>""</f>
        <v/>
      </c>
      <c r="H456" s="1" t="str">
        <f>"0018"</f>
        <v>0018</v>
      </c>
      <c r="I456" s="1" t="s">
        <v>36</v>
      </c>
      <c r="J456" s="1" t="str">
        <f>"01043977572"</f>
        <v>01043977572</v>
      </c>
      <c r="K456" s="1" t="str">
        <f>"2017-04-10 17:15:48"</f>
        <v>2017-04-10 17:15:48</v>
      </c>
      <c r="L456" s="1" t="str">
        <f>"-"</f>
        <v>-</v>
      </c>
      <c r="M456" s="2">
        <v>0</v>
      </c>
      <c r="N456" s="1" t="s">
        <v>33</v>
      </c>
      <c r="O456" s="1" t="s">
        <v>34</v>
      </c>
      <c r="P456" s="2">
        <v>8.1018518518518516E-5</v>
      </c>
      <c r="Q456" s="1" t="str">
        <f>""</f>
        <v/>
      </c>
      <c r="R456" s="1">
        <v>0</v>
      </c>
      <c r="S456" s="1" t="str">
        <f>""</f>
        <v/>
      </c>
      <c r="T456" s="1" t="s">
        <v>29</v>
      </c>
      <c r="U456" s="1" t="s">
        <v>30</v>
      </c>
      <c r="V456" s="1">
        <v>0</v>
      </c>
    </row>
    <row r="457" spans="2:22" x14ac:dyDescent="0.15">
      <c r="B457" s="1" t="str">
        <f>"130****5656"</f>
        <v>130****5656</v>
      </c>
      <c r="C457" s="1" t="s">
        <v>112</v>
      </c>
      <c r="D457" s="1" t="str">
        <f t="shared" si="50"/>
        <v>89177328</v>
      </c>
      <c r="E457" s="1" t="s">
        <v>24</v>
      </c>
      <c r="F457" s="1" t="str">
        <f t="shared" si="51"/>
        <v>0010</v>
      </c>
      <c r="G457" s="1" t="str">
        <f>""</f>
        <v/>
      </c>
      <c r="H457" s="1" t="str">
        <f>"0018"</f>
        <v>0018</v>
      </c>
      <c r="I457" s="1" t="s">
        <v>36</v>
      </c>
      <c r="J457" s="1" t="str">
        <f>"01043977572"</f>
        <v>01043977572</v>
      </c>
      <c r="K457" s="1" t="str">
        <f>"2017-04-10 17:13:03"</f>
        <v>2017-04-10 17:13:03</v>
      </c>
      <c r="L457" s="1" t="str">
        <f>"-"</f>
        <v>-</v>
      </c>
      <c r="M457" s="2">
        <v>0</v>
      </c>
      <c r="N457" s="1" t="s">
        <v>33</v>
      </c>
      <c r="O457" s="1" t="s">
        <v>34</v>
      </c>
      <c r="P457" s="2">
        <v>5.7870370370370366E-5</v>
      </c>
      <c r="Q457" s="1" t="str">
        <f>""</f>
        <v/>
      </c>
      <c r="R457" s="1">
        <v>0</v>
      </c>
      <c r="S457" s="1" t="str">
        <f>""</f>
        <v/>
      </c>
      <c r="T457" s="1" t="s">
        <v>29</v>
      </c>
      <c r="U457" s="1" t="s">
        <v>30</v>
      </c>
      <c r="V457" s="1">
        <v>0</v>
      </c>
    </row>
    <row r="458" spans="2:22" x14ac:dyDescent="0.15">
      <c r="B458" s="1" t="str">
        <f>"0316013810215586"</f>
        <v>0316013810215586</v>
      </c>
      <c r="C458" s="1" t="s">
        <v>51</v>
      </c>
      <c r="D458" s="1" t="str">
        <f t="shared" si="50"/>
        <v>89177328</v>
      </c>
      <c r="E458" s="1" t="s">
        <v>24</v>
      </c>
      <c r="F458" s="1" t="str">
        <f t="shared" si="51"/>
        <v>0010</v>
      </c>
      <c r="G458" s="1" t="str">
        <f>""</f>
        <v/>
      </c>
      <c r="H458" s="1" t="str">
        <f>"0017"</f>
        <v>0017</v>
      </c>
      <c r="I458" s="1" t="s">
        <v>135</v>
      </c>
      <c r="J458" s="1" t="str">
        <f>"01043989717"</f>
        <v>01043989717</v>
      </c>
      <c r="K458" s="1" t="str">
        <f>"2017-04-10 17:05:06"</f>
        <v>2017-04-10 17:05:06</v>
      </c>
      <c r="L458" s="1" t="str">
        <f>"2017-04-10 17:05:14"</f>
        <v>2017-04-10 17:05:14</v>
      </c>
      <c r="M458" s="2">
        <v>3.2754629629629631E-3</v>
      </c>
      <c r="N458" s="1" t="s">
        <v>26</v>
      </c>
      <c r="O458" s="1" t="s">
        <v>27</v>
      </c>
      <c r="P458" s="2">
        <v>3.3680555555555551E-3</v>
      </c>
      <c r="Q458" s="1" t="s">
        <v>429</v>
      </c>
      <c r="R458" s="1">
        <v>0</v>
      </c>
      <c r="S458" s="1" t="str">
        <f>""</f>
        <v/>
      </c>
      <c r="T458" s="1" t="s">
        <v>29</v>
      </c>
      <c r="U458" s="1" t="s">
        <v>30</v>
      </c>
      <c r="V458" s="1">
        <v>0</v>
      </c>
    </row>
    <row r="459" spans="2:22" x14ac:dyDescent="0.15">
      <c r="B459" s="1" t="str">
        <f>"010****9783"</f>
        <v>010****9783</v>
      </c>
      <c r="C459" s="1" t="s">
        <v>23</v>
      </c>
      <c r="D459" s="1" t="str">
        <f>"4000108333"</f>
        <v>4000108333</v>
      </c>
      <c r="E459" s="1" t="s">
        <v>53</v>
      </c>
      <c r="F459" s="1" t="str">
        <f>"0000"</f>
        <v>0000</v>
      </c>
      <c r="G459" s="1" t="str">
        <f>""</f>
        <v/>
      </c>
      <c r="H459" s="1" t="str">
        <f>"1010"</f>
        <v>1010</v>
      </c>
      <c r="I459" s="1" t="s">
        <v>148</v>
      </c>
      <c r="J459" s="1" t="str">
        <f>"13718091869"</f>
        <v>13718091869</v>
      </c>
      <c r="K459" s="1" t="str">
        <f>"2017-04-10 16:39:27"</f>
        <v>2017-04-10 16:39:27</v>
      </c>
      <c r="L459" s="1" t="str">
        <f>"2017-04-10 16:40:00"</f>
        <v>2017-04-10 16:40:00</v>
      </c>
      <c r="M459" s="2">
        <v>2.8275462962962964E-2</v>
      </c>
      <c r="N459" s="1" t="s">
        <v>26</v>
      </c>
      <c r="O459" s="1" t="s">
        <v>27</v>
      </c>
      <c r="P459" s="2">
        <v>2.8657407407407406E-2</v>
      </c>
      <c r="Q459" s="1" t="s">
        <v>430</v>
      </c>
      <c r="R459" s="1">
        <v>5.04</v>
      </c>
      <c r="S459" s="1" t="str">
        <f>""</f>
        <v/>
      </c>
      <c r="T459" s="1" t="s">
        <v>29</v>
      </c>
      <c r="U459" s="1" t="s">
        <v>30</v>
      </c>
      <c r="V459" s="1">
        <v>0</v>
      </c>
    </row>
    <row r="460" spans="2:22" x14ac:dyDescent="0.15">
      <c r="B460" s="1" t="str">
        <f>"159****4612"</f>
        <v>159****4612</v>
      </c>
      <c r="C460" s="1" t="s">
        <v>23</v>
      </c>
      <c r="D460" s="1" t="str">
        <f t="shared" ref="D460:D476" si="53">"89177328"</f>
        <v>89177328</v>
      </c>
      <c r="E460" s="1" t="s">
        <v>24</v>
      </c>
      <c r="F460" s="1" t="str">
        <f t="shared" ref="F460:F476" si="54">"0010"</f>
        <v>0010</v>
      </c>
      <c r="G460" s="1" t="str">
        <f>""</f>
        <v/>
      </c>
      <c r="H460" s="1" t="str">
        <f>"0032"</f>
        <v>0032</v>
      </c>
      <c r="I460" s="1" t="s">
        <v>119</v>
      </c>
      <c r="J460" s="1" t="str">
        <f>"01043977566"</f>
        <v>01043977566</v>
      </c>
      <c r="K460" s="1" t="str">
        <f>"2017-04-10 16:25:26"</f>
        <v>2017-04-10 16:25:26</v>
      </c>
      <c r="L460" s="1" t="str">
        <f>"2017-04-10 16:25:37"</f>
        <v>2017-04-10 16:25:37</v>
      </c>
      <c r="M460" s="2">
        <v>1.5972222222222221E-3</v>
      </c>
      <c r="N460" s="1" t="s">
        <v>26</v>
      </c>
      <c r="O460" s="1" t="s">
        <v>27</v>
      </c>
      <c r="P460" s="2">
        <v>1.7245370370370372E-3</v>
      </c>
      <c r="Q460" s="1" t="s">
        <v>431</v>
      </c>
      <c r="R460" s="1">
        <v>0</v>
      </c>
      <c r="S460" s="1" t="str">
        <f>""</f>
        <v/>
      </c>
      <c r="T460" s="1" t="s">
        <v>29</v>
      </c>
      <c r="U460" s="1" t="s">
        <v>30</v>
      </c>
      <c r="V460" s="1">
        <v>0</v>
      </c>
    </row>
    <row r="461" spans="2:22" x14ac:dyDescent="0.15">
      <c r="B461" s="1" t="str">
        <f>"186****0333"</f>
        <v>186****0333</v>
      </c>
      <c r="C461" s="1" t="s">
        <v>81</v>
      </c>
      <c r="D461" s="1" t="str">
        <f t="shared" si="53"/>
        <v>89177328</v>
      </c>
      <c r="E461" s="1" t="s">
        <v>24</v>
      </c>
      <c r="F461" s="1" t="str">
        <f t="shared" si="54"/>
        <v>0010</v>
      </c>
      <c r="G461" s="1" t="str">
        <f>""</f>
        <v/>
      </c>
      <c r="H461" s="1" t="str">
        <f>"0032"</f>
        <v>0032</v>
      </c>
      <c r="I461" s="1" t="s">
        <v>119</v>
      </c>
      <c r="J461" s="1" t="str">
        <f>"01043977566"</f>
        <v>01043977566</v>
      </c>
      <c r="K461" s="1" t="str">
        <f>"2017-04-10 16:21:37"</f>
        <v>2017-04-10 16:21:37</v>
      </c>
      <c r="L461" s="1" t="str">
        <f>"2017-04-10 16:21:53"</f>
        <v>2017-04-10 16:21:53</v>
      </c>
      <c r="M461" s="2">
        <v>1.9560185185185184E-3</v>
      </c>
      <c r="N461" s="1" t="s">
        <v>26</v>
      </c>
      <c r="O461" s="1" t="s">
        <v>34</v>
      </c>
      <c r="P461" s="2">
        <v>2.1412037037037038E-3</v>
      </c>
      <c r="Q461" s="1" t="s">
        <v>432</v>
      </c>
      <c r="R461" s="1">
        <v>0</v>
      </c>
      <c r="S461" s="1" t="str">
        <f>""</f>
        <v/>
      </c>
      <c r="T461" s="1" t="s">
        <v>29</v>
      </c>
      <c r="U461" s="1" t="s">
        <v>30</v>
      </c>
      <c r="V461" s="1">
        <v>0</v>
      </c>
    </row>
    <row r="462" spans="2:22" x14ac:dyDescent="0.15">
      <c r="B462" s="1" t="str">
        <f>"136****6067"</f>
        <v>136****6067</v>
      </c>
      <c r="C462" s="1" t="s">
        <v>23</v>
      </c>
      <c r="D462" s="1" t="str">
        <f t="shared" si="53"/>
        <v>89177328</v>
      </c>
      <c r="E462" s="1" t="s">
        <v>24</v>
      </c>
      <c r="F462" s="1" t="str">
        <f t="shared" si="54"/>
        <v>0010</v>
      </c>
      <c r="G462" s="1" t="str">
        <f>""</f>
        <v/>
      </c>
      <c r="H462" s="1" t="str">
        <f>"0036"</f>
        <v>0036</v>
      </c>
      <c r="I462" s="1" t="s">
        <v>143</v>
      </c>
      <c r="J462" s="1" t="str">
        <f>"01043977573"</f>
        <v>01043977573</v>
      </c>
      <c r="K462" s="1" t="str">
        <f>"2017-04-10 16:18:25"</f>
        <v>2017-04-10 16:18:25</v>
      </c>
      <c r="L462" s="1" t="str">
        <f>"2017-04-10 16:18:32"</f>
        <v>2017-04-10 16:18:32</v>
      </c>
      <c r="M462" s="2">
        <v>5.2199074074074066E-3</v>
      </c>
      <c r="N462" s="1" t="s">
        <v>26</v>
      </c>
      <c r="O462" s="1" t="s">
        <v>34</v>
      </c>
      <c r="P462" s="2">
        <v>5.3009259259259251E-3</v>
      </c>
      <c r="Q462" s="1" t="s">
        <v>433</v>
      </c>
      <c r="R462" s="1">
        <v>0</v>
      </c>
      <c r="S462" s="1" t="str">
        <f>""</f>
        <v/>
      </c>
      <c r="T462" s="1" t="s">
        <v>29</v>
      </c>
      <c r="U462" s="1" t="s">
        <v>30</v>
      </c>
      <c r="V462" s="1">
        <v>0</v>
      </c>
    </row>
    <row r="463" spans="2:22" x14ac:dyDescent="0.15">
      <c r="B463" s="1" t="str">
        <f>"189****8258"</f>
        <v>189****8258</v>
      </c>
      <c r="C463" s="1" t="s">
        <v>102</v>
      </c>
      <c r="D463" s="1" t="str">
        <f t="shared" si="53"/>
        <v>89177328</v>
      </c>
      <c r="E463" s="1" t="s">
        <v>24</v>
      </c>
      <c r="F463" s="1" t="str">
        <f t="shared" si="54"/>
        <v>0010</v>
      </c>
      <c r="G463" s="1" t="str">
        <f>""</f>
        <v/>
      </c>
      <c r="H463" s="1" t="str">
        <f>"0034"</f>
        <v>0034</v>
      </c>
      <c r="I463" s="1" t="s">
        <v>31</v>
      </c>
      <c r="J463" s="1" t="str">
        <f>"01043977568"</f>
        <v>01043977568</v>
      </c>
      <c r="K463" s="1" t="str">
        <f>"2017-04-10 16:03:50"</f>
        <v>2017-04-10 16:03:50</v>
      </c>
      <c r="L463" s="1" t="str">
        <f>"2017-04-10 16:04:01"</f>
        <v>2017-04-10 16:04:01</v>
      </c>
      <c r="M463" s="2">
        <v>2.5486111111111112E-2</v>
      </c>
      <c r="N463" s="1" t="s">
        <v>26</v>
      </c>
      <c r="O463" s="1" t="s">
        <v>27</v>
      </c>
      <c r="P463" s="2">
        <v>2.5613425925925925E-2</v>
      </c>
      <c r="Q463" s="1" t="s">
        <v>434</v>
      </c>
      <c r="R463" s="1">
        <v>0</v>
      </c>
      <c r="S463" s="1" t="str">
        <f>""</f>
        <v/>
      </c>
      <c r="T463" s="1" t="s">
        <v>29</v>
      </c>
      <c r="U463" s="1" t="s">
        <v>30</v>
      </c>
      <c r="V463" s="1">
        <v>0</v>
      </c>
    </row>
    <row r="464" spans="2:22" x14ac:dyDescent="0.15">
      <c r="B464" s="1" t="str">
        <f>"139****1749"</f>
        <v>139****1749</v>
      </c>
      <c r="C464" s="1" t="s">
        <v>23</v>
      </c>
      <c r="D464" s="1" t="str">
        <f t="shared" si="53"/>
        <v>89177328</v>
      </c>
      <c r="E464" s="1" t="s">
        <v>24</v>
      </c>
      <c r="F464" s="1" t="str">
        <f t="shared" si="54"/>
        <v>0010</v>
      </c>
      <c r="G464" s="1" t="str">
        <f>""</f>
        <v/>
      </c>
      <c r="H464" s="1" t="str">
        <f>"0032"</f>
        <v>0032</v>
      </c>
      <c r="I464" s="1" t="s">
        <v>119</v>
      </c>
      <c r="J464" s="1" t="str">
        <f>"01043977566"</f>
        <v>01043977566</v>
      </c>
      <c r="K464" s="1" t="str">
        <f>"2017-04-10 15:53:38"</f>
        <v>2017-04-10 15:53:38</v>
      </c>
      <c r="L464" s="1" t="str">
        <f>"2017-04-10 15:53:53"</f>
        <v>2017-04-10 15:53:53</v>
      </c>
      <c r="M464" s="2">
        <v>6.5509259259259262E-3</v>
      </c>
      <c r="N464" s="1" t="s">
        <v>26</v>
      </c>
      <c r="O464" s="1" t="s">
        <v>34</v>
      </c>
      <c r="P464" s="2">
        <v>6.7245370370370367E-3</v>
      </c>
      <c r="Q464" s="1" t="s">
        <v>435</v>
      </c>
      <c r="R464" s="1">
        <v>0</v>
      </c>
      <c r="S464" s="1" t="str">
        <f>""</f>
        <v/>
      </c>
      <c r="T464" s="1" t="s">
        <v>29</v>
      </c>
      <c r="U464" s="1" t="s">
        <v>30</v>
      </c>
      <c r="V464" s="1">
        <v>0</v>
      </c>
    </row>
    <row r="465" spans="2:22" x14ac:dyDescent="0.15">
      <c r="B465" s="1" t="str">
        <f>"182****0076"</f>
        <v>182****0076</v>
      </c>
      <c r="C465" s="1" t="s">
        <v>23</v>
      </c>
      <c r="D465" s="1" t="str">
        <f t="shared" si="53"/>
        <v>89177328</v>
      </c>
      <c r="E465" s="1" t="s">
        <v>24</v>
      </c>
      <c r="F465" s="1" t="str">
        <f t="shared" si="54"/>
        <v>0010</v>
      </c>
      <c r="G465" s="1" t="str">
        <f>""</f>
        <v/>
      </c>
      <c r="H465" s="1" t="str">
        <f>"0018"</f>
        <v>0018</v>
      </c>
      <c r="I465" s="1" t="s">
        <v>36</v>
      </c>
      <c r="J465" s="1" t="str">
        <f>"01043977572"</f>
        <v>01043977572</v>
      </c>
      <c r="K465" s="1" t="str">
        <f>"2017-04-10 15:44:56"</f>
        <v>2017-04-10 15:44:56</v>
      </c>
      <c r="L465" s="1" t="str">
        <f>"2017-04-10 15:45:06"</f>
        <v>2017-04-10 15:45:06</v>
      </c>
      <c r="M465" s="2">
        <v>7.4421296296296293E-3</v>
      </c>
      <c r="N465" s="1" t="s">
        <v>26</v>
      </c>
      <c r="O465" s="1" t="s">
        <v>34</v>
      </c>
      <c r="P465" s="2">
        <v>7.5578703703703702E-3</v>
      </c>
      <c r="Q465" s="1" t="s">
        <v>436</v>
      </c>
      <c r="R465" s="1">
        <v>0</v>
      </c>
      <c r="S465" s="1" t="str">
        <f>""</f>
        <v/>
      </c>
      <c r="T465" s="1" t="s">
        <v>29</v>
      </c>
      <c r="U465" s="1" t="s">
        <v>30</v>
      </c>
      <c r="V465" s="1">
        <v>0</v>
      </c>
    </row>
    <row r="466" spans="2:22" x14ac:dyDescent="0.15">
      <c r="B466" s="1" t="str">
        <f>"159****3523"</f>
        <v>159****3523</v>
      </c>
      <c r="C466" s="1" t="s">
        <v>23</v>
      </c>
      <c r="D466" s="1" t="str">
        <f t="shared" si="53"/>
        <v>89177328</v>
      </c>
      <c r="E466" s="1" t="s">
        <v>24</v>
      </c>
      <c r="F466" s="1" t="str">
        <f t="shared" si="54"/>
        <v>0010</v>
      </c>
      <c r="G466" s="1" t="str">
        <f>""</f>
        <v/>
      </c>
      <c r="H466" s="1" t="str">
        <f>"0036"</f>
        <v>0036</v>
      </c>
      <c r="I466" s="1" t="s">
        <v>143</v>
      </c>
      <c r="J466" s="1" t="str">
        <f>"01043977573"</f>
        <v>01043977573</v>
      </c>
      <c r="K466" s="1" t="str">
        <f>"2017-04-10 15:29:31"</f>
        <v>2017-04-10 15:29:31</v>
      </c>
      <c r="L466" s="1" t="str">
        <f>"2017-04-10 15:29:36"</f>
        <v>2017-04-10 15:29:36</v>
      </c>
      <c r="M466" s="2">
        <v>2.5347222222222221E-3</v>
      </c>
      <c r="N466" s="1" t="s">
        <v>26</v>
      </c>
      <c r="O466" s="1" t="s">
        <v>34</v>
      </c>
      <c r="P466" s="2">
        <v>2.5925925925925925E-3</v>
      </c>
      <c r="Q466" s="1" t="s">
        <v>437</v>
      </c>
      <c r="R466" s="1">
        <v>0</v>
      </c>
      <c r="S466" s="1" t="str">
        <f>""</f>
        <v/>
      </c>
      <c r="T466" s="1" t="s">
        <v>29</v>
      </c>
      <c r="U466" s="1" t="s">
        <v>30</v>
      </c>
      <c r="V466" s="1">
        <v>0</v>
      </c>
    </row>
    <row r="467" spans="2:22" x14ac:dyDescent="0.15">
      <c r="B467" s="1" t="str">
        <f>"135****5295"</f>
        <v>135****5295</v>
      </c>
      <c r="C467" s="1" t="s">
        <v>23</v>
      </c>
      <c r="D467" s="1" t="str">
        <f t="shared" si="53"/>
        <v>89177328</v>
      </c>
      <c r="E467" s="1" t="s">
        <v>24</v>
      </c>
      <c r="F467" s="1" t="str">
        <f t="shared" si="54"/>
        <v>0010</v>
      </c>
      <c r="G467" s="1" t="str">
        <f>""</f>
        <v/>
      </c>
      <c r="H467" s="1" t="str">
        <f>"0035"</f>
        <v>0035</v>
      </c>
      <c r="I467" s="1" t="s">
        <v>25</v>
      </c>
      <c r="J467" s="1" t="str">
        <f>"01043977569"</f>
        <v>01043977569</v>
      </c>
      <c r="K467" s="1" t="str">
        <f>"2017-04-10 15:13:25"</f>
        <v>2017-04-10 15:13:25</v>
      </c>
      <c r="L467" s="1" t="str">
        <f>"2017-04-10 15:13:40"</f>
        <v>2017-04-10 15:13:40</v>
      </c>
      <c r="M467" s="2">
        <v>8.1365740740740738E-3</v>
      </c>
      <c r="N467" s="1" t="s">
        <v>26</v>
      </c>
      <c r="O467" s="1" t="s">
        <v>27</v>
      </c>
      <c r="P467" s="2">
        <v>8.3101851851851861E-3</v>
      </c>
      <c r="Q467" s="1" t="s">
        <v>438</v>
      </c>
      <c r="R467" s="1">
        <v>0</v>
      </c>
      <c r="S467" s="1" t="str">
        <f>""</f>
        <v/>
      </c>
      <c r="T467" s="1" t="s">
        <v>29</v>
      </c>
      <c r="U467" s="1" t="s">
        <v>30</v>
      </c>
      <c r="V467" s="1">
        <v>0</v>
      </c>
    </row>
    <row r="468" spans="2:22" x14ac:dyDescent="0.15">
      <c r="B468" s="1" t="str">
        <f>"189****0388"</f>
        <v>189****0388</v>
      </c>
      <c r="C468" s="1" t="s">
        <v>23</v>
      </c>
      <c r="D468" s="1" t="str">
        <f t="shared" si="53"/>
        <v>89177328</v>
      </c>
      <c r="E468" s="1" t="s">
        <v>24</v>
      </c>
      <c r="F468" s="1" t="str">
        <f t="shared" si="54"/>
        <v>0010</v>
      </c>
      <c r="G468" s="1" t="str">
        <f>""</f>
        <v/>
      </c>
      <c r="H468" s="1" t="str">
        <f>"0018"</f>
        <v>0018</v>
      </c>
      <c r="I468" s="1" t="s">
        <v>36</v>
      </c>
      <c r="J468" s="1" t="str">
        <f>"01043977572"</f>
        <v>01043977572</v>
      </c>
      <c r="K468" s="1" t="str">
        <f>"2017-04-10 15:12:42"</f>
        <v>2017-04-10 15:12:42</v>
      </c>
      <c r="L468" s="1" t="str">
        <f>"2017-04-10 15:12:50"</f>
        <v>2017-04-10 15:12:50</v>
      </c>
      <c r="M468" s="2">
        <v>3.3912037037037036E-3</v>
      </c>
      <c r="N468" s="1" t="s">
        <v>26</v>
      </c>
      <c r="O468" s="1" t="s">
        <v>34</v>
      </c>
      <c r="P468" s="2">
        <v>3.483796296296296E-3</v>
      </c>
      <c r="Q468" s="1" t="s">
        <v>439</v>
      </c>
      <c r="R468" s="1">
        <v>0</v>
      </c>
      <c r="S468" s="1" t="str">
        <f>""</f>
        <v/>
      </c>
      <c r="T468" s="1" t="s">
        <v>29</v>
      </c>
      <c r="U468" s="1" t="s">
        <v>30</v>
      </c>
      <c r="V468" s="1">
        <v>0</v>
      </c>
    </row>
    <row r="469" spans="2:22" x14ac:dyDescent="0.15">
      <c r="B469" s="1" t="str">
        <f>"150****2450"</f>
        <v>150****2450</v>
      </c>
      <c r="C469" s="1" t="s">
        <v>23</v>
      </c>
      <c r="D469" s="1" t="str">
        <f t="shared" si="53"/>
        <v>89177328</v>
      </c>
      <c r="E469" s="1" t="s">
        <v>24</v>
      </c>
      <c r="F469" s="1" t="str">
        <f t="shared" si="54"/>
        <v>0010</v>
      </c>
      <c r="G469" s="1" t="str">
        <f>""</f>
        <v/>
      </c>
      <c r="H469" s="1" t="str">
        <f>"0036"</f>
        <v>0036</v>
      </c>
      <c r="I469" s="1" t="s">
        <v>143</v>
      </c>
      <c r="J469" s="1" t="str">
        <f>"01043977573"</f>
        <v>01043977573</v>
      </c>
      <c r="K469" s="1" t="str">
        <f>"2017-04-10 15:09:21"</f>
        <v>2017-04-10 15:09:21</v>
      </c>
      <c r="L469" s="1" t="str">
        <f>"2017-04-10 15:09:27"</f>
        <v>2017-04-10 15:09:27</v>
      </c>
      <c r="M469" s="2">
        <v>8.8657407407407417E-3</v>
      </c>
      <c r="N469" s="1" t="s">
        <v>26</v>
      </c>
      <c r="O469" s="1" t="s">
        <v>34</v>
      </c>
      <c r="P469" s="2">
        <v>8.9351851851851866E-3</v>
      </c>
      <c r="Q469" s="1" t="s">
        <v>440</v>
      </c>
      <c r="R469" s="1">
        <v>0</v>
      </c>
      <c r="S469" s="1" t="str">
        <f>""</f>
        <v/>
      </c>
      <c r="T469" s="1" t="s">
        <v>29</v>
      </c>
      <c r="U469" s="1" t="s">
        <v>30</v>
      </c>
      <c r="V469" s="1">
        <v>0</v>
      </c>
    </row>
    <row r="470" spans="2:22" x14ac:dyDescent="0.15">
      <c r="B470" s="1" t="str">
        <f>"138****0141"</f>
        <v>138****0141</v>
      </c>
      <c r="C470" s="1" t="s">
        <v>379</v>
      </c>
      <c r="D470" s="1" t="str">
        <f t="shared" si="53"/>
        <v>89177328</v>
      </c>
      <c r="E470" s="1" t="s">
        <v>24</v>
      </c>
      <c r="F470" s="1" t="str">
        <f t="shared" si="54"/>
        <v>0010</v>
      </c>
      <c r="G470" s="1" t="str">
        <f>""</f>
        <v/>
      </c>
      <c r="H470" s="1" t="str">
        <f>"0035"</f>
        <v>0035</v>
      </c>
      <c r="I470" s="1" t="s">
        <v>25</v>
      </c>
      <c r="J470" s="1" t="str">
        <f>"01043977569"</f>
        <v>01043977569</v>
      </c>
      <c r="K470" s="1" t="str">
        <f>"2017-04-10 14:50:59"</f>
        <v>2017-04-10 14:50:59</v>
      </c>
      <c r="L470" s="1" t="str">
        <f>"2017-04-10 14:51:08"</f>
        <v>2017-04-10 14:51:08</v>
      </c>
      <c r="M470" s="2">
        <v>1.2013888888888888E-2</v>
      </c>
      <c r="N470" s="1" t="s">
        <v>26</v>
      </c>
      <c r="O470" s="1" t="s">
        <v>27</v>
      </c>
      <c r="P470" s="2">
        <v>1.2118055555555556E-2</v>
      </c>
      <c r="Q470" s="1" t="s">
        <v>441</v>
      </c>
      <c r="R470" s="1">
        <v>0</v>
      </c>
      <c r="S470" s="1" t="str">
        <f>""</f>
        <v/>
      </c>
      <c r="T470" s="1" t="s">
        <v>29</v>
      </c>
      <c r="U470" s="1" t="s">
        <v>30</v>
      </c>
      <c r="V470" s="1">
        <v>0</v>
      </c>
    </row>
    <row r="471" spans="2:22" x14ac:dyDescent="0.15">
      <c r="B471" s="1" t="str">
        <f>"131****6212"</f>
        <v>131****6212</v>
      </c>
      <c r="C471" s="1" t="s">
        <v>23</v>
      </c>
      <c r="D471" s="1" t="str">
        <f t="shared" si="53"/>
        <v>89177328</v>
      </c>
      <c r="E471" s="1" t="s">
        <v>24</v>
      </c>
      <c r="F471" s="1" t="str">
        <f t="shared" si="54"/>
        <v>0010</v>
      </c>
      <c r="G471" s="1" t="str">
        <f>""</f>
        <v/>
      </c>
      <c r="H471" s="1" t="str">
        <f>"0036"</f>
        <v>0036</v>
      </c>
      <c r="I471" s="1" t="s">
        <v>143</v>
      </c>
      <c r="J471" s="1" t="str">
        <f>"01043977573"</f>
        <v>01043977573</v>
      </c>
      <c r="K471" s="1" t="str">
        <f>"2017-04-10 14:49:41"</f>
        <v>2017-04-10 14:49:41</v>
      </c>
      <c r="L471" s="1" t="str">
        <f>"2017-04-10 14:49:48"</f>
        <v>2017-04-10 14:49:48</v>
      </c>
      <c r="M471" s="2">
        <v>2.0486111111111113E-3</v>
      </c>
      <c r="N471" s="1" t="s">
        <v>26</v>
      </c>
      <c r="O471" s="1" t="s">
        <v>34</v>
      </c>
      <c r="P471" s="2">
        <v>2.1296296296296298E-3</v>
      </c>
      <c r="Q471" s="1" t="s">
        <v>442</v>
      </c>
      <c r="R471" s="1">
        <v>0</v>
      </c>
      <c r="S471" s="1" t="str">
        <f>""</f>
        <v/>
      </c>
      <c r="T471" s="1" t="s">
        <v>29</v>
      </c>
      <c r="U471" s="1" t="s">
        <v>30</v>
      </c>
      <c r="V471" s="1">
        <v>0</v>
      </c>
    </row>
    <row r="472" spans="2:22" x14ac:dyDescent="0.15">
      <c r="B472" s="1" t="str">
        <f>"130****1835"</f>
        <v>130****1835</v>
      </c>
      <c r="C472" s="1" t="s">
        <v>113</v>
      </c>
      <c r="D472" s="1" t="str">
        <f t="shared" si="53"/>
        <v>89177328</v>
      </c>
      <c r="E472" s="1" t="s">
        <v>24</v>
      </c>
      <c r="F472" s="1" t="str">
        <f t="shared" si="54"/>
        <v>0010</v>
      </c>
      <c r="G472" s="1" t="str">
        <f>""</f>
        <v/>
      </c>
      <c r="H472" s="1" t="str">
        <f>"0017"</f>
        <v>0017</v>
      </c>
      <c r="I472" s="1" t="s">
        <v>135</v>
      </c>
      <c r="J472" s="1" t="str">
        <f>"01043989717"</f>
        <v>01043989717</v>
      </c>
      <c r="K472" s="1" t="str">
        <f>"2017-04-10 14:41:19"</f>
        <v>2017-04-10 14:41:19</v>
      </c>
      <c r="L472" s="1" t="str">
        <f>"-"</f>
        <v>-</v>
      </c>
      <c r="M472" s="2">
        <v>0</v>
      </c>
      <c r="N472" s="1" t="s">
        <v>33</v>
      </c>
      <c r="O472" s="1" t="s">
        <v>34</v>
      </c>
      <c r="P472" s="2">
        <v>1.1689814814814816E-3</v>
      </c>
      <c r="Q472" s="1" t="str">
        <f>""</f>
        <v/>
      </c>
      <c r="R472" s="1">
        <v>0</v>
      </c>
      <c r="S472" s="1" t="str">
        <f>""</f>
        <v/>
      </c>
      <c r="T472" s="1" t="s">
        <v>29</v>
      </c>
      <c r="U472" s="1" t="s">
        <v>30</v>
      </c>
      <c r="V472" s="1">
        <v>0</v>
      </c>
    </row>
    <row r="473" spans="2:22" x14ac:dyDescent="0.15">
      <c r="B473" s="1" t="str">
        <f>"188****1749"</f>
        <v>188****1749</v>
      </c>
      <c r="C473" s="1" t="s">
        <v>23</v>
      </c>
      <c r="D473" s="1" t="str">
        <f t="shared" si="53"/>
        <v>89177328</v>
      </c>
      <c r="E473" s="1" t="s">
        <v>24</v>
      </c>
      <c r="F473" s="1" t="str">
        <f t="shared" si="54"/>
        <v>0010</v>
      </c>
      <c r="G473" s="1" t="str">
        <f>""</f>
        <v/>
      </c>
      <c r="H473" s="1" t="str">
        <f>"0031"</f>
        <v>0031</v>
      </c>
      <c r="I473" s="1" t="s">
        <v>95</v>
      </c>
      <c r="J473" s="1" t="str">
        <f>"01043977565"</f>
        <v>01043977565</v>
      </c>
      <c r="K473" s="1" t="str">
        <f>"2017-04-10 14:22:23"</f>
        <v>2017-04-10 14:22:23</v>
      </c>
      <c r="L473" s="1" t="str">
        <f>"2017-04-10 14:22:32"</f>
        <v>2017-04-10 14:22:32</v>
      </c>
      <c r="M473" s="2">
        <v>5.1967592592592595E-3</v>
      </c>
      <c r="N473" s="1" t="s">
        <v>26</v>
      </c>
      <c r="O473" s="1" t="s">
        <v>27</v>
      </c>
      <c r="P473" s="2">
        <v>5.3009259259259251E-3</v>
      </c>
      <c r="Q473" s="1" t="s">
        <v>443</v>
      </c>
      <c r="R473" s="1">
        <v>0</v>
      </c>
      <c r="S473" s="1" t="str">
        <f>""</f>
        <v/>
      </c>
      <c r="T473" s="1" t="s">
        <v>29</v>
      </c>
      <c r="U473" s="1" t="s">
        <v>30</v>
      </c>
      <c r="V473" s="1">
        <v>0</v>
      </c>
    </row>
    <row r="474" spans="2:22" x14ac:dyDescent="0.15">
      <c r="B474" s="1" t="str">
        <f>"150****4133"</f>
        <v>150****4133</v>
      </c>
      <c r="C474" s="1" t="s">
        <v>23</v>
      </c>
      <c r="D474" s="1" t="str">
        <f t="shared" si="53"/>
        <v>89177328</v>
      </c>
      <c r="E474" s="1" t="s">
        <v>24</v>
      </c>
      <c r="F474" s="1" t="str">
        <f t="shared" si="54"/>
        <v>0010</v>
      </c>
      <c r="G474" s="1" t="str">
        <f>""</f>
        <v/>
      </c>
      <c r="H474" s="1" t="str">
        <f>"0035"</f>
        <v>0035</v>
      </c>
      <c r="I474" s="1" t="s">
        <v>25</v>
      </c>
      <c r="J474" s="1" t="str">
        <f>"01043977569"</f>
        <v>01043977569</v>
      </c>
      <c r="K474" s="1" t="str">
        <f>"2017-04-10 13:52:43"</f>
        <v>2017-04-10 13:52:43</v>
      </c>
      <c r="L474" s="1" t="str">
        <f>"2017-04-10 13:52:49"</f>
        <v>2017-04-10 13:52:49</v>
      </c>
      <c r="M474" s="2">
        <v>1.6134259259259261E-2</v>
      </c>
      <c r="N474" s="1" t="s">
        <v>26</v>
      </c>
      <c r="O474" s="1" t="s">
        <v>27</v>
      </c>
      <c r="P474" s="2">
        <v>1.6203703703703703E-2</v>
      </c>
      <c r="Q474" s="1" t="s">
        <v>444</v>
      </c>
      <c r="R474" s="1">
        <v>0</v>
      </c>
      <c r="S474" s="1" t="str">
        <f>""</f>
        <v/>
      </c>
      <c r="T474" s="1" t="s">
        <v>29</v>
      </c>
      <c r="U474" s="1" t="s">
        <v>30</v>
      </c>
      <c r="V474" s="1">
        <v>0</v>
      </c>
    </row>
    <row r="475" spans="2:22" x14ac:dyDescent="0.15">
      <c r="B475" s="1" t="str">
        <f>"136****1630"</f>
        <v>136****1630</v>
      </c>
      <c r="C475" s="1" t="s">
        <v>23</v>
      </c>
      <c r="D475" s="1" t="str">
        <f t="shared" si="53"/>
        <v>89177328</v>
      </c>
      <c r="E475" s="1" t="s">
        <v>24</v>
      </c>
      <c r="F475" s="1" t="str">
        <f t="shared" si="54"/>
        <v>0010</v>
      </c>
      <c r="G475" s="1" t="str">
        <f>""</f>
        <v/>
      </c>
      <c r="H475" s="1" t="str">
        <f>"0033"</f>
        <v>0033</v>
      </c>
      <c r="I475" s="1" t="s">
        <v>106</v>
      </c>
      <c r="J475" s="1" t="str">
        <f>"01043977567"</f>
        <v>01043977567</v>
      </c>
      <c r="K475" s="1" t="str">
        <f>"2017-04-10 13:42:08"</f>
        <v>2017-04-10 13:42:08</v>
      </c>
      <c r="L475" s="1" t="str">
        <f>"2017-04-10 13:42:16"</f>
        <v>2017-04-10 13:42:16</v>
      </c>
      <c r="M475" s="2">
        <v>1.9467592592592595E-2</v>
      </c>
      <c r="N475" s="1" t="s">
        <v>26</v>
      </c>
      <c r="O475" s="1" t="s">
        <v>27</v>
      </c>
      <c r="P475" s="2">
        <v>1.9560185185185184E-2</v>
      </c>
      <c r="Q475" s="1" t="s">
        <v>445</v>
      </c>
      <c r="R475" s="1">
        <v>0</v>
      </c>
      <c r="S475" s="1" t="str">
        <f>""</f>
        <v/>
      </c>
      <c r="T475" s="1" t="s">
        <v>29</v>
      </c>
      <c r="U475" s="1" t="s">
        <v>30</v>
      </c>
      <c r="V475" s="1">
        <v>0</v>
      </c>
    </row>
    <row r="476" spans="2:22" x14ac:dyDescent="0.15">
      <c r="B476" s="1" t="str">
        <f>"131****0458"</f>
        <v>131****0458</v>
      </c>
      <c r="C476" s="1" t="s">
        <v>23</v>
      </c>
      <c r="D476" s="1" t="str">
        <f t="shared" si="53"/>
        <v>89177328</v>
      </c>
      <c r="E476" s="1" t="s">
        <v>24</v>
      </c>
      <c r="F476" s="1" t="str">
        <f t="shared" si="54"/>
        <v>0010</v>
      </c>
      <c r="G476" s="1" t="str">
        <f>""</f>
        <v/>
      </c>
      <c r="H476" s="1" t="str">
        <f>"0033"</f>
        <v>0033</v>
      </c>
      <c r="I476" s="1" t="s">
        <v>106</v>
      </c>
      <c r="J476" s="1" t="str">
        <f>"01043977567"</f>
        <v>01043977567</v>
      </c>
      <c r="K476" s="1" t="str">
        <f>"2017-04-10 13:22:56"</f>
        <v>2017-04-10 13:22:56</v>
      </c>
      <c r="L476" s="1" t="str">
        <f>"2017-04-10 13:23:06"</f>
        <v>2017-04-10 13:23:06</v>
      </c>
      <c r="M476" s="2">
        <v>2.2916666666666667E-3</v>
      </c>
      <c r="N476" s="1" t="s">
        <v>26</v>
      </c>
      <c r="O476" s="1" t="s">
        <v>27</v>
      </c>
      <c r="P476" s="2">
        <v>2.4074074074074076E-3</v>
      </c>
      <c r="Q476" s="1" t="s">
        <v>446</v>
      </c>
      <c r="R476" s="1">
        <v>0</v>
      </c>
      <c r="S476" s="1" t="str">
        <f>""</f>
        <v/>
      </c>
      <c r="T476" s="1" t="s">
        <v>29</v>
      </c>
      <c r="U476" s="1" t="s">
        <v>30</v>
      </c>
      <c r="V476" s="1">
        <v>0</v>
      </c>
    </row>
    <row r="477" spans="2:22" x14ac:dyDescent="0.15">
      <c r="B477" s="1" t="str">
        <f>"186****7971"</f>
        <v>186****7971</v>
      </c>
      <c r="C477" s="1" t="s">
        <v>78</v>
      </c>
      <c r="D477" s="1" t="str">
        <f>"4000108333"</f>
        <v>4000108333</v>
      </c>
      <c r="E477" s="1" t="s">
        <v>53</v>
      </c>
      <c r="F477" s="1" t="str">
        <f>"0000"</f>
        <v>0000</v>
      </c>
      <c r="G477" s="1" t="str">
        <f>""</f>
        <v/>
      </c>
      <c r="H477" s="1" t="str">
        <f>"1010"</f>
        <v>1010</v>
      </c>
      <c r="I477" s="1" t="s">
        <v>148</v>
      </c>
      <c r="J477" s="1" t="str">
        <f>"13718091869"</f>
        <v>13718091869</v>
      </c>
      <c r="K477" s="1" t="str">
        <f>"2017-04-10 12:58:59"</f>
        <v>2017-04-10 12:58:59</v>
      </c>
      <c r="L477" s="1" t="str">
        <f>"2017-04-10 12:59:46"</f>
        <v>2017-04-10 12:59:46</v>
      </c>
      <c r="M477" s="2">
        <v>1.6932870370370369E-2</v>
      </c>
      <c r="N477" s="1" t="s">
        <v>26</v>
      </c>
      <c r="O477" s="1" t="s">
        <v>27</v>
      </c>
      <c r="P477" s="2">
        <v>1.7476851851851851E-2</v>
      </c>
      <c r="Q477" s="1" t="s">
        <v>447</v>
      </c>
      <c r="R477" s="1">
        <v>3.12</v>
      </c>
      <c r="S477" s="1" t="str">
        <f>""</f>
        <v/>
      </c>
      <c r="T477" s="1" t="s">
        <v>29</v>
      </c>
      <c r="U477" s="1" t="s">
        <v>30</v>
      </c>
      <c r="V477" s="1">
        <v>0</v>
      </c>
    </row>
    <row r="478" spans="2:22" x14ac:dyDescent="0.15">
      <c r="B478" s="1" t="str">
        <f>"159****8626"</f>
        <v>159****8626</v>
      </c>
      <c r="C478" s="1" t="s">
        <v>78</v>
      </c>
      <c r="D478" s="1" t="str">
        <f>"4000108333"</f>
        <v>4000108333</v>
      </c>
      <c r="E478" s="1" t="s">
        <v>53</v>
      </c>
      <c r="F478" s="1" t="str">
        <f>""</f>
        <v/>
      </c>
      <c r="G478" s="1" t="str">
        <f>""</f>
        <v/>
      </c>
      <c r="H478" s="1" t="str">
        <f>""</f>
        <v/>
      </c>
      <c r="I478" s="1" t="str">
        <f>""</f>
        <v/>
      </c>
      <c r="J478" s="1" t="str">
        <f>""</f>
        <v/>
      </c>
      <c r="K478" s="1" t="str">
        <f>"2017-04-10 12:57:35"</f>
        <v>2017-04-10 12:57:35</v>
      </c>
      <c r="L478" s="1" t="str">
        <f>"-"</f>
        <v>-</v>
      </c>
      <c r="M478" s="2">
        <v>0</v>
      </c>
      <c r="N478" s="1" t="s">
        <v>55</v>
      </c>
      <c r="O478" s="1" t="s">
        <v>34</v>
      </c>
      <c r="P478" s="2">
        <v>3.4722222222222222E-5</v>
      </c>
      <c r="Q478" s="1" t="str">
        <f>""</f>
        <v/>
      </c>
      <c r="R478" s="1">
        <v>0.12</v>
      </c>
      <c r="S478" s="1" t="str">
        <f>""</f>
        <v/>
      </c>
      <c r="T478" s="1" t="s">
        <v>29</v>
      </c>
      <c r="U478" s="1" t="s">
        <v>30</v>
      </c>
      <c r="V478" s="1">
        <v>0</v>
      </c>
    </row>
    <row r="479" spans="2:22" x14ac:dyDescent="0.15">
      <c r="B479" s="1" t="str">
        <f>"186****8015"</f>
        <v>186****8015</v>
      </c>
      <c r="C479" s="1" t="s">
        <v>23</v>
      </c>
      <c r="D479" s="1" t="str">
        <f>"89177328"</f>
        <v>89177328</v>
      </c>
      <c r="E479" s="1" t="s">
        <v>24</v>
      </c>
      <c r="F479" s="1" t="str">
        <f>"0010"</f>
        <v>0010</v>
      </c>
      <c r="G479" s="1" t="str">
        <f>""</f>
        <v/>
      </c>
      <c r="H479" s="1" t="str">
        <f>"0017"</f>
        <v>0017</v>
      </c>
      <c r="I479" s="1" t="s">
        <v>135</v>
      </c>
      <c r="J479" s="1" t="str">
        <f>"01043989717"</f>
        <v>01043989717</v>
      </c>
      <c r="K479" s="1" t="str">
        <f>"2017-04-10 12:57:10"</f>
        <v>2017-04-10 12:57:10</v>
      </c>
      <c r="L479" s="1" t="str">
        <f>"2017-04-10 12:57:18"</f>
        <v>2017-04-10 12:57:18</v>
      </c>
      <c r="M479" s="2">
        <v>6.782407407407408E-3</v>
      </c>
      <c r="N479" s="1" t="s">
        <v>26</v>
      </c>
      <c r="O479" s="1" t="s">
        <v>34</v>
      </c>
      <c r="P479" s="2">
        <v>6.875E-3</v>
      </c>
      <c r="Q479" s="1" t="s">
        <v>448</v>
      </c>
      <c r="R479" s="1">
        <v>0</v>
      </c>
      <c r="S479" s="1" t="str">
        <f>""</f>
        <v/>
      </c>
      <c r="T479" s="1" t="s">
        <v>29</v>
      </c>
      <c r="U479" s="1" t="s">
        <v>30</v>
      </c>
      <c r="V479" s="1">
        <v>0</v>
      </c>
    </row>
    <row r="480" spans="2:22" x14ac:dyDescent="0.15">
      <c r="B480" s="1" t="str">
        <f>"159****8626"</f>
        <v>159****8626</v>
      </c>
      <c r="C480" s="1" t="s">
        <v>78</v>
      </c>
      <c r="D480" s="1" t="str">
        <f>"4000108333"</f>
        <v>4000108333</v>
      </c>
      <c r="E480" s="1" t="s">
        <v>53</v>
      </c>
      <c r="F480" s="1" t="str">
        <f>"0000"</f>
        <v>0000</v>
      </c>
      <c r="G480" s="1" t="str">
        <f>""</f>
        <v/>
      </c>
      <c r="H480" s="1" t="str">
        <f>"1010"</f>
        <v>1010</v>
      </c>
      <c r="I480" s="1" t="s">
        <v>148</v>
      </c>
      <c r="J480" s="1" t="str">
        <f>"13718091869"</f>
        <v>13718091869</v>
      </c>
      <c r="K480" s="1" t="str">
        <f>"2017-04-10 12:56:56"</f>
        <v>2017-04-10 12:56:56</v>
      </c>
      <c r="L480" s="1" t="str">
        <f>"-"</f>
        <v>-</v>
      </c>
      <c r="M480" s="2">
        <v>0</v>
      </c>
      <c r="N480" s="1" t="s">
        <v>33</v>
      </c>
      <c r="O480" s="1" t="s">
        <v>34</v>
      </c>
      <c r="P480" s="2">
        <v>4.9768518518518521E-4</v>
      </c>
      <c r="Q480" s="1" t="str">
        <f>""</f>
        <v/>
      </c>
      <c r="R480" s="1">
        <v>0.12</v>
      </c>
      <c r="S480" s="1" t="str">
        <f>""</f>
        <v/>
      </c>
      <c r="T480" s="1" t="s">
        <v>29</v>
      </c>
      <c r="U480" s="1" t="s">
        <v>30</v>
      </c>
      <c r="V480" s="1">
        <v>0</v>
      </c>
    </row>
    <row r="481" spans="2:22" x14ac:dyDescent="0.15">
      <c r="B481" s="1" t="str">
        <f>"159****8626"</f>
        <v>159****8626</v>
      </c>
      <c r="C481" s="1" t="s">
        <v>78</v>
      </c>
      <c r="D481" s="1" t="str">
        <f>"4000108333"</f>
        <v>4000108333</v>
      </c>
      <c r="E481" s="1" t="s">
        <v>53</v>
      </c>
      <c r="F481" s="1" t="str">
        <f>"0001"</f>
        <v>0001</v>
      </c>
      <c r="G481" s="1" t="str">
        <f>""</f>
        <v/>
      </c>
      <c r="H481" s="1" t="str">
        <f>"0001"</f>
        <v>0001</v>
      </c>
      <c r="I481" s="1" t="s">
        <v>129</v>
      </c>
      <c r="J481" s="1" t="str">
        <f>"13699138136"</f>
        <v>13699138136</v>
      </c>
      <c r="K481" s="1" t="str">
        <f>"2017-04-10 12:52:12"</f>
        <v>2017-04-10 12:52:12</v>
      </c>
      <c r="L481" s="1" t="str">
        <f>"2017-04-10 12:54:26"</f>
        <v>2017-04-10 12:54:26</v>
      </c>
      <c r="M481" s="2">
        <v>1.4120370370370369E-3</v>
      </c>
      <c r="N481" s="1" t="s">
        <v>26</v>
      </c>
      <c r="O481" s="1" t="s">
        <v>27</v>
      </c>
      <c r="P481" s="2">
        <v>2.9629629629629628E-3</v>
      </c>
      <c r="Q481" s="1" t="s">
        <v>449</v>
      </c>
      <c r="R481" s="1">
        <v>0.6</v>
      </c>
      <c r="S481" s="1" t="str">
        <f>""</f>
        <v/>
      </c>
      <c r="T481" s="1" t="s">
        <v>29</v>
      </c>
      <c r="U481" s="1" t="s">
        <v>30</v>
      </c>
      <c r="V481" s="1">
        <v>0</v>
      </c>
    </row>
    <row r="482" spans="2:22" x14ac:dyDescent="0.15">
      <c r="B482" s="1" t="str">
        <f>"185****5576"</f>
        <v>185****5576</v>
      </c>
      <c r="C482" s="1" t="s">
        <v>23</v>
      </c>
      <c r="D482" s="1" t="str">
        <f t="shared" ref="D482:D534" si="55">"89177328"</f>
        <v>89177328</v>
      </c>
      <c r="E482" s="1" t="s">
        <v>24</v>
      </c>
      <c r="F482" s="1" t="str">
        <f t="shared" ref="F482:F534" si="56">"0010"</f>
        <v>0010</v>
      </c>
      <c r="G482" s="1" t="str">
        <f>""</f>
        <v/>
      </c>
      <c r="H482" s="1" t="str">
        <f>"0031"</f>
        <v>0031</v>
      </c>
      <c r="I482" s="1" t="s">
        <v>95</v>
      </c>
      <c r="J482" s="1" t="str">
        <f>"01043977565"</f>
        <v>01043977565</v>
      </c>
      <c r="K482" s="1" t="str">
        <f>"2017-04-10 12:49:21"</f>
        <v>2017-04-10 12:49:21</v>
      </c>
      <c r="L482" s="1" t="str">
        <f>"2017-04-10 12:49:30"</f>
        <v>2017-04-10 12:49:30</v>
      </c>
      <c r="M482" s="2">
        <v>7.719907407407408E-3</v>
      </c>
      <c r="N482" s="1" t="s">
        <v>26</v>
      </c>
      <c r="O482" s="1" t="s">
        <v>27</v>
      </c>
      <c r="P482" s="2">
        <v>7.8240740740740753E-3</v>
      </c>
      <c r="Q482" s="1" t="s">
        <v>450</v>
      </c>
      <c r="R482" s="1">
        <v>0</v>
      </c>
      <c r="S482" s="1" t="str">
        <f>""</f>
        <v/>
      </c>
      <c r="T482" s="1" t="s">
        <v>29</v>
      </c>
      <c r="U482" s="1" t="s">
        <v>30</v>
      </c>
      <c r="V482" s="1">
        <v>0</v>
      </c>
    </row>
    <row r="483" spans="2:22" x14ac:dyDescent="0.15">
      <c r="B483" s="1" t="str">
        <f>"134****1833"</f>
        <v>134****1833</v>
      </c>
      <c r="C483" s="1" t="s">
        <v>23</v>
      </c>
      <c r="D483" s="1" t="str">
        <f t="shared" si="55"/>
        <v>89177328</v>
      </c>
      <c r="E483" s="1" t="s">
        <v>24</v>
      </c>
      <c r="F483" s="1" t="str">
        <f t="shared" si="56"/>
        <v>0010</v>
      </c>
      <c r="G483" s="1" t="str">
        <f>""</f>
        <v/>
      </c>
      <c r="H483" s="1" t="str">
        <f>"0017"</f>
        <v>0017</v>
      </c>
      <c r="I483" s="1" t="s">
        <v>135</v>
      </c>
      <c r="J483" s="1" t="str">
        <f>"01043989717"</f>
        <v>01043989717</v>
      </c>
      <c r="K483" s="1" t="str">
        <f>"2017-04-10 12:25:45"</f>
        <v>2017-04-10 12:25:45</v>
      </c>
      <c r="L483" s="1" t="str">
        <f>"2017-04-10 12:25:55"</f>
        <v>2017-04-10 12:25:55</v>
      </c>
      <c r="M483" s="2">
        <v>6.7939814814814816E-3</v>
      </c>
      <c r="N483" s="1" t="s">
        <v>26</v>
      </c>
      <c r="O483" s="1" t="s">
        <v>27</v>
      </c>
      <c r="P483" s="2">
        <v>6.9097222222222225E-3</v>
      </c>
      <c r="Q483" s="1" t="s">
        <v>451</v>
      </c>
      <c r="R483" s="1">
        <v>0</v>
      </c>
      <c r="S483" s="1" t="str">
        <f>""</f>
        <v/>
      </c>
      <c r="T483" s="1" t="s">
        <v>29</v>
      </c>
      <c r="U483" s="1" t="s">
        <v>30</v>
      </c>
      <c r="V483" s="1">
        <v>0</v>
      </c>
    </row>
    <row r="484" spans="2:22" x14ac:dyDescent="0.15">
      <c r="B484" s="1" t="str">
        <f>"139****3720"</f>
        <v>139****3720</v>
      </c>
      <c r="C484" s="1" t="s">
        <v>23</v>
      </c>
      <c r="D484" s="1" t="str">
        <f t="shared" si="55"/>
        <v>89177328</v>
      </c>
      <c r="E484" s="1" t="s">
        <v>24</v>
      </c>
      <c r="F484" s="1" t="str">
        <f t="shared" si="56"/>
        <v>0010</v>
      </c>
      <c r="G484" s="1" t="str">
        <f>""</f>
        <v/>
      </c>
      <c r="H484" s="1" t="str">
        <f>"0018"</f>
        <v>0018</v>
      </c>
      <c r="I484" s="1" t="s">
        <v>36</v>
      </c>
      <c r="J484" s="1" t="str">
        <f>"01043977572"</f>
        <v>01043977572</v>
      </c>
      <c r="K484" s="1" t="str">
        <f>"2017-04-10 12:12:22"</f>
        <v>2017-04-10 12:12:22</v>
      </c>
      <c r="L484" s="1" t="str">
        <f>"2017-04-10 12:12:31"</f>
        <v>2017-04-10 12:12:31</v>
      </c>
      <c r="M484" s="2">
        <v>8.5416666666666679E-3</v>
      </c>
      <c r="N484" s="1" t="s">
        <v>26</v>
      </c>
      <c r="O484" s="1" t="s">
        <v>34</v>
      </c>
      <c r="P484" s="2">
        <v>8.6458333333333335E-3</v>
      </c>
      <c r="Q484" s="1" t="s">
        <v>452</v>
      </c>
      <c r="R484" s="1">
        <v>0</v>
      </c>
      <c r="S484" s="1" t="str">
        <f>""</f>
        <v/>
      </c>
      <c r="T484" s="1" t="s">
        <v>29</v>
      </c>
      <c r="U484" s="1" t="s">
        <v>30</v>
      </c>
      <c r="V484" s="1">
        <v>0</v>
      </c>
    </row>
    <row r="485" spans="2:22" x14ac:dyDescent="0.15">
      <c r="B485" s="1" t="str">
        <f>"158****0718"</f>
        <v>158****0718</v>
      </c>
      <c r="C485" s="1" t="s">
        <v>23</v>
      </c>
      <c r="D485" s="1" t="str">
        <f t="shared" si="55"/>
        <v>89177328</v>
      </c>
      <c r="E485" s="1" t="s">
        <v>24</v>
      </c>
      <c r="F485" s="1" t="str">
        <f t="shared" si="56"/>
        <v>0010</v>
      </c>
      <c r="G485" s="1" t="str">
        <f>""</f>
        <v/>
      </c>
      <c r="H485" s="1" t="str">
        <f>"0031"</f>
        <v>0031</v>
      </c>
      <c r="I485" s="1" t="s">
        <v>95</v>
      </c>
      <c r="J485" s="1" t="str">
        <f>"01043977565"</f>
        <v>01043977565</v>
      </c>
      <c r="K485" s="1" t="str">
        <f>"2017-04-10 12:05:58"</f>
        <v>2017-04-10 12:05:58</v>
      </c>
      <c r="L485" s="1" t="str">
        <f>"2017-04-10 12:06:07"</f>
        <v>2017-04-10 12:06:07</v>
      </c>
      <c r="M485" s="2">
        <v>4.2708333333333339E-3</v>
      </c>
      <c r="N485" s="1" t="s">
        <v>26</v>
      </c>
      <c r="O485" s="1" t="s">
        <v>27</v>
      </c>
      <c r="P485" s="2">
        <v>4.3749999999999995E-3</v>
      </c>
      <c r="Q485" s="1" t="s">
        <v>453</v>
      </c>
      <c r="R485" s="1">
        <v>0</v>
      </c>
      <c r="S485" s="1" t="str">
        <f>""</f>
        <v/>
      </c>
      <c r="T485" s="1" t="s">
        <v>29</v>
      </c>
      <c r="U485" s="1" t="s">
        <v>30</v>
      </c>
      <c r="V485" s="1">
        <v>0</v>
      </c>
    </row>
    <row r="486" spans="2:22" x14ac:dyDescent="0.15">
      <c r="B486" s="1" t="str">
        <f>"138****9884"</f>
        <v>138****9884</v>
      </c>
      <c r="C486" s="1" t="s">
        <v>44</v>
      </c>
      <c r="D486" s="1" t="str">
        <f t="shared" si="55"/>
        <v>89177328</v>
      </c>
      <c r="E486" s="1" t="s">
        <v>24</v>
      </c>
      <c r="F486" s="1" t="str">
        <f t="shared" si="56"/>
        <v>0010</v>
      </c>
      <c r="G486" s="1" t="str">
        <f>""</f>
        <v/>
      </c>
      <c r="H486" s="1" t="str">
        <f>"0031"</f>
        <v>0031</v>
      </c>
      <c r="I486" s="1" t="s">
        <v>95</v>
      </c>
      <c r="J486" s="1" t="str">
        <f>"01043977565"</f>
        <v>01043977565</v>
      </c>
      <c r="K486" s="1" t="str">
        <f>"2017-04-10 12:03:54"</f>
        <v>2017-04-10 12:03:54</v>
      </c>
      <c r="L486" s="1" t="str">
        <f>"-"</f>
        <v>-</v>
      </c>
      <c r="M486" s="2">
        <v>0</v>
      </c>
      <c r="N486" s="1" t="s">
        <v>33</v>
      </c>
      <c r="O486" s="1" t="s">
        <v>34</v>
      </c>
      <c r="P486" s="2">
        <v>2.3148148148148147E-5</v>
      </c>
      <c r="Q486" s="1" t="str">
        <f>""</f>
        <v/>
      </c>
      <c r="R486" s="1">
        <v>0</v>
      </c>
      <c r="S486" s="1" t="str">
        <f>""</f>
        <v/>
      </c>
      <c r="T486" s="1" t="s">
        <v>29</v>
      </c>
      <c r="U486" s="1" t="s">
        <v>30</v>
      </c>
      <c r="V486" s="1">
        <v>0</v>
      </c>
    </row>
    <row r="487" spans="2:22" x14ac:dyDescent="0.15">
      <c r="B487" s="1" t="str">
        <f>"188****6078"</f>
        <v>188****6078</v>
      </c>
      <c r="C487" s="1" t="s">
        <v>97</v>
      </c>
      <c r="D487" s="1" t="str">
        <f t="shared" si="55"/>
        <v>89177328</v>
      </c>
      <c r="E487" s="1" t="s">
        <v>24</v>
      </c>
      <c r="F487" s="1" t="str">
        <f t="shared" si="56"/>
        <v>0010</v>
      </c>
      <c r="G487" s="1" t="str">
        <f>""</f>
        <v/>
      </c>
      <c r="H487" s="1" t="str">
        <f>"0017"</f>
        <v>0017</v>
      </c>
      <c r="I487" s="1" t="s">
        <v>135</v>
      </c>
      <c r="J487" s="1" t="str">
        <f>"01043989717"</f>
        <v>01043989717</v>
      </c>
      <c r="K487" s="1" t="str">
        <f>"2017-04-10 11:57:42"</f>
        <v>2017-04-10 11:57:42</v>
      </c>
      <c r="L487" s="1" t="str">
        <f>"2017-04-10 11:57:50"</f>
        <v>2017-04-10 11:57:50</v>
      </c>
      <c r="M487" s="2">
        <v>6.5509259259259262E-3</v>
      </c>
      <c r="N487" s="1" t="s">
        <v>26</v>
      </c>
      <c r="O487" s="1" t="s">
        <v>27</v>
      </c>
      <c r="P487" s="2">
        <v>6.6435185185185182E-3</v>
      </c>
      <c r="Q487" s="1" t="s">
        <v>454</v>
      </c>
      <c r="R487" s="1">
        <v>0</v>
      </c>
      <c r="S487" s="1" t="str">
        <f>""</f>
        <v/>
      </c>
      <c r="T487" s="1" t="s">
        <v>29</v>
      </c>
      <c r="U487" s="1" t="s">
        <v>30</v>
      </c>
      <c r="V487" s="1">
        <v>0</v>
      </c>
    </row>
    <row r="488" spans="2:22" x14ac:dyDescent="0.15">
      <c r="B488" s="1" t="str">
        <f>"132****2212"</f>
        <v>132****2212</v>
      </c>
      <c r="C488" s="1" t="s">
        <v>23</v>
      </c>
      <c r="D488" s="1" t="str">
        <f t="shared" si="55"/>
        <v>89177328</v>
      </c>
      <c r="E488" s="1" t="s">
        <v>24</v>
      </c>
      <c r="F488" s="1" t="str">
        <f t="shared" si="56"/>
        <v>0010</v>
      </c>
      <c r="G488" s="1" t="str">
        <f>""</f>
        <v/>
      </c>
      <c r="H488" s="1" t="str">
        <f>"0018"</f>
        <v>0018</v>
      </c>
      <c r="I488" s="1" t="s">
        <v>36</v>
      </c>
      <c r="J488" s="1" t="str">
        <f>"01043977572"</f>
        <v>01043977572</v>
      </c>
      <c r="K488" s="1" t="str">
        <f>"2017-04-10 11:46:57"</f>
        <v>2017-04-10 11:46:57</v>
      </c>
      <c r="L488" s="1" t="str">
        <f>"2017-04-10 11:47:27"</f>
        <v>2017-04-10 11:47:27</v>
      </c>
      <c r="M488" s="2">
        <v>1.3541666666666667E-2</v>
      </c>
      <c r="N488" s="1" t="s">
        <v>26</v>
      </c>
      <c r="O488" s="1" t="s">
        <v>34</v>
      </c>
      <c r="P488" s="2">
        <v>1.3888888888888888E-2</v>
      </c>
      <c r="Q488" s="1" t="s">
        <v>455</v>
      </c>
      <c r="R488" s="1">
        <v>0</v>
      </c>
      <c r="S488" s="1" t="str">
        <f>""</f>
        <v/>
      </c>
      <c r="T488" s="1" t="s">
        <v>29</v>
      </c>
      <c r="U488" s="1" t="s">
        <v>30</v>
      </c>
      <c r="V488" s="1">
        <v>0</v>
      </c>
    </row>
    <row r="489" spans="2:22" x14ac:dyDescent="0.15">
      <c r="B489" s="1" t="str">
        <f>"135****0532"</f>
        <v>135****0532</v>
      </c>
      <c r="C489" s="1" t="s">
        <v>23</v>
      </c>
      <c r="D489" s="1" t="str">
        <f t="shared" si="55"/>
        <v>89177328</v>
      </c>
      <c r="E489" s="1" t="s">
        <v>24</v>
      </c>
      <c r="F489" s="1" t="str">
        <f t="shared" si="56"/>
        <v>0010</v>
      </c>
      <c r="G489" s="1" t="str">
        <f>""</f>
        <v/>
      </c>
      <c r="H489" s="1" t="str">
        <f>"0033"</f>
        <v>0033</v>
      </c>
      <c r="I489" s="1" t="s">
        <v>106</v>
      </c>
      <c r="J489" s="1" t="str">
        <f>"01043977567"</f>
        <v>01043977567</v>
      </c>
      <c r="K489" s="1" t="str">
        <f>"2017-04-10 11:38:25"</f>
        <v>2017-04-10 11:38:25</v>
      </c>
      <c r="L489" s="1" t="str">
        <f>"-"</f>
        <v>-</v>
      </c>
      <c r="M489" s="2">
        <v>0</v>
      </c>
      <c r="N489" s="1" t="s">
        <v>33</v>
      </c>
      <c r="O489" s="1" t="s">
        <v>34</v>
      </c>
      <c r="P489" s="2">
        <v>8.1018518518518516E-5</v>
      </c>
      <c r="Q489" s="1" t="str">
        <f>""</f>
        <v/>
      </c>
      <c r="R489" s="1">
        <v>0</v>
      </c>
      <c r="S489" s="1" t="str">
        <f>""</f>
        <v/>
      </c>
      <c r="T489" s="1" t="s">
        <v>29</v>
      </c>
      <c r="U489" s="1" t="s">
        <v>30</v>
      </c>
      <c r="V489" s="1">
        <v>0</v>
      </c>
    </row>
    <row r="490" spans="2:22" x14ac:dyDescent="0.15">
      <c r="B490" s="1" t="str">
        <f>"189****1209"</f>
        <v>189****1209</v>
      </c>
      <c r="C490" s="1" t="s">
        <v>23</v>
      </c>
      <c r="D490" s="1" t="str">
        <f t="shared" si="55"/>
        <v>89177328</v>
      </c>
      <c r="E490" s="1" t="s">
        <v>24</v>
      </c>
      <c r="F490" s="1" t="str">
        <f t="shared" si="56"/>
        <v>0010</v>
      </c>
      <c r="G490" s="1" t="str">
        <f>""</f>
        <v/>
      </c>
      <c r="H490" s="1" t="str">
        <f>"0035"</f>
        <v>0035</v>
      </c>
      <c r="I490" s="1" t="s">
        <v>25</v>
      </c>
      <c r="J490" s="1" t="str">
        <f>"01043977569"</f>
        <v>01043977569</v>
      </c>
      <c r="K490" s="1" t="str">
        <f>"2017-04-10 11:35:01"</f>
        <v>2017-04-10 11:35:01</v>
      </c>
      <c r="L490" s="1" t="str">
        <f>"2017-04-10 11:35:10"</f>
        <v>2017-04-10 11:35:10</v>
      </c>
      <c r="M490" s="2">
        <v>5.0115740740740737E-3</v>
      </c>
      <c r="N490" s="1" t="s">
        <v>26</v>
      </c>
      <c r="O490" s="1" t="s">
        <v>27</v>
      </c>
      <c r="P490" s="2">
        <v>5.115740740740741E-3</v>
      </c>
      <c r="Q490" s="1" t="s">
        <v>456</v>
      </c>
      <c r="R490" s="1">
        <v>0</v>
      </c>
      <c r="S490" s="1" t="str">
        <f>""</f>
        <v/>
      </c>
      <c r="T490" s="1" t="s">
        <v>29</v>
      </c>
      <c r="U490" s="1" t="s">
        <v>30</v>
      </c>
      <c r="V490" s="1">
        <v>0</v>
      </c>
    </row>
    <row r="491" spans="2:22" x14ac:dyDescent="0.15">
      <c r="B491" s="1" t="str">
        <f>"0313180****1313"</f>
        <v>0313180****1313</v>
      </c>
      <c r="C491" s="1" t="s">
        <v>44</v>
      </c>
      <c r="D491" s="1" t="str">
        <f t="shared" si="55"/>
        <v>89177328</v>
      </c>
      <c r="E491" s="1" t="s">
        <v>24</v>
      </c>
      <c r="F491" s="1" t="str">
        <f t="shared" si="56"/>
        <v>0010</v>
      </c>
      <c r="G491" s="1" t="str">
        <f>""</f>
        <v/>
      </c>
      <c r="H491" s="1" t="str">
        <f>"0018"</f>
        <v>0018</v>
      </c>
      <c r="I491" s="1" t="s">
        <v>36</v>
      </c>
      <c r="J491" s="1" t="str">
        <f>"01043977572"</f>
        <v>01043977572</v>
      </c>
      <c r="K491" s="1" t="str">
        <f>"2017-04-10 11:34:35"</f>
        <v>2017-04-10 11:34:35</v>
      </c>
      <c r="L491" s="1" t="str">
        <f>"2017-04-10 11:34:42"</f>
        <v>2017-04-10 11:34:42</v>
      </c>
      <c r="M491" s="2">
        <v>1.7013888888888892E-3</v>
      </c>
      <c r="N491" s="1" t="s">
        <v>26</v>
      </c>
      <c r="O491" s="1" t="s">
        <v>34</v>
      </c>
      <c r="P491" s="2">
        <v>1.7824074074074072E-3</v>
      </c>
      <c r="Q491" s="1" t="s">
        <v>457</v>
      </c>
      <c r="R491" s="1">
        <v>0</v>
      </c>
      <c r="S491" s="1" t="str">
        <f>""</f>
        <v/>
      </c>
      <c r="T491" s="1" t="s">
        <v>29</v>
      </c>
      <c r="U491" s="1" t="s">
        <v>30</v>
      </c>
      <c r="V491" s="1">
        <v>0</v>
      </c>
    </row>
    <row r="492" spans="2:22" x14ac:dyDescent="0.15">
      <c r="B492" s="1" t="str">
        <f>"152****2593"</f>
        <v>152****2593</v>
      </c>
      <c r="C492" s="1" t="s">
        <v>458</v>
      </c>
      <c r="D492" s="1" t="str">
        <f t="shared" si="55"/>
        <v>89177328</v>
      </c>
      <c r="E492" s="1" t="s">
        <v>24</v>
      </c>
      <c r="F492" s="1" t="str">
        <f t="shared" si="56"/>
        <v>0010</v>
      </c>
      <c r="G492" s="1" t="str">
        <f>""</f>
        <v/>
      </c>
      <c r="H492" s="1" t="str">
        <f>"0017"</f>
        <v>0017</v>
      </c>
      <c r="I492" s="1" t="s">
        <v>135</v>
      </c>
      <c r="J492" s="1" t="str">
        <f>"01043989717"</f>
        <v>01043989717</v>
      </c>
      <c r="K492" s="1" t="str">
        <f>"2017-04-10 11:31:30"</f>
        <v>2017-04-10 11:31:30</v>
      </c>
      <c r="L492" s="1" t="str">
        <f>"2017-04-10 11:32:04"</f>
        <v>2017-04-10 11:32:04</v>
      </c>
      <c r="M492" s="2">
        <v>1.0081018518518519E-2</v>
      </c>
      <c r="N492" s="1" t="s">
        <v>26</v>
      </c>
      <c r="O492" s="1" t="s">
        <v>27</v>
      </c>
      <c r="P492" s="2">
        <v>1.0474537037037037E-2</v>
      </c>
      <c r="Q492" s="1" t="s">
        <v>459</v>
      </c>
      <c r="R492" s="1">
        <v>0</v>
      </c>
      <c r="S492" s="1" t="str">
        <f>""</f>
        <v/>
      </c>
      <c r="T492" s="1" t="s">
        <v>29</v>
      </c>
      <c r="U492" s="1" t="s">
        <v>30</v>
      </c>
      <c r="V492" s="1">
        <v>0</v>
      </c>
    </row>
    <row r="493" spans="2:22" x14ac:dyDescent="0.15">
      <c r="B493" s="1" t="str">
        <f>"159****9182"</f>
        <v>159****9182</v>
      </c>
      <c r="C493" s="1" t="s">
        <v>23</v>
      </c>
      <c r="D493" s="1" t="str">
        <f t="shared" si="55"/>
        <v>89177328</v>
      </c>
      <c r="E493" s="1" t="s">
        <v>24</v>
      </c>
      <c r="F493" s="1" t="str">
        <f t="shared" si="56"/>
        <v>0010</v>
      </c>
      <c r="G493" s="1" t="str">
        <f>""</f>
        <v/>
      </c>
      <c r="H493" s="1" t="str">
        <f>"0017"</f>
        <v>0017</v>
      </c>
      <c r="I493" s="1" t="s">
        <v>135</v>
      </c>
      <c r="J493" s="1" t="str">
        <f>"01043989717"</f>
        <v>01043989717</v>
      </c>
      <c r="K493" s="1" t="str">
        <f>"2017-04-10 11:22:36"</f>
        <v>2017-04-10 11:22:36</v>
      </c>
      <c r="L493" s="1" t="str">
        <f>"2017-04-10 11:22:45"</f>
        <v>2017-04-10 11:22:45</v>
      </c>
      <c r="M493" s="2">
        <v>2.0601851851851853E-3</v>
      </c>
      <c r="N493" s="1" t="s">
        <v>26</v>
      </c>
      <c r="O493" s="1" t="s">
        <v>27</v>
      </c>
      <c r="P493" s="2">
        <v>2.1643518518518518E-3</v>
      </c>
      <c r="Q493" s="1" t="s">
        <v>460</v>
      </c>
      <c r="R493" s="1">
        <v>0</v>
      </c>
      <c r="S493" s="1" t="str">
        <f>""</f>
        <v/>
      </c>
      <c r="T493" s="1" t="s">
        <v>29</v>
      </c>
      <c r="U493" s="1" t="s">
        <v>30</v>
      </c>
      <c r="V493" s="1">
        <v>0</v>
      </c>
    </row>
    <row r="494" spans="2:22" x14ac:dyDescent="0.15">
      <c r="B494" s="1" t="str">
        <f>"156****5666"</f>
        <v>156****5666</v>
      </c>
      <c r="C494" s="1" t="s">
        <v>237</v>
      </c>
      <c r="D494" s="1" t="str">
        <f t="shared" si="55"/>
        <v>89177328</v>
      </c>
      <c r="E494" s="1" t="s">
        <v>24</v>
      </c>
      <c r="F494" s="1" t="str">
        <f t="shared" si="56"/>
        <v>0010</v>
      </c>
      <c r="G494" s="1" t="str">
        <f>""</f>
        <v/>
      </c>
      <c r="H494" s="1" t="str">
        <f>"0033"</f>
        <v>0033</v>
      </c>
      <c r="I494" s="1" t="s">
        <v>106</v>
      </c>
      <c r="J494" s="1" t="str">
        <f>"01043977567"</f>
        <v>01043977567</v>
      </c>
      <c r="K494" s="1" t="str">
        <f>"2017-04-10 11:16:45"</f>
        <v>2017-04-10 11:16:45</v>
      </c>
      <c r="L494" s="1" t="str">
        <f>"2017-04-10 11:16:53"</f>
        <v>2017-04-10 11:16:53</v>
      </c>
      <c r="M494" s="2">
        <v>1.2152777777777778E-3</v>
      </c>
      <c r="N494" s="1" t="s">
        <v>26</v>
      </c>
      <c r="O494" s="1" t="s">
        <v>27</v>
      </c>
      <c r="P494" s="2">
        <v>1.3078703703703705E-3</v>
      </c>
      <c r="Q494" s="1" t="s">
        <v>461</v>
      </c>
      <c r="R494" s="1">
        <v>0</v>
      </c>
      <c r="S494" s="1" t="str">
        <f>""</f>
        <v/>
      </c>
      <c r="T494" s="1" t="s">
        <v>29</v>
      </c>
      <c r="U494" s="1" t="s">
        <v>30</v>
      </c>
      <c r="V494" s="1">
        <v>0</v>
      </c>
    </row>
    <row r="495" spans="2:22" x14ac:dyDescent="0.15">
      <c r="B495" s="1" t="str">
        <f>"188****0768"</f>
        <v>188****0768</v>
      </c>
      <c r="C495" s="1" t="s">
        <v>23</v>
      </c>
      <c r="D495" s="1" t="str">
        <f t="shared" si="55"/>
        <v>89177328</v>
      </c>
      <c r="E495" s="1" t="s">
        <v>24</v>
      </c>
      <c r="F495" s="1" t="str">
        <f t="shared" si="56"/>
        <v>0010</v>
      </c>
      <c r="G495" s="1" t="str">
        <f>""</f>
        <v/>
      </c>
      <c r="H495" s="1" t="str">
        <f>"0035"</f>
        <v>0035</v>
      </c>
      <c r="I495" s="1" t="s">
        <v>25</v>
      </c>
      <c r="J495" s="1" t="str">
        <f>"01043977569"</f>
        <v>01043977569</v>
      </c>
      <c r="K495" s="1" t="str">
        <f>"2017-04-10 10:52:44"</f>
        <v>2017-04-10 10:52:44</v>
      </c>
      <c r="L495" s="1" t="str">
        <f>"2017-04-10 10:52:54"</f>
        <v>2017-04-10 10:52:54</v>
      </c>
      <c r="M495" s="2">
        <v>5.6828703703703702E-3</v>
      </c>
      <c r="N495" s="1" t="s">
        <v>26</v>
      </c>
      <c r="O495" s="1" t="s">
        <v>27</v>
      </c>
      <c r="P495" s="2">
        <v>5.7986111111111112E-3</v>
      </c>
      <c r="Q495" s="1" t="s">
        <v>462</v>
      </c>
      <c r="R495" s="1">
        <v>0</v>
      </c>
      <c r="S495" s="1" t="str">
        <f>""</f>
        <v/>
      </c>
      <c r="T495" s="1" t="s">
        <v>29</v>
      </c>
      <c r="U495" s="1" t="s">
        <v>30</v>
      </c>
      <c r="V495" s="1">
        <v>0</v>
      </c>
    </row>
    <row r="496" spans="2:22" x14ac:dyDescent="0.15">
      <c r="B496" s="1" t="str">
        <f>"150****9989"</f>
        <v>150****9989</v>
      </c>
      <c r="C496" s="1" t="s">
        <v>463</v>
      </c>
      <c r="D496" s="1" t="str">
        <f t="shared" si="55"/>
        <v>89177328</v>
      </c>
      <c r="E496" s="1" t="s">
        <v>24</v>
      </c>
      <c r="F496" s="1" t="str">
        <f t="shared" si="56"/>
        <v>0010</v>
      </c>
      <c r="G496" s="1" t="str">
        <f>""</f>
        <v/>
      </c>
      <c r="H496" s="1" t="str">
        <f>"0018"</f>
        <v>0018</v>
      </c>
      <c r="I496" s="1" t="s">
        <v>36</v>
      </c>
      <c r="J496" s="1" t="str">
        <f>"01043977572"</f>
        <v>01043977572</v>
      </c>
      <c r="K496" s="1" t="str">
        <f>"2017-04-10 10:41:33"</f>
        <v>2017-04-10 10:41:33</v>
      </c>
      <c r="L496" s="1" t="str">
        <f>"2017-04-10 10:41:42"</f>
        <v>2017-04-10 10:41:42</v>
      </c>
      <c r="M496" s="2">
        <v>4.9768518518518521E-4</v>
      </c>
      <c r="N496" s="1" t="s">
        <v>26</v>
      </c>
      <c r="O496" s="1" t="s">
        <v>34</v>
      </c>
      <c r="P496" s="2">
        <v>6.018518518518519E-4</v>
      </c>
      <c r="Q496" s="1" t="s">
        <v>464</v>
      </c>
      <c r="R496" s="1">
        <v>0</v>
      </c>
      <c r="S496" s="1" t="str">
        <f>""</f>
        <v/>
      </c>
      <c r="T496" s="1" t="s">
        <v>29</v>
      </c>
      <c r="U496" s="1" t="s">
        <v>30</v>
      </c>
      <c r="V496" s="1">
        <v>0</v>
      </c>
    </row>
    <row r="497" spans="2:22" x14ac:dyDescent="0.15">
      <c r="B497" s="1" t="str">
        <f>"139****8829"</f>
        <v>139****8829</v>
      </c>
      <c r="C497" s="1" t="s">
        <v>465</v>
      </c>
      <c r="D497" s="1" t="str">
        <f t="shared" si="55"/>
        <v>89177328</v>
      </c>
      <c r="E497" s="1" t="s">
        <v>24</v>
      </c>
      <c r="F497" s="1" t="str">
        <f t="shared" si="56"/>
        <v>0010</v>
      </c>
      <c r="G497" s="1" t="str">
        <f>""</f>
        <v/>
      </c>
      <c r="H497" s="1" t="str">
        <f>"0033"</f>
        <v>0033</v>
      </c>
      <c r="I497" s="1" t="s">
        <v>106</v>
      </c>
      <c r="J497" s="1" t="str">
        <f>"01043977567"</f>
        <v>01043977567</v>
      </c>
      <c r="K497" s="1" t="str">
        <f>"2017-04-10 10:39:21"</f>
        <v>2017-04-10 10:39:21</v>
      </c>
      <c r="L497" s="1" t="str">
        <f>"2017-04-10 10:39:31"</f>
        <v>2017-04-10 10:39:31</v>
      </c>
      <c r="M497" s="2">
        <v>1.9340277777777779E-2</v>
      </c>
      <c r="N497" s="1" t="s">
        <v>26</v>
      </c>
      <c r="O497" s="1" t="s">
        <v>27</v>
      </c>
      <c r="P497" s="2">
        <v>1.9456018518518518E-2</v>
      </c>
      <c r="Q497" s="1" t="s">
        <v>466</v>
      </c>
      <c r="R497" s="1">
        <v>0</v>
      </c>
      <c r="S497" s="1" t="str">
        <f>""</f>
        <v/>
      </c>
      <c r="T497" s="1" t="s">
        <v>29</v>
      </c>
      <c r="U497" s="1" t="s">
        <v>30</v>
      </c>
      <c r="V497" s="1">
        <v>0</v>
      </c>
    </row>
    <row r="498" spans="2:22" x14ac:dyDescent="0.15">
      <c r="B498" s="1" t="str">
        <f>"139****7664"</f>
        <v>139****7664</v>
      </c>
      <c r="C498" s="1" t="s">
        <v>81</v>
      </c>
      <c r="D498" s="1" t="str">
        <f t="shared" si="55"/>
        <v>89177328</v>
      </c>
      <c r="E498" s="1" t="s">
        <v>24</v>
      </c>
      <c r="F498" s="1" t="str">
        <f t="shared" si="56"/>
        <v>0010</v>
      </c>
      <c r="G498" s="1" t="str">
        <f>""</f>
        <v/>
      </c>
      <c r="H498" s="1" t="str">
        <f>"0033"</f>
        <v>0033</v>
      </c>
      <c r="I498" s="1" t="s">
        <v>106</v>
      </c>
      <c r="J498" s="1" t="str">
        <f>"01043977567"</f>
        <v>01043977567</v>
      </c>
      <c r="K498" s="1" t="str">
        <f>"2017-04-10 10:21:45"</f>
        <v>2017-04-10 10:21:45</v>
      </c>
      <c r="L498" s="1" t="str">
        <f>"2017-04-10 10:21:54"</f>
        <v>2017-04-10 10:21:54</v>
      </c>
      <c r="M498" s="2">
        <v>2.3495370370370371E-3</v>
      </c>
      <c r="N498" s="1" t="s">
        <v>26</v>
      </c>
      <c r="O498" s="1" t="s">
        <v>27</v>
      </c>
      <c r="P498" s="2">
        <v>2.4537037037037036E-3</v>
      </c>
      <c r="Q498" s="1" t="s">
        <v>467</v>
      </c>
      <c r="R498" s="1">
        <v>0</v>
      </c>
      <c r="S498" s="1" t="str">
        <f>""</f>
        <v/>
      </c>
      <c r="T498" s="1" t="s">
        <v>29</v>
      </c>
      <c r="U498" s="1" t="s">
        <v>30</v>
      </c>
      <c r="V498" s="1">
        <v>0</v>
      </c>
    </row>
    <row r="499" spans="2:22" x14ac:dyDescent="0.15">
      <c r="B499" s="1" t="str">
        <f>"045****5685"</f>
        <v>045****5685</v>
      </c>
      <c r="C499" s="1" t="s">
        <v>468</v>
      </c>
      <c r="D499" s="1" t="str">
        <f t="shared" si="55"/>
        <v>89177328</v>
      </c>
      <c r="E499" s="1" t="s">
        <v>24</v>
      </c>
      <c r="F499" s="1" t="str">
        <f t="shared" si="56"/>
        <v>0010</v>
      </c>
      <c r="G499" s="1" t="str">
        <f>""</f>
        <v/>
      </c>
      <c r="H499" s="1" t="str">
        <f>"0017"</f>
        <v>0017</v>
      </c>
      <c r="I499" s="1" t="s">
        <v>135</v>
      </c>
      <c r="J499" s="1" t="str">
        <f>"01043989717"</f>
        <v>01043989717</v>
      </c>
      <c r="K499" s="1" t="str">
        <f>"2017-04-10 10:13:52"</f>
        <v>2017-04-10 10:13:52</v>
      </c>
      <c r="L499" s="1" t="str">
        <f>"2017-04-10 10:14:23"</f>
        <v>2017-04-10 10:14:23</v>
      </c>
      <c r="M499" s="2">
        <v>1.4537037037037038E-2</v>
      </c>
      <c r="N499" s="1" t="s">
        <v>26</v>
      </c>
      <c r="O499" s="1" t="s">
        <v>27</v>
      </c>
      <c r="P499" s="2">
        <v>1.4895833333333332E-2</v>
      </c>
      <c r="Q499" s="1" t="s">
        <v>469</v>
      </c>
      <c r="R499" s="1">
        <v>0</v>
      </c>
      <c r="S499" s="1" t="str">
        <f>""</f>
        <v/>
      </c>
      <c r="T499" s="1" t="s">
        <v>29</v>
      </c>
      <c r="U499" s="1" t="s">
        <v>30</v>
      </c>
      <c r="V499" s="1">
        <v>0</v>
      </c>
    </row>
    <row r="500" spans="2:22" x14ac:dyDescent="0.15">
      <c r="B500" s="1" t="str">
        <f>"131****2849"</f>
        <v>131****2849</v>
      </c>
      <c r="C500" s="1" t="s">
        <v>127</v>
      </c>
      <c r="D500" s="1" t="str">
        <f t="shared" si="55"/>
        <v>89177328</v>
      </c>
      <c r="E500" s="1" t="s">
        <v>24</v>
      </c>
      <c r="F500" s="1" t="str">
        <f t="shared" si="56"/>
        <v>0010</v>
      </c>
      <c r="G500" s="1" t="str">
        <f>""</f>
        <v/>
      </c>
      <c r="H500" s="1" t="str">
        <f>"0018"</f>
        <v>0018</v>
      </c>
      <c r="I500" s="1" t="s">
        <v>36</v>
      </c>
      <c r="J500" s="1" t="str">
        <f>"01043977572"</f>
        <v>01043977572</v>
      </c>
      <c r="K500" s="1" t="str">
        <f>"2017-04-10 10:00:56"</f>
        <v>2017-04-10 10:00:56</v>
      </c>
      <c r="L500" s="1" t="str">
        <f>"2017-04-10 10:01:32"</f>
        <v>2017-04-10 10:01:32</v>
      </c>
      <c r="M500" s="2">
        <v>6.0069444444444441E-3</v>
      </c>
      <c r="N500" s="1" t="s">
        <v>26</v>
      </c>
      <c r="O500" s="1" t="s">
        <v>34</v>
      </c>
      <c r="P500" s="2">
        <v>6.4236111111111117E-3</v>
      </c>
      <c r="Q500" s="1" t="s">
        <v>470</v>
      </c>
      <c r="R500" s="1">
        <v>0</v>
      </c>
      <c r="S500" s="1" t="str">
        <f>""</f>
        <v/>
      </c>
      <c r="T500" s="1" t="s">
        <v>29</v>
      </c>
      <c r="U500" s="1" t="s">
        <v>30</v>
      </c>
      <c r="V500" s="1">
        <v>0</v>
      </c>
    </row>
    <row r="501" spans="2:22" x14ac:dyDescent="0.15">
      <c r="B501" s="1" t="str">
        <f>"010****1083"</f>
        <v>010****1083</v>
      </c>
      <c r="C501" s="1" t="s">
        <v>23</v>
      </c>
      <c r="D501" s="1" t="str">
        <f t="shared" si="55"/>
        <v>89177328</v>
      </c>
      <c r="E501" s="1" t="s">
        <v>24</v>
      </c>
      <c r="F501" s="1" t="str">
        <f t="shared" si="56"/>
        <v>0010</v>
      </c>
      <c r="G501" s="1" t="str">
        <f>""</f>
        <v/>
      </c>
      <c r="H501" s="1" t="str">
        <f>"0033"</f>
        <v>0033</v>
      </c>
      <c r="I501" s="1" t="s">
        <v>106</v>
      </c>
      <c r="J501" s="1" t="str">
        <f>"01043977567"</f>
        <v>01043977567</v>
      </c>
      <c r="K501" s="1" t="str">
        <f>"2017-04-10 10:00:32"</f>
        <v>2017-04-10 10:00:32</v>
      </c>
      <c r="L501" s="1" t="str">
        <f>"2017-04-10 10:00:42"</f>
        <v>2017-04-10 10:00:42</v>
      </c>
      <c r="M501" s="2">
        <v>2.9629629629629628E-3</v>
      </c>
      <c r="N501" s="1" t="s">
        <v>26</v>
      </c>
      <c r="O501" s="1" t="s">
        <v>27</v>
      </c>
      <c r="P501" s="2">
        <v>3.0787037037037037E-3</v>
      </c>
      <c r="Q501" s="1" t="s">
        <v>471</v>
      </c>
      <c r="R501" s="1">
        <v>0</v>
      </c>
      <c r="S501" s="1" t="str">
        <f>""</f>
        <v/>
      </c>
      <c r="T501" s="1" t="s">
        <v>29</v>
      </c>
      <c r="U501" s="1" t="s">
        <v>30</v>
      </c>
      <c r="V501" s="1">
        <v>0</v>
      </c>
    </row>
    <row r="502" spans="2:22" x14ac:dyDescent="0.15">
      <c r="B502" s="1" t="str">
        <f>"158****4965"</f>
        <v>158****4965</v>
      </c>
      <c r="C502" s="1" t="s">
        <v>97</v>
      </c>
      <c r="D502" s="1" t="str">
        <f t="shared" si="55"/>
        <v>89177328</v>
      </c>
      <c r="E502" s="1" t="s">
        <v>24</v>
      </c>
      <c r="F502" s="1" t="str">
        <f t="shared" si="56"/>
        <v>0010</v>
      </c>
      <c r="G502" s="1" t="str">
        <f>""</f>
        <v/>
      </c>
      <c r="H502" s="1" t="str">
        <f>"0010"</f>
        <v>0010</v>
      </c>
      <c r="I502" s="1" t="s">
        <v>71</v>
      </c>
      <c r="J502" s="1" t="str">
        <f>"01043977571"</f>
        <v>01043977571</v>
      </c>
      <c r="K502" s="1" t="str">
        <f>"2017-04-10 09:49:48"</f>
        <v>2017-04-10 09:49:48</v>
      </c>
      <c r="L502" s="1" t="str">
        <f>"2017-04-10 09:49:58"</f>
        <v>2017-04-10 09:49:58</v>
      </c>
      <c r="M502" s="2">
        <v>9.4907407407407408E-4</v>
      </c>
      <c r="N502" s="1" t="s">
        <v>26</v>
      </c>
      <c r="O502" s="1" t="s">
        <v>27</v>
      </c>
      <c r="P502" s="2">
        <v>1.0648148148148147E-3</v>
      </c>
      <c r="Q502" s="1" t="s">
        <v>472</v>
      </c>
      <c r="R502" s="1">
        <v>0</v>
      </c>
      <c r="S502" s="1" t="str">
        <f>""</f>
        <v/>
      </c>
      <c r="T502" s="1" t="s">
        <v>29</v>
      </c>
      <c r="U502" s="1" t="s">
        <v>30</v>
      </c>
      <c r="V502" s="1">
        <v>0</v>
      </c>
    </row>
    <row r="503" spans="2:22" x14ac:dyDescent="0.15">
      <c r="B503" s="1" t="str">
        <f>"188****2778"</f>
        <v>188****2778</v>
      </c>
      <c r="C503" s="1" t="s">
        <v>23</v>
      </c>
      <c r="D503" s="1" t="str">
        <f t="shared" si="55"/>
        <v>89177328</v>
      </c>
      <c r="E503" s="1" t="s">
        <v>24</v>
      </c>
      <c r="F503" s="1" t="str">
        <f t="shared" si="56"/>
        <v>0010</v>
      </c>
      <c r="G503" s="1" t="str">
        <f>""</f>
        <v/>
      </c>
      <c r="H503" s="1" t="str">
        <f>"0033"</f>
        <v>0033</v>
      </c>
      <c r="I503" s="1" t="s">
        <v>106</v>
      </c>
      <c r="J503" s="1" t="str">
        <f>"01043977567"</f>
        <v>01043977567</v>
      </c>
      <c r="K503" s="1" t="str">
        <f>"2017-04-10 09:48:12"</f>
        <v>2017-04-10 09:48:12</v>
      </c>
      <c r="L503" s="1" t="str">
        <f>"2017-04-10 09:48:20"</f>
        <v>2017-04-10 09:48:20</v>
      </c>
      <c r="M503" s="2">
        <v>3.5532407407407405E-3</v>
      </c>
      <c r="N503" s="1" t="s">
        <v>26</v>
      </c>
      <c r="O503" s="1" t="s">
        <v>27</v>
      </c>
      <c r="P503" s="2">
        <v>3.645833333333333E-3</v>
      </c>
      <c r="Q503" s="1" t="s">
        <v>473</v>
      </c>
      <c r="R503" s="1">
        <v>0</v>
      </c>
      <c r="S503" s="1" t="str">
        <f>""</f>
        <v/>
      </c>
      <c r="T503" s="1" t="s">
        <v>29</v>
      </c>
      <c r="U503" s="1" t="s">
        <v>30</v>
      </c>
      <c r="V503" s="1">
        <v>0</v>
      </c>
    </row>
    <row r="504" spans="2:22" x14ac:dyDescent="0.15">
      <c r="B504" s="1" t="str">
        <f>"135****1268"</f>
        <v>135****1268</v>
      </c>
      <c r="C504" s="1" t="s">
        <v>23</v>
      </c>
      <c r="D504" s="1" t="str">
        <f t="shared" si="55"/>
        <v>89177328</v>
      </c>
      <c r="E504" s="1" t="s">
        <v>24</v>
      </c>
      <c r="F504" s="1" t="str">
        <f t="shared" si="56"/>
        <v>0010</v>
      </c>
      <c r="G504" s="1" t="str">
        <f>""</f>
        <v/>
      </c>
      <c r="H504" s="1" t="str">
        <f>"0035"</f>
        <v>0035</v>
      </c>
      <c r="I504" s="1" t="s">
        <v>25</v>
      </c>
      <c r="J504" s="1" t="str">
        <f>"01043977569"</f>
        <v>01043977569</v>
      </c>
      <c r="K504" s="1" t="str">
        <f>"2017-04-10 09:43:55"</f>
        <v>2017-04-10 09:43:55</v>
      </c>
      <c r="L504" s="1" t="str">
        <f>"2017-04-10 09:44:05"</f>
        <v>2017-04-10 09:44:05</v>
      </c>
      <c r="M504" s="2">
        <v>3.2175925925925926E-3</v>
      </c>
      <c r="N504" s="1" t="s">
        <v>26</v>
      </c>
      <c r="O504" s="1" t="s">
        <v>27</v>
      </c>
      <c r="P504" s="2">
        <v>3.3333333333333335E-3</v>
      </c>
      <c r="Q504" s="1" t="s">
        <v>474</v>
      </c>
      <c r="R504" s="1">
        <v>0</v>
      </c>
      <c r="S504" s="1" t="str">
        <f>""</f>
        <v/>
      </c>
      <c r="T504" s="1" t="s">
        <v>29</v>
      </c>
      <c r="U504" s="1" t="s">
        <v>30</v>
      </c>
      <c r="V504" s="1">
        <v>0</v>
      </c>
    </row>
    <row r="505" spans="2:22" x14ac:dyDescent="0.15">
      <c r="B505" s="1" t="str">
        <f>"136****4141"</f>
        <v>136****4141</v>
      </c>
      <c r="C505" s="1" t="s">
        <v>23</v>
      </c>
      <c r="D505" s="1" t="str">
        <f t="shared" si="55"/>
        <v>89177328</v>
      </c>
      <c r="E505" s="1" t="s">
        <v>24</v>
      </c>
      <c r="F505" s="1" t="str">
        <f t="shared" si="56"/>
        <v>0010</v>
      </c>
      <c r="G505" s="1" t="str">
        <f>""</f>
        <v/>
      </c>
      <c r="H505" s="1" t="str">
        <f>"0017"</f>
        <v>0017</v>
      </c>
      <c r="I505" s="1" t="s">
        <v>135</v>
      </c>
      <c r="J505" s="1" t="str">
        <f>"01043989717"</f>
        <v>01043989717</v>
      </c>
      <c r="K505" s="1" t="str">
        <f>"2017-04-10 09:42:32"</f>
        <v>2017-04-10 09:42:32</v>
      </c>
      <c r="L505" s="1" t="str">
        <f>"2017-04-10 09:42:40"</f>
        <v>2017-04-10 09:42:40</v>
      </c>
      <c r="M505" s="2">
        <v>3.530092592592592E-3</v>
      </c>
      <c r="N505" s="1" t="s">
        <v>26</v>
      </c>
      <c r="O505" s="1" t="s">
        <v>27</v>
      </c>
      <c r="P505" s="2">
        <v>3.6226851851851854E-3</v>
      </c>
      <c r="Q505" s="1" t="s">
        <v>475</v>
      </c>
      <c r="R505" s="1">
        <v>0</v>
      </c>
      <c r="S505" s="1" t="str">
        <f>""</f>
        <v/>
      </c>
      <c r="T505" s="1" t="s">
        <v>29</v>
      </c>
      <c r="U505" s="1" t="s">
        <v>30</v>
      </c>
      <c r="V505" s="1">
        <v>0</v>
      </c>
    </row>
    <row r="506" spans="2:22" x14ac:dyDescent="0.15">
      <c r="B506" s="1" t="str">
        <f>"177****3777"</f>
        <v>177****3777</v>
      </c>
      <c r="C506" s="1" t="s">
        <v>97</v>
      </c>
      <c r="D506" s="1" t="str">
        <f t="shared" si="55"/>
        <v>89177328</v>
      </c>
      <c r="E506" s="1" t="s">
        <v>24</v>
      </c>
      <c r="F506" s="1" t="str">
        <f t="shared" si="56"/>
        <v>0010</v>
      </c>
      <c r="G506" s="1" t="str">
        <f>""</f>
        <v/>
      </c>
      <c r="H506" s="1" t="str">
        <f>"0033"</f>
        <v>0033</v>
      </c>
      <c r="I506" s="1" t="s">
        <v>106</v>
      </c>
      <c r="J506" s="1" t="str">
        <f>"01043977567"</f>
        <v>01043977567</v>
      </c>
      <c r="K506" s="1" t="str">
        <f>"2017-04-10 09:34:28"</f>
        <v>2017-04-10 09:34:28</v>
      </c>
      <c r="L506" s="1" t="str">
        <f>"2017-04-10 09:34:37"</f>
        <v>2017-04-10 09:34:37</v>
      </c>
      <c r="M506" s="2">
        <v>4.1666666666666669E-4</v>
      </c>
      <c r="N506" s="1" t="s">
        <v>26</v>
      </c>
      <c r="O506" s="1" t="s">
        <v>34</v>
      </c>
      <c r="P506" s="2">
        <v>5.2083333333333333E-4</v>
      </c>
      <c r="Q506" s="1" t="s">
        <v>476</v>
      </c>
      <c r="R506" s="1">
        <v>0</v>
      </c>
      <c r="S506" s="1" t="str">
        <f>""</f>
        <v/>
      </c>
      <c r="T506" s="1" t="s">
        <v>29</v>
      </c>
      <c r="U506" s="1" t="s">
        <v>30</v>
      </c>
      <c r="V506" s="1">
        <v>0</v>
      </c>
    </row>
    <row r="507" spans="2:22" x14ac:dyDescent="0.15">
      <c r="B507" s="1" t="str">
        <f>"135****7739"</f>
        <v>135****7739</v>
      </c>
      <c r="C507" s="1" t="s">
        <v>23</v>
      </c>
      <c r="D507" s="1" t="str">
        <f t="shared" si="55"/>
        <v>89177328</v>
      </c>
      <c r="E507" s="1" t="s">
        <v>24</v>
      </c>
      <c r="F507" s="1" t="str">
        <f t="shared" si="56"/>
        <v>0010</v>
      </c>
      <c r="G507" s="1" t="str">
        <f>""</f>
        <v/>
      </c>
      <c r="H507" s="1" t="str">
        <f>"0036"</f>
        <v>0036</v>
      </c>
      <c r="I507" s="1" t="s">
        <v>143</v>
      </c>
      <c r="J507" s="1" t="str">
        <f>"01043977573"</f>
        <v>01043977573</v>
      </c>
      <c r="K507" s="1" t="str">
        <f>"2017-04-10 09:25:59"</f>
        <v>2017-04-10 09:25:59</v>
      </c>
      <c r="L507" s="1" t="str">
        <f>"2017-04-10 09:26:05"</f>
        <v>2017-04-10 09:26:05</v>
      </c>
      <c r="M507" s="2">
        <v>2.1157407407407406E-2</v>
      </c>
      <c r="N507" s="1" t="s">
        <v>26</v>
      </c>
      <c r="O507" s="1" t="s">
        <v>27</v>
      </c>
      <c r="P507" s="2">
        <v>2.1226851851851854E-2</v>
      </c>
      <c r="Q507" s="1" t="s">
        <v>477</v>
      </c>
      <c r="R507" s="1">
        <v>0</v>
      </c>
      <c r="S507" s="1" t="str">
        <f>""</f>
        <v/>
      </c>
      <c r="T507" s="1" t="s">
        <v>29</v>
      </c>
      <c r="U507" s="1" t="s">
        <v>30</v>
      </c>
      <c r="V507" s="1">
        <v>0</v>
      </c>
    </row>
    <row r="508" spans="2:22" x14ac:dyDescent="0.15">
      <c r="B508" s="1" t="str">
        <f>"135****6396"</f>
        <v>135****6396</v>
      </c>
      <c r="C508" s="1" t="s">
        <v>23</v>
      </c>
      <c r="D508" s="1" t="str">
        <f t="shared" si="55"/>
        <v>89177328</v>
      </c>
      <c r="E508" s="1" t="s">
        <v>24</v>
      </c>
      <c r="F508" s="1" t="str">
        <f t="shared" si="56"/>
        <v>0010</v>
      </c>
      <c r="G508" s="1" t="str">
        <f>""</f>
        <v/>
      </c>
      <c r="H508" s="1" t="str">
        <f>"0018"</f>
        <v>0018</v>
      </c>
      <c r="I508" s="1" t="s">
        <v>36</v>
      </c>
      <c r="J508" s="1" t="str">
        <f>"01043977572"</f>
        <v>01043977572</v>
      </c>
      <c r="K508" s="1" t="str">
        <f>"2017-04-10 09:19:54"</f>
        <v>2017-04-10 09:19:54</v>
      </c>
      <c r="L508" s="1" t="str">
        <f>"2017-04-10 09:20:02"</f>
        <v>2017-04-10 09:20:02</v>
      </c>
      <c r="M508" s="2">
        <v>2.3935185185185184E-2</v>
      </c>
      <c r="N508" s="1" t="s">
        <v>26</v>
      </c>
      <c r="O508" s="1" t="s">
        <v>34</v>
      </c>
      <c r="P508" s="2">
        <v>2.4027777777777776E-2</v>
      </c>
      <c r="Q508" s="1" t="s">
        <v>478</v>
      </c>
      <c r="R508" s="1">
        <v>0</v>
      </c>
      <c r="S508" s="1" t="str">
        <f>""</f>
        <v/>
      </c>
      <c r="T508" s="1" t="s">
        <v>29</v>
      </c>
      <c r="U508" s="1" t="s">
        <v>30</v>
      </c>
      <c r="V508" s="1">
        <v>0</v>
      </c>
    </row>
    <row r="509" spans="2:22" x14ac:dyDescent="0.15">
      <c r="B509" s="1" t="str">
        <f>"153****8236"</f>
        <v>153****8236</v>
      </c>
      <c r="C509" s="1" t="s">
        <v>51</v>
      </c>
      <c r="D509" s="1" t="str">
        <f t="shared" si="55"/>
        <v>89177328</v>
      </c>
      <c r="E509" s="1" t="s">
        <v>24</v>
      </c>
      <c r="F509" s="1" t="str">
        <f t="shared" si="56"/>
        <v>0010</v>
      </c>
      <c r="G509" s="1" t="str">
        <f>""</f>
        <v/>
      </c>
      <c r="H509" s="1" t="str">
        <f>"0036"</f>
        <v>0036</v>
      </c>
      <c r="I509" s="1" t="s">
        <v>143</v>
      </c>
      <c r="J509" s="1" t="str">
        <f>"01043977573"</f>
        <v>01043977573</v>
      </c>
      <c r="K509" s="1" t="str">
        <f>"2017-04-10 09:16:00"</f>
        <v>2017-04-10 09:16:00</v>
      </c>
      <c r="L509" s="1" t="str">
        <f>"2017-04-10 09:16:08"</f>
        <v>2017-04-10 09:16:08</v>
      </c>
      <c r="M509" s="2">
        <v>5.3819444444444453E-3</v>
      </c>
      <c r="N509" s="1" t="s">
        <v>26</v>
      </c>
      <c r="O509" s="1" t="s">
        <v>34</v>
      </c>
      <c r="P509" s="2">
        <v>5.4745370370370373E-3</v>
      </c>
      <c r="Q509" s="1" t="s">
        <v>479</v>
      </c>
      <c r="R509" s="1">
        <v>0</v>
      </c>
      <c r="S509" s="1" t="str">
        <f>""</f>
        <v/>
      </c>
      <c r="T509" s="1" t="s">
        <v>29</v>
      </c>
      <c r="U509" s="1" t="s">
        <v>30</v>
      </c>
      <c r="V509" s="1">
        <v>0</v>
      </c>
    </row>
    <row r="510" spans="2:22" x14ac:dyDescent="0.15">
      <c r="B510" s="1" t="str">
        <f>"150****9860"</f>
        <v>150****9860</v>
      </c>
      <c r="C510" s="1" t="s">
        <v>23</v>
      </c>
      <c r="D510" s="1" t="str">
        <f t="shared" si="55"/>
        <v>89177328</v>
      </c>
      <c r="E510" s="1" t="s">
        <v>24</v>
      </c>
      <c r="F510" s="1" t="str">
        <f t="shared" si="56"/>
        <v>0010</v>
      </c>
      <c r="G510" s="1" t="str">
        <f>""</f>
        <v/>
      </c>
      <c r="H510" s="1" t="str">
        <f>"0010"</f>
        <v>0010</v>
      </c>
      <c r="I510" s="1" t="s">
        <v>71</v>
      </c>
      <c r="J510" s="1" t="str">
        <f>"01043977571"</f>
        <v>01043977571</v>
      </c>
      <c r="K510" s="1" t="str">
        <f>"2017-04-10 09:10:30"</f>
        <v>2017-04-10 09:10:30</v>
      </c>
      <c r="L510" s="1" t="str">
        <f>"2017-04-10 09:10:40"</f>
        <v>2017-04-10 09:10:40</v>
      </c>
      <c r="M510" s="2">
        <v>1.1574074074074073E-3</v>
      </c>
      <c r="N510" s="1" t="s">
        <v>26</v>
      </c>
      <c r="O510" s="1" t="s">
        <v>27</v>
      </c>
      <c r="P510" s="2">
        <v>1.2731481481481483E-3</v>
      </c>
      <c r="Q510" s="1" t="s">
        <v>480</v>
      </c>
      <c r="R510" s="1">
        <v>0</v>
      </c>
      <c r="S510" s="1" t="str">
        <f>""</f>
        <v/>
      </c>
      <c r="T510" s="1" t="s">
        <v>29</v>
      </c>
      <c r="U510" s="1" t="s">
        <v>30</v>
      </c>
      <c r="V510" s="1">
        <v>0</v>
      </c>
    </row>
    <row r="511" spans="2:22" x14ac:dyDescent="0.15">
      <c r="B511" s="1" t="str">
        <f>"010****5803"</f>
        <v>010****5803</v>
      </c>
      <c r="C511" s="1" t="s">
        <v>23</v>
      </c>
      <c r="D511" s="1" t="str">
        <f t="shared" si="55"/>
        <v>89177328</v>
      </c>
      <c r="E511" s="1" t="s">
        <v>24</v>
      </c>
      <c r="F511" s="1" t="str">
        <f t="shared" si="56"/>
        <v>0010</v>
      </c>
      <c r="G511" s="1" t="str">
        <f>""</f>
        <v/>
      </c>
      <c r="H511" s="1" t="str">
        <f>"0010"</f>
        <v>0010</v>
      </c>
      <c r="I511" s="1" t="s">
        <v>71</v>
      </c>
      <c r="J511" s="1" t="str">
        <f>"01043977571"</f>
        <v>01043977571</v>
      </c>
      <c r="K511" s="1" t="str">
        <f>"2017-04-10 08:56:02"</f>
        <v>2017-04-10 08:56:02</v>
      </c>
      <c r="L511" s="1" t="str">
        <f>"2017-04-10 08:56:13"</f>
        <v>2017-04-10 08:56:13</v>
      </c>
      <c r="M511" s="2">
        <v>5.0925925925925921E-4</v>
      </c>
      <c r="N511" s="1" t="s">
        <v>26</v>
      </c>
      <c r="O511" s="1" t="s">
        <v>27</v>
      </c>
      <c r="P511" s="2">
        <v>6.3657407407407402E-4</v>
      </c>
      <c r="Q511" s="1" t="s">
        <v>481</v>
      </c>
      <c r="R511" s="1">
        <v>0</v>
      </c>
      <c r="S511" s="1" t="str">
        <f>""</f>
        <v/>
      </c>
      <c r="T511" s="1" t="s">
        <v>29</v>
      </c>
      <c r="U511" s="1" t="s">
        <v>30</v>
      </c>
      <c r="V511" s="1">
        <v>0</v>
      </c>
    </row>
    <row r="512" spans="2:22" x14ac:dyDescent="0.15">
      <c r="B512" s="1" t="str">
        <f>"010****3524"</f>
        <v>010****3524</v>
      </c>
      <c r="C512" s="1" t="s">
        <v>23</v>
      </c>
      <c r="D512" s="1" t="str">
        <f t="shared" si="55"/>
        <v>89177328</v>
      </c>
      <c r="E512" s="1" t="s">
        <v>24</v>
      </c>
      <c r="F512" s="1" t="str">
        <f t="shared" si="56"/>
        <v>0010</v>
      </c>
      <c r="G512" s="1" t="str">
        <f>""</f>
        <v/>
      </c>
      <c r="H512" s="1" t="str">
        <f>"0010"</f>
        <v>0010</v>
      </c>
      <c r="I512" s="1" t="s">
        <v>71</v>
      </c>
      <c r="J512" s="1" t="str">
        <f>"01043977571"</f>
        <v>01043977571</v>
      </c>
      <c r="K512" s="1" t="str">
        <f>"2017-04-10 08:55:29"</f>
        <v>2017-04-10 08:55:29</v>
      </c>
      <c r="L512" s="1" t="str">
        <f>"-"</f>
        <v>-</v>
      </c>
      <c r="M512" s="2">
        <v>0</v>
      </c>
      <c r="N512" s="1" t="s">
        <v>33</v>
      </c>
      <c r="O512" s="1" t="s">
        <v>34</v>
      </c>
      <c r="P512" s="2">
        <v>2.3148148148148147E-5</v>
      </c>
      <c r="Q512" s="1" t="str">
        <f>""</f>
        <v/>
      </c>
      <c r="R512" s="1">
        <v>0</v>
      </c>
      <c r="S512" s="1" t="str">
        <f>""</f>
        <v/>
      </c>
      <c r="T512" s="1" t="s">
        <v>29</v>
      </c>
      <c r="U512" s="1" t="s">
        <v>30</v>
      </c>
      <c r="V512" s="1">
        <v>0</v>
      </c>
    </row>
    <row r="513" spans="2:22" x14ac:dyDescent="0.15">
      <c r="B513" s="1" t="str">
        <f>"184****0884"</f>
        <v>184****0884</v>
      </c>
      <c r="C513" s="1" t="s">
        <v>23</v>
      </c>
      <c r="D513" s="1" t="str">
        <f t="shared" si="55"/>
        <v>89177328</v>
      </c>
      <c r="E513" s="1" t="s">
        <v>24</v>
      </c>
      <c r="F513" s="1" t="str">
        <f t="shared" si="56"/>
        <v>0010</v>
      </c>
      <c r="G513" s="1" t="str">
        <f>""</f>
        <v/>
      </c>
      <c r="H513" s="1" t="str">
        <f>"0017"</f>
        <v>0017</v>
      </c>
      <c r="I513" s="1" t="s">
        <v>135</v>
      </c>
      <c r="J513" s="1" t="str">
        <f>"01043989717"</f>
        <v>01043989717</v>
      </c>
      <c r="K513" s="1" t="str">
        <f>"2017-04-10 08:53:26"</f>
        <v>2017-04-10 08:53:26</v>
      </c>
      <c r="L513" s="1" t="str">
        <f>"2017-04-10 08:53:36"</f>
        <v>2017-04-10 08:53:36</v>
      </c>
      <c r="M513" s="2">
        <v>1.6782407407407406E-3</v>
      </c>
      <c r="N513" s="1" t="s">
        <v>26</v>
      </c>
      <c r="O513" s="1" t="s">
        <v>27</v>
      </c>
      <c r="P513" s="2">
        <v>1.7939814814814815E-3</v>
      </c>
      <c r="Q513" s="1" t="s">
        <v>482</v>
      </c>
      <c r="R513" s="1">
        <v>0</v>
      </c>
      <c r="S513" s="1" t="str">
        <f>""</f>
        <v/>
      </c>
      <c r="T513" s="1" t="s">
        <v>29</v>
      </c>
      <c r="U513" s="1" t="s">
        <v>30</v>
      </c>
      <c r="V513" s="1">
        <v>0</v>
      </c>
    </row>
    <row r="514" spans="2:22" x14ac:dyDescent="0.15">
      <c r="B514" s="1" t="str">
        <f>"180****4109"</f>
        <v>180****4109</v>
      </c>
      <c r="C514" s="1" t="s">
        <v>137</v>
      </c>
      <c r="D514" s="1" t="str">
        <f t="shared" si="55"/>
        <v>89177328</v>
      </c>
      <c r="E514" s="1" t="s">
        <v>24</v>
      </c>
      <c r="F514" s="1" t="str">
        <f t="shared" si="56"/>
        <v>0010</v>
      </c>
      <c r="G514" s="1" t="str">
        <f>""</f>
        <v/>
      </c>
      <c r="H514" s="1" t="str">
        <f>"0035"</f>
        <v>0035</v>
      </c>
      <c r="I514" s="1" t="s">
        <v>25</v>
      </c>
      <c r="J514" s="1" t="str">
        <f>"01043977569"</f>
        <v>01043977569</v>
      </c>
      <c r="K514" s="1" t="str">
        <f>"2017-04-10 08:50:22"</f>
        <v>2017-04-10 08:50:22</v>
      </c>
      <c r="L514" s="1" t="str">
        <f>"2017-04-10 08:50:32"</f>
        <v>2017-04-10 08:50:32</v>
      </c>
      <c r="M514" s="2">
        <v>2.0092592592592592E-2</v>
      </c>
      <c r="N514" s="1" t="s">
        <v>26</v>
      </c>
      <c r="O514" s="1" t="s">
        <v>27</v>
      </c>
      <c r="P514" s="2">
        <v>2.0208333333333335E-2</v>
      </c>
      <c r="Q514" s="1" t="s">
        <v>483</v>
      </c>
      <c r="R514" s="1">
        <v>0</v>
      </c>
      <c r="S514" s="1" t="str">
        <f>""</f>
        <v/>
      </c>
      <c r="T514" s="1" t="s">
        <v>29</v>
      </c>
      <c r="U514" s="1" t="s">
        <v>30</v>
      </c>
      <c r="V514" s="1">
        <v>0</v>
      </c>
    </row>
    <row r="515" spans="2:22" x14ac:dyDescent="0.15">
      <c r="B515" s="1" t="str">
        <f>"158****1878"</f>
        <v>158****1878</v>
      </c>
      <c r="C515" s="1" t="s">
        <v>458</v>
      </c>
      <c r="D515" s="1" t="str">
        <f t="shared" si="55"/>
        <v>89177328</v>
      </c>
      <c r="E515" s="1" t="s">
        <v>24</v>
      </c>
      <c r="F515" s="1" t="str">
        <f t="shared" si="56"/>
        <v>0010</v>
      </c>
      <c r="G515" s="1" t="str">
        <f>""</f>
        <v/>
      </c>
      <c r="H515" s="1" t="str">
        <f>"0018"</f>
        <v>0018</v>
      </c>
      <c r="I515" s="1" t="s">
        <v>36</v>
      </c>
      <c r="J515" s="1" t="str">
        <f>"01043977572"</f>
        <v>01043977572</v>
      </c>
      <c r="K515" s="1" t="str">
        <f>"2017-04-10 08:48:18"</f>
        <v>2017-04-10 08:48:18</v>
      </c>
      <c r="L515" s="1" t="str">
        <f>"2017-04-10 08:48:27"</f>
        <v>2017-04-10 08:48:27</v>
      </c>
      <c r="M515" s="2">
        <v>1.0752314814814814E-2</v>
      </c>
      <c r="N515" s="1" t="s">
        <v>26</v>
      </c>
      <c r="O515" s="1" t="s">
        <v>34</v>
      </c>
      <c r="P515" s="2">
        <v>1.0856481481481481E-2</v>
      </c>
      <c r="Q515" s="1" t="s">
        <v>484</v>
      </c>
      <c r="R515" s="1">
        <v>0</v>
      </c>
      <c r="S515" s="1" t="str">
        <f>""</f>
        <v/>
      </c>
      <c r="T515" s="1" t="s">
        <v>29</v>
      </c>
      <c r="U515" s="1" t="s">
        <v>30</v>
      </c>
      <c r="V515" s="1">
        <v>0</v>
      </c>
    </row>
    <row r="516" spans="2:22" x14ac:dyDescent="0.15">
      <c r="B516" s="1" t="str">
        <f>"150****5721"</f>
        <v>150****5721</v>
      </c>
      <c r="C516" s="1" t="s">
        <v>23</v>
      </c>
      <c r="D516" s="1" t="str">
        <f t="shared" si="55"/>
        <v>89177328</v>
      </c>
      <c r="E516" s="1" t="s">
        <v>24</v>
      </c>
      <c r="F516" s="1" t="str">
        <f t="shared" si="56"/>
        <v>0010</v>
      </c>
      <c r="G516" s="1" t="str">
        <f>""</f>
        <v/>
      </c>
      <c r="H516" s="1" t="str">
        <f>"0010"</f>
        <v>0010</v>
      </c>
      <c r="I516" s="1" t="s">
        <v>71</v>
      </c>
      <c r="J516" s="1" t="str">
        <f>"01043977571"</f>
        <v>01043977571</v>
      </c>
      <c r="K516" s="1" t="str">
        <f>"2017-04-10 08:41:01"</f>
        <v>2017-04-10 08:41:01</v>
      </c>
      <c r="L516" s="1" t="str">
        <f>"2017-04-10 08:41:11"</f>
        <v>2017-04-10 08:41:11</v>
      </c>
      <c r="M516" s="2">
        <v>3.2175925925925926E-3</v>
      </c>
      <c r="N516" s="1" t="s">
        <v>26</v>
      </c>
      <c r="O516" s="1" t="s">
        <v>27</v>
      </c>
      <c r="P516" s="2">
        <v>3.3333333333333335E-3</v>
      </c>
      <c r="Q516" s="1" t="s">
        <v>485</v>
      </c>
      <c r="R516" s="1">
        <v>0</v>
      </c>
      <c r="S516" s="1" t="str">
        <f>""</f>
        <v/>
      </c>
      <c r="T516" s="1" t="s">
        <v>29</v>
      </c>
      <c r="U516" s="1" t="s">
        <v>30</v>
      </c>
      <c r="V516" s="1">
        <v>0</v>
      </c>
    </row>
    <row r="517" spans="2:22" x14ac:dyDescent="0.15">
      <c r="B517" s="1" t="str">
        <f>"137****7416"</f>
        <v>137****7416</v>
      </c>
      <c r="C517" s="1" t="s">
        <v>23</v>
      </c>
      <c r="D517" s="1" t="str">
        <f t="shared" si="55"/>
        <v>89177328</v>
      </c>
      <c r="E517" s="1" t="s">
        <v>24</v>
      </c>
      <c r="F517" s="1" t="str">
        <f t="shared" si="56"/>
        <v>0010</v>
      </c>
      <c r="G517" s="1" t="str">
        <f>""</f>
        <v/>
      </c>
      <c r="H517" s="1" t="str">
        <f>"0036"</f>
        <v>0036</v>
      </c>
      <c r="I517" s="1" t="s">
        <v>143</v>
      </c>
      <c r="J517" s="1" t="str">
        <f>"01043977573"</f>
        <v>01043977573</v>
      </c>
      <c r="K517" s="1" t="str">
        <f>"2017-04-10 08:33:30"</f>
        <v>2017-04-10 08:33:30</v>
      </c>
      <c r="L517" s="1" t="str">
        <f>"2017-04-10 08:33:37"</f>
        <v>2017-04-10 08:33:37</v>
      </c>
      <c r="M517" s="2">
        <v>1.7847222222222223E-2</v>
      </c>
      <c r="N517" s="1" t="s">
        <v>26</v>
      </c>
      <c r="O517" s="1" t="s">
        <v>34</v>
      </c>
      <c r="P517" s="2">
        <v>1.7928240740740741E-2</v>
      </c>
      <c r="Q517" s="1" t="s">
        <v>486</v>
      </c>
      <c r="R517" s="1">
        <v>0</v>
      </c>
      <c r="S517" s="1" t="str">
        <f>""</f>
        <v/>
      </c>
      <c r="T517" s="1" t="s">
        <v>29</v>
      </c>
      <c r="U517" s="1" t="s">
        <v>30</v>
      </c>
      <c r="V517" s="1">
        <v>0</v>
      </c>
    </row>
    <row r="518" spans="2:22" x14ac:dyDescent="0.15">
      <c r="B518" s="1" t="str">
        <f>"136****5556"</f>
        <v>136****5556</v>
      </c>
      <c r="C518" s="1" t="s">
        <v>23</v>
      </c>
      <c r="D518" s="1" t="str">
        <f t="shared" si="55"/>
        <v>89177328</v>
      </c>
      <c r="E518" s="1" t="s">
        <v>24</v>
      </c>
      <c r="F518" s="1" t="str">
        <f t="shared" si="56"/>
        <v>0010</v>
      </c>
      <c r="G518" s="1" t="str">
        <f>""</f>
        <v/>
      </c>
      <c r="H518" s="1" t="str">
        <f>""</f>
        <v/>
      </c>
      <c r="I518" s="1" t="str">
        <f>""</f>
        <v/>
      </c>
      <c r="J518" s="1" t="str">
        <f>""</f>
        <v/>
      </c>
      <c r="K518" s="1" t="str">
        <f>"2017-04-10 08:25:44"</f>
        <v>2017-04-10 08:25:44</v>
      </c>
      <c r="L518" s="1" t="str">
        <f>"-"</f>
        <v>-</v>
      </c>
      <c r="M518" s="2">
        <v>0</v>
      </c>
      <c r="N518" s="1" t="s">
        <v>55</v>
      </c>
      <c r="O518" s="1" t="s">
        <v>34</v>
      </c>
      <c r="P518" s="2">
        <v>6.4814814814814813E-4</v>
      </c>
      <c r="Q518" s="1" t="str">
        <f>""</f>
        <v/>
      </c>
      <c r="R518" s="1">
        <v>0</v>
      </c>
      <c r="S518" s="1" t="str">
        <f>""</f>
        <v/>
      </c>
      <c r="T518" s="1" t="s">
        <v>29</v>
      </c>
      <c r="U518" s="1" t="s">
        <v>30</v>
      </c>
      <c r="V518" s="1">
        <v>0</v>
      </c>
    </row>
    <row r="519" spans="2:22" x14ac:dyDescent="0.15">
      <c r="B519" s="1" t="str">
        <f>"150****5721"</f>
        <v>150****5721</v>
      </c>
      <c r="C519" s="1" t="s">
        <v>23</v>
      </c>
      <c r="D519" s="1" t="str">
        <f t="shared" si="55"/>
        <v>89177328</v>
      </c>
      <c r="E519" s="1" t="s">
        <v>24</v>
      </c>
      <c r="F519" s="1" t="str">
        <f t="shared" si="56"/>
        <v>0010</v>
      </c>
      <c r="G519" s="1" t="str">
        <f>""</f>
        <v/>
      </c>
      <c r="H519" s="1" t="str">
        <f>""</f>
        <v/>
      </c>
      <c r="I519" s="1" t="str">
        <f>""</f>
        <v/>
      </c>
      <c r="J519" s="1" t="str">
        <f>""</f>
        <v/>
      </c>
      <c r="K519" s="1" t="str">
        <f>"2017-04-10 08:16:39"</f>
        <v>2017-04-10 08:16:39</v>
      </c>
      <c r="L519" s="1" t="str">
        <f>"-"</f>
        <v>-</v>
      </c>
      <c r="M519" s="2">
        <v>0</v>
      </c>
      <c r="N519" s="1" t="s">
        <v>55</v>
      </c>
      <c r="O519" s="1" t="s">
        <v>34</v>
      </c>
      <c r="P519" s="2">
        <v>1.0069444444444444E-3</v>
      </c>
      <c r="Q519" s="1" t="str">
        <f>""</f>
        <v/>
      </c>
      <c r="R519" s="1">
        <v>0</v>
      </c>
      <c r="S519" s="1" t="str">
        <f>""</f>
        <v/>
      </c>
      <c r="T519" s="1" t="s">
        <v>29</v>
      </c>
      <c r="U519" s="1" t="s">
        <v>30</v>
      </c>
      <c r="V519" s="1">
        <v>0</v>
      </c>
    </row>
    <row r="520" spans="2:22" x14ac:dyDescent="0.15">
      <c r="B520" s="1" t="str">
        <f>"156****9735"</f>
        <v>156****9735</v>
      </c>
      <c r="C520" s="1" t="s">
        <v>487</v>
      </c>
      <c r="D520" s="1" t="str">
        <f t="shared" si="55"/>
        <v>89177328</v>
      </c>
      <c r="E520" s="1" t="s">
        <v>24</v>
      </c>
      <c r="F520" s="1" t="str">
        <f t="shared" si="56"/>
        <v>0010</v>
      </c>
      <c r="G520" s="1" t="str">
        <f>""</f>
        <v/>
      </c>
      <c r="H520" s="1" t="str">
        <f>"0036"</f>
        <v>0036</v>
      </c>
      <c r="I520" s="1" t="s">
        <v>143</v>
      </c>
      <c r="J520" s="1" t="str">
        <f>"01043977573"</f>
        <v>01043977573</v>
      </c>
      <c r="K520" s="1" t="str">
        <f>"2017-04-10 08:09:48"</f>
        <v>2017-04-10 08:09:48</v>
      </c>
      <c r="L520" s="1" t="str">
        <f>"2017-04-10 08:09:59"</f>
        <v>2017-04-10 08:09:59</v>
      </c>
      <c r="M520" s="2">
        <v>1.1504629629629629E-2</v>
      </c>
      <c r="N520" s="1" t="s">
        <v>26</v>
      </c>
      <c r="O520" s="1" t="s">
        <v>34</v>
      </c>
      <c r="P520" s="2">
        <v>1.1631944444444445E-2</v>
      </c>
      <c r="Q520" s="1" t="s">
        <v>488</v>
      </c>
      <c r="R520" s="1">
        <v>0</v>
      </c>
      <c r="S520" s="1" t="str">
        <f>""</f>
        <v/>
      </c>
      <c r="T520" s="1" t="s">
        <v>29</v>
      </c>
      <c r="U520" s="1" t="s">
        <v>30</v>
      </c>
      <c r="V520" s="1">
        <v>0</v>
      </c>
    </row>
    <row r="521" spans="2:22" x14ac:dyDescent="0.15">
      <c r="B521" s="1" t="str">
        <f>"137****5561"</f>
        <v>137****5561</v>
      </c>
      <c r="C521" s="1" t="s">
        <v>23</v>
      </c>
      <c r="D521" s="1" t="str">
        <f t="shared" si="55"/>
        <v>89177328</v>
      </c>
      <c r="E521" s="1" t="s">
        <v>24</v>
      </c>
      <c r="F521" s="1" t="str">
        <f t="shared" si="56"/>
        <v>0010</v>
      </c>
      <c r="G521" s="1" t="str">
        <f>""</f>
        <v/>
      </c>
      <c r="H521" s="1" t="str">
        <f>"0017"</f>
        <v>0017</v>
      </c>
      <c r="I521" s="1" t="s">
        <v>135</v>
      </c>
      <c r="J521" s="1" t="str">
        <f>"01043989717"</f>
        <v>01043989717</v>
      </c>
      <c r="K521" s="1" t="str">
        <f>"2017-04-09 20:27:57"</f>
        <v>2017-04-09 20:27:57</v>
      </c>
      <c r="L521" s="1" t="str">
        <f>"-"</f>
        <v>-</v>
      </c>
      <c r="M521" s="2">
        <v>0</v>
      </c>
      <c r="N521" s="1" t="s">
        <v>33</v>
      </c>
      <c r="O521" s="1" t="s">
        <v>34</v>
      </c>
      <c r="P521" s="2">
        <v>2.3148148148148147E-5</v>
      </c>
      <c r="Q521" s="1" t="str">
        <f>""</f>
        <v/>
      </c>
      <c r="R521" s="1">
        <v>0</v>
      </c>
      <c r="S521" s="1" t="str">
        <f>""</f>
        <v/>
      </c>
      <c r="T521" s="1" t="s">
        <v>29</v>
      </c>
      <c r="U521" s="1" t="s">
        <v>30</v>
      </c>
      <c r="V521" s="1">
        <v>0</v>
      </c>
    </row>
    <row r="522" spans="2:22" x14ac:dyDescent="0.15">
      <c r="B522" s="1" t="str">
        <f>"010****2515"</f>
        <v>010****2515</v>
      </c>
      <c r="C522" s="1" t="s">
        <v>23</v>
      </c>
      <c r="D522" s="1" t="str">
        <f t="shared" si="55"/>
        <v>89177328</v>
      </c>
      <c r="E522" s="1" t="s">
        <v>24</v>
      </c>
      <c r="F522" s="1" t="str">
        <f t="shared" si="56"/>
        <v>0010</v>
      </c>
      <c r="G522" s="1" t="str">
        <f>""</f>
        <v/>
      </c>
      <c r="H522" s="1" t="str">
        <f>"0018"</f>
        <v>0018</v>
      </c>
      <c r="I522" s="1" t="s">
        <v>36</v>
      </c>
      <c r="J522" s="1" t="str">
        <f>"01043977572"</f>
        <v>01043977572</v>
      </c>
      <c r="K522" s="1" t="str">
        <f>"2017-04-09 20:18:32"</f>
        <v>2017-04-09 20:18:32</v>
      </c>
      <c r="L522" s="1" t="str">
        <f>"2017-04-09 20:18:44"</f>
        <v>2017-04-09 20:18:44</v>
      </c>
      <c r="M522" s="2">
        <v>1.5243055555555557E-2</v>
      </c>
      <c r="N522" s="1" t="s">
        <v>26</v>
      </c>
      <c r="O522" s="1" t="s">
        <v>34</v>
      </c>
      <c r="P522" s="2">
        <v>1.5381944444444443E-2</v>
      </c>
      <c r="Q522" s="1" t="s">
        <v>489</v>
      </c>
      <c r="R522" s="1">
        <v>0</v>
      </c>
      <c r="S522" s="1" t="str">
        <f>""</f>
        <v/>
      </c>
      <c r="T522" s="1" t="s">
        <v>29</v>
      </c>
      <c r="U522" s="1" t="s">
        <v>30</v>
      </c>
      <c r="V522" s="1">
        <v>0</v>
      </c>
    </row>
    <row r="523" spans="2:22" x14ac:dyDescent="0.15">
      <c r="B523" s="1" t="str">
        <f>"132****9580"</f>
        <v>132****9580</v>
      </c>
      <c r="C523" s="1" t="s">
        <v>23</v>
      </c>
      <c r="D523" s="1" t="str">
        <f t="shared" si="55"/>
        <v>89177328</v>
      </c>
      <c r="E523" s="1" t="s">
        <v>24</v>
      </c>
      <c r="F523" s="1" t="str">
        <f t="shared" si="56"/>
        <v>0010</v>
      </c>
      <c r="G523" s="1" t="str">
        <f>""</f>
        <v/>
      </c>
      <c r="H523" s="1" t="str">
        <f>"0018"</f>
        <v>0018</v>
      </c>
      <c r="I523" s="1" t="s">
        <v>36</v>
      </c>
      <c r="J523" s="1" t="str">
        <f>"01043977572"</f>
        <v>01043977572</v>
      </c>
      <c r="K523" s="1" t="str">
        <f>"2017-04-09 19:27:27"</f>
        <v>2017-04-09 19:27:27</v>
      </c>
      <c r="L523" s="1" t="str">
        <f>"2017-04-09 19:27:36"</f>
        <v>2017-04-09 19:27:36</v>
      </c>
      <c r="M523" s="2">
        <v>2.488425925925926E-3</v>
      </c>
      <c r="N523" s="1" t="s">
        <v>26</v>
      </c>
      <c r="O523" s="1" t="s">
        <v>34</v>
      </c>
      <c r="P523" s="2">
        <v>2.5925925925925925E-3</v>
      </c>
      <c r="Q523" s="1" t="s">
        <v>490</v>
      </c>
      <c r="R523" s="1">
        <v>0</v>
      </c>
      <c r="S523" s="1" t="str">
        <f>""</f>
        <v/>
      </c>
      <c r="T523" s="1" t="s">
        <v>29</v>
      </c>
      <c r="U523" s="1" t="s">
        <v>30</v>
      </c>
      <c r="V523" s="1">
        <v>0</v>
      </c>
    </row>
    <row r="524" spans="2:22" x14ac:dyDescent="0.15">
      <c r="B524" s="1" t="str">
        <f>"010****1068"</f>
        <v>010****1068</v>
      </c>
      <c r="C524" s="1" t="s">
        <v>23</v>
      </c>
      <c r="D524" s="1" t="str">
        <f t="shared" si="55"/>
        <v>89177328</v>
      </c>
      <c r="E524" s="1" t="s">
        <v>24</v>
      </c>
      <c r="F524" s="1" t="str">
        <f t="shared" si="56"/>
        <v>0010</v>
      </c>
      <c r="G524" s="1" t="str">
        <f>""</f>
        <v/>
      </c>
      <c r="H524" s="1" t="str">
        <f>"0035"</f>
        <v>0035</v>
      </c>
      <c r="I524" s="1" t="s">
        <v>25</v>
      </c>
      <c r="J524" s="1" t="str">
        <f>"01043977569"</f>
        <v>01043977569</v>
      </c>
      <c r="K524" s="1" t="str">
        <f>"2017-04-09 18:47:09"</f>
        <v>2017-04-09 18:47:09</v>
      </c>
      <c r="L524" s="1" t="str">
        <f>"2017-04-09 18:47:20"</f>
        <v>2017-04-09 18:47:20</v>
      </c>
      <c r="M524" s="2">
        <v>6.2731481481481484E-3</v>
      </c>
      <c r="N524" s="1" t="s">
        <v>26</v>
      </c>
      <c r="O524" s="1" t="s">
        <v>27</v>
      </c>
      <c r="P524" s="2">
        <v>6.4004629629629628E-3</v>
      </c>
      <c r="Q524" s="1" t="s">
        <v>491</v>
      </c>
      <c r="R524" s="1">
        <v>0</v>
      </c>
      <c r="S524" s="1" t="str">
        <f>""</f>
        <v/>
      </c>
      <c r="T524" s="1" t="s">
        <v>29</v>
      </c>
      <c r="U524" s="1" t="s">
        <v>30</v>
      </c>
      <c r="V524" s="1">
        <v>0</v>
      </c>
    </row>
    <row r="525" spans="2:22" x14ac:dyDescent="0.15">
      <c r="B525" s="1" t="str">
        <f>"159****7725"</f>
        <v>159****7725</v>
      </c>
      <c r="C525" s="1" t="s">
        <v>23</v>
      </c>
      <c r="D525" s="1" t="str">
        <f t="shared" si="55"/>
        <v>89177328</v>
      </c>
      <c r="E525" s="1" t="s">
        <v>24</v>
      </c>
      <c r="F525" s="1" t="str">
        <f t="shared" si="56"/>
        <v>0010</v>
      </c>
      <c r="G525" s="1" t="str">
        <f>""</f>
        <v/>
      </c>
      <c r="H525" s="1" t="str">
        <f t="shared" ref="H525:H533" si="57">"0018"</f>
        <v>0018</v>
      </c>
      <c r="I525" s="1" t="s">
        <v>36</v>
      </c>
      <c r="J525" s="1" t="str">
        <f t="shared" ref="J525:J533" si="58">"01043977572"</f>
        <v>01043977572</v>
      </c>
      <c r="K525" s="1" t="str">
        <f>"2017-04-09 18:47:00"</f>
        <v>2017-04-09 18:47:00</v>
      </c>
      <c r="L525" s="1" t="str">
        <f>"2017-04-09 18:47:10"</f>
        <v>2017-04-09 18:47:10</v>
      </c>
      <c r="M525" s="2">
        <v>2.0138888888888888E-3</v>
      </c>
      <c r="N525" s="1" t="s">
        <v>26</v>
      </c>
      <c r="O525" s="1" t="s">
        <v>34</v>
      </c>
      <c r="P525" s="2">
        <v>2.1296296296296298E-3</v>
      </c>
      <c r="Q525" s="1" t="s">
        <v>492</v>
      </c>
      <c r="R525" s="1">
        <v>0</v>
      </c>
      <c r="S525" s="1" t="str">
        <f>""</f>
        <v/>
      </c>
      <c r="T525" s="1" t="s">
        <v>29</v>
      </c>
      <c r="U525" s="1" t="s">
        <v>30</v>
      </c>
      <c r="V525" s="1">
        <v>0</v>
      </c>
    </row>
    <row r="526" spans="2:22" x14ac:dyDescent="0.15">
      <c r="B526" s="1" t="str">
        <f>"183****4280"</f>
        <v>183****4280</v>
      </c>
      <c r="C526" s="1" t="s">
        <v>23</v>
      </c>
      <c r="D526" s="1" t="str">
        <f t="shared" si="55"/>
        <v>89177328</v>
      </c>
      <c r="E526" s="1" t="s">
        <v>24</v>
      </c>
      <c r="F526" s="1" t="str">
        <f t="shared" si="56"/>
        <v>0010</v>
      </c>
      <c r="G526" s="1" t="str">
        <f>""</f>
        <v/>
      </c>
      <c r="H526" s="1" t="str">
        <f t="shared" si="57"/>
        <v>0018</v>
      </c>
      <c r="I526" s="1" t="s">
        <v>36</v>
      </c>
      <c r="J526" s="1" t="str">
        <f t="shared" si="58"/>
        <v>01043977572</v>
      </c>
      <c r="K526" s="1" t="str">
        <f>"2017-04-09 18:30:27"</f>
        <v>2017-04-09 18:30:27</v>
      </c>
      <c r="L526" s="1" t="str">
        <f t="shared" ref="L526:L533" si="59">"-"</f>
        <v>-</v>
      </c>
      <c r="M526" s="2">
        <v>0</v>
      </c>
      <c r="N526" s="1" t="s">
        <v>33</v>
      </c>
      <c r="O526" s="1" t="s">
        <v>34</v>
      </c>
      <c r="P526" s="2">
        <v>2.3148148148148147E-5</v>
      </c>
      <c r="Q526" s="1" t="str">
        <f>""</f>
        <v/>
      </c>
      <c r="R526" s="1">
        <v>0</v>
      </c>
      <c r="S526" s="1" t="str">
        <f>""</f>
        <v/>
      </c>
      <c r="T526" s="1" t="s">
        <v>29</v>
      </c>
      <c r="U526" s="1" t="s">
        <v>30</v>
      </c>
      <c r="V526" s="1">
        <v>0</v>
      </c>
    </row>
    <row r="527" spans="2:22" x14ac:dyDescent="0.15">
      <c r="B527" s="1" t="str">
        <f>"130****5656"</f>
        <v>130****5656</v>
      </c>
      <c r="C527" s="1" t="s">
        <v>112</v>
      </c>
      <c r="D527" s="1" t="str">
        <f t="shared" si="55"/>
        <v>89177328</v>
      </c>
      <c r="E527" s="1" t="s">
        <v>24</v>
      </c>
      <c r="F527" s="1" t="str">
        <f t="shared" si="56"/>
        <v>0010</v>
      </c>
      <c r="G527" s="1" t="str">
        <f>""</f>
        <v/>
      </c>
      <c r="H527" s="1" t="str">
        <f t="shared" si="57"/>
        <v>0018</v>
      </c>
      <c r="I527" s="1" t="s">
        <v>36</v>
      </c>
      <c r="J527" s="1" t="str">
        <f t="shared" si="58"/>
        <v>01043977572</v>
      </c>
      <c r="K527" s="1" t="str">
        <f>"2017-04-09 18:27:27"</f>
        <v>2017-04-09 18:27:27</v>
      </c>
      <c r="L527" s="1" t="str">
        <f t="shared" si="59"/>
        <v>-</v>
      </c>
      <c r="M527" s="2">
        <v>0</v>
      </c>
      <c r="N527" s="1" t="s">
        <v>33</v>
      </c>
      <c r="O527" s="1" t="s">
        <v>34</v>
      </c>
      <c r="P527" s="2">
        <v>4.6296296296296294E-5</v>
      </c>
      <c r="Q527" s="1" t="str">
        <f>""</f>
        <v/>
      </c>
      <c r="R527" s="1">
        <v>0</v>
      </c>
      <c r="S527" s="1" t="str">
        <f>""</f>
        <v/>
      </c>
      <c r="T527" s="1" t="s">
        <v>29</v>
      </c>
      <c r="U527" s="1" t="s">
        <v>30</v>
      </c>
      <c r="V527" s="1">
        <v>0</v>
      </c>
    </row>
    <row r="528" spans="2:22" x14ac:dyDescent="0.15">
      <c r="B528" s="1" t="str">
        <f>"183****4280"</f>
        <v>183****4280</v>
      </c>
      <c r="C528" s="1" t="s">
        <v>23</v>
      </c>
      <c r="D528" s="1" t="str">
        <f t="shared" si="55"/>
        <v>89177328</v>
      </c>
      <c r="E528" s="1" t="s">
        <v>24</v>
      </c>
      <c r="F528" s="1" t="str">
        <f t="shared" si="56"/>
        <v>0010</v>
      </c>
      <c r="G528" s="1" t="str">
        <f>""</f>
        <v/>
      </c>
      <c r="H528" s="1" t="str">
        <f t="shared" si="57"/>
        <v>0018</v>
      </c>
      <c r="I528" s="1" t="s">
        <v>36</v>
      </c>
      <c r="J528" s="1" t="str">
        <f t="shared" si="58"/>
        <v>01043977572</v>
      </c>
      <c r="K528" s="1" t="str">
        <f>"2017-04-09 18:21:21"</f>
        <v>2017-04-09 18:21:21</v>
      </c>
      <c r="L528" s="1" t="str">
        <f t="shared" si="59"/>
        <v>-</v>
      </c>
      <c r="M528" s="2">
        <v>0</v>
      </c>
      <c r="N528" s="1" t="s">
        <v>33</v>
      </c>
      <c r="O528" s="1" t="s">
        <v>34</v>
      </c>
      <c r="P528" s="2">
        <v>6.9444444444444444E-5</v>
      </c>
      <c r="Q528" s="1" t="str">
        <f>""</f>
        <v/>
      </c>
      <c r="R528" s="1">
        <v>0</v>
      </c>
      <c r="S528" s="1" t="str">
        <f>""</f>
        <v/>
      </c>
      <c r="T528" s="1" t="s">
        <v>29</v>
      </c>
      <c r="U528" s="1" t="s">
        <v>30</v>
      </c>
      <c r="V528" s="1">
        <v>0</v>
      </c>
    </row>
    <row r="529" spans="2:22" x14ac:dyDescent="0.15">
      <c r="B529" s="1" t="str">
        <f>"188****7867"</f>
        <v>188****7867</v>
      </c>
      <c r="C529" s="1" t="s">
        <v>23</v>
      </c>
      <c r="D529" s="1" t="str">
        <f t="shared" si="55"/>
        <v>89177328</v>
      </c>
      <c r="E529" s="1" t="s">
        <v>24</v>
      </c>
      <c r="F529" s="1" t="str">
        <f t="shared" si="56"/>
        <v>0010</v>
      </c>
      <c r="G529" s="1" t="str">
        <f>""</f>
        <v/>
      </c>
      <c r="H529" s="1" t="str">
        <f t="shared" si="57"/>
        <v>0018</v>
      </c>
      <c r="I529" s="1" t="s">
        <v>36</v>
      </c>
      <c r="J529" s="1" t="str">
        <f t="shared" si="58"/>
        <v>01043977572</v>
      </c>
      <c r="K529" s="1" t="str">
        <f>"2017-04-09 18:20:22"</f>
        <v>2017-04-09 18:20:22</v>
      </c>
      <c r="L529" s="1" t="str">
        <f t="shared" si="59"/>
        <v>-</v>
      </c>
      <c r="M529" s="2">
        <v>0</v>
      </c>
      <c r="N529" s="1" t="s">
        <v>33</v>
      </c>
      <c r="O529" s="1" t="s">
        <v>34</v>
      </c>
      <c r="P529" s="2">
        <v>8.1018518518518516E-5</v>
      </c>
      <c r="Q529" s="1" t="str">
        <f>""</f>
        <v/>
      </c>
      <c r="R529" s="1">
        <v>0</v>
      </c>
      <c r="S529" s="1" t="str">
        <f>""</f>
        <v/>
      </c>
      <c r="T529" s="1" t="s">
        <v>29</v>
      </c>
      <c r="U529" s="1" t="s">
        <v>30</v>
      </c>
      <c r="V529" s="1">
        <v>0</v>
      </c>
    </row>
    <row r="530" spans="2:22" x14ac:dyDescent="0.15">
      <c r="B530" s="1" t="str">
        <f>"130****5656"</f>
        <v>130****5656</v>
      </c>
      <c r="C530" s="1" t="s">
        <v>112</v>
      </c>
      <c r="D530" s="1" t="str">
        <f t="shared" si="55"/>
        <v>89177328</v>
      </c>
      <c r="E530" s="1" t="s">
        <v>24</v>
      </c>
      <c r="F530" s="1" t="str">
        <f t="shared" si="56"/>
        <v>0010</v>
      </c>
      <c r="G530" s="1" t="str">
        <f>""</f>
        <v/>
      </c>
      <c r="H530" s="1" t="str">
        <f t="shared" si="57"/>
        <v>0018</v>
      </c>
      <c r="I530" s="1" t="s">
        <v>36</v>
      </c>
      <c r="J530" s="1" t="str">
        <f t="shared" si="58"/>
        <v>01043977572</v>
      </c>
      <c r="K530" s="1" t="str">
        <f>"2017-04-09 18:20:13"</f>
        <v>2017-04-09 18:20:13</v>
      </c>
      <c r="L530" s="1" t="str">
        <f t="shared" si="59"/>
        <v>-</v>
      </c>
      <c r="M530" s="2">
        <v>0</v>
      </c>
      <c r="N530" s="1" t="s">
        <v>33</v>
      </c>
      <c r="O530" s="1" t="s">
        <v>34</v>
      </c>
      <c r="P530" s="2">
        <v>5.7870370370370366E-5</v>
      </c>
      <c r="Q530" s="1" t="str">
        <f>""</f>
        <v/>
      </c>
      <c r="R530" s="1">
        <v>0</v>
      </c>
      <c r="S530" s="1" t="str">
        <f>""</f>
        <v/>
      </c>
      <c r="T530" s="1" t="s">
        <v>29</v>
      </c>
      <c r="U530" s="1" t="s">
        <v>30</v>
      </c>
      <c r="V530" s="1">
        <v>0</v>
      </c>
    </row>
    <row r="531" spans="2:22" x14ac:dyDescent="0.15">
      <c r="B531" s="1" t="str">
        <f>"188****7867"</f>
        <v>188****7867</v>
      </c>
      <c r="C531" s="1" t="s">
        <v>23</v>
      </c>
      <c r="D531" s="1" t="str">
        <f t="shared" si="55"/>
        <v>89177328</v>
      </c>
      <c r="E531" s="1" t="s">
        <v>24</v>
      </c>
      <c r="F531" s="1" t="str">
        <f t="shared" si="56"/>
        <v>0010</v>
      </c>
      <c r="G531" s="1" t="str">
        <f>""</f>
        <v/>
      </c>
      <c r="H531" s="1" t="str">
        <f t="shared" si="57"/>
        <v>0018</v>
      </c>
      <c r="I531" s="1" t="s">
        <v>36</v>
      </c>
      <c r="J531" s="1" t="str">
        <f t="shared" si="58"/>
        <v>01043977572</v>
      </c>
      <c r="K531" s="1" t="str">
        <f>"2017-04-09 18:16:04"</f>
        <v>2017-04-09 18:16:04</v>
      </c>
      <c r="L531" s="1" t="str">
        <f t="shared" si="59"/>
        <v>-</v>
      </c>
      <c r="M531" s="2">
        <v>0</v>
      </c>
      <c r="N531" s="1" t="s">
        <v>33</v>
      </c>
      <c r="O531" s="1" t="s">
        <v>34</v>
      </c>
      <c r="P531" s="2">
        <v>2.3148148148148147E-5</v>
      </c>
      <c r="Q531" s="1" t="str">
        <f>""</f>
        <v/>
      </c>
      <c r="R531" s="1">
        <v>0</v>
      </c>
      <c r="S531" s="1" t="str">
        <f>""</f>
        <v/>
      </c>
      <c r="T531" s="1" t="s">
        <v>29</v>
      </c>
      <c r="U531" s="1" t="s">
        <v>30</v>
      </c>
      <c r="V531" s="1">
        <v>0</v>
      </c>
    </row>
    <row r="532" spans="2:22" x14ac:dyDescent="0.15">
      <c r="B532" s="1" t="str">
        <f>"130****5656"</f>
        <v>130****5656</v>
      </c>
      <c r="C532" s="1" t="s">
        <v>112</v>
      </c>
      <c r="D532" s="1" t="str">
        <f t="shared" si="55"/>
        <v>89177328</v>
      </c>
      <c r="E532" s="1" t="s">
        <v>24</v>
      </c>
      <c r="F532" s="1" t="str">
        <f t="shared" si="56"/>
        <v>0010</v>
      </c>
      <c r="G532" s="1" t="str">
        <f>""</f>
        <v/>
      </c>
      <c r="H532" s="1" t="str">
        <f t="shared" si="57"/>
        <v>0018</v>
      </c>
      <c r="I532" s="1" t="s">
        <v>36</v>
      </c>
      <c r="J532" s="1" t="str">
        <f t="shared" si="58"/>
        <v>01043977572</v>
      </c>
      <c r="K532" s="1" t="str">
        <f>"2017-04-09 18:15:35"</f>
        <v>2017-04-09 18:15:35</v>
      </c>
      <c r="L532" s="1" t="str">
        <f t="shared" si="59"/>
        <v>-</v>
      </c>
      <c r="M532" s="2">
        <v>0</v>
      </c>
      <c r="N532" s="1" t="s">
        <v>33</v>
      </c>
      <c r="O532" s="1" t="s">
        <v>34</v>
      </c>
      <c r="P532" s="2">
        <v>8.1018518518518516E-5</v>
      </c>
      <c r="Q532" s="1" t="str">
        <f>""</f>
        <v/>
      </c>
      <c r="R532" s="1">
        <v>0</v>
      </c>
      <c r="S532" s="1" t="str">
        <f>""</f>
        <v/>
      </c>
      <c r="T532" s="1" t="s">
        <v>29</v>
      </c>
      <c r="U532" s="1" t="s">
        <v>30</v>
      </c>
      <c r="V532" s="1">
        <v>0</v>
      </c>
    </row>
    <row r="533" spans="2:22" x14ac:dyDescent="0.15">
      <c r="B533" s="1" t="str">
        <f>"150****8528"</f>
        <v>150****8528</v>
      </c>
      <c r="C533" s="1" t="s">
        <v>458</v>
      </c>
      <c r="D533" s="1" t="str">
        <f t="shared" si="55"/>
        <v>89177328</v>
      </c>
      <c r="E533" s="1" t="s">
        <v>24</v>
      </c>
      <c r="F533" s="1" t="str">
        <f t="shared" si="56"/>
        <v>0010</v>
      </c>
      <c r="G533" s="1" t="str">
        <f>""</f>
        <v/>
      </c>
      <c r="H533" s="1" t="str">
        <f t="shared" si="57"/>
        <v>0018</v>
      </c>
      <c r="I533" s="1" t="s">
        <v>36</v>
      </c>
      <c r="J533" s="1" t="str">
        <f t="shared" si="58"/>
        <v>01043977572</v>
      </c>
      <c r="K533" s="1" t="str">
        <f>"2017-04-09 18:08:47"</f>
        <v>2017-04-09 18:08:47</v>
      </c>
      <c r="L533" s="1" t="str">
        <f t="shared" si="59"/>
        <v>-</v>
      </c>
      <c r="M533" s="2">
        <v>0</v>
      </c>
      <c r="N533" s="1" t="s">
        <v>33</v>
      </c>
      <c r="O533" s="1" t="s">
        <v>34</v>
      </c>
      <c r="P533" s="2">
        <v>2.3148148148148147E-5</v>
      </c>
      <c r="Q533" s="1" t="str">
        <f>""</f>
        <v/>
      </c>
      <c r="R533" s="1">
        <v>0</v>
      </c>
      <c r="S533" s="1" t="str">
        <f>""</f>
        <v/>
      </c>
      <c r="T533" s="1" t="s">
        <v>29</v>
      </c>
      <c r="U533" s="1" t="s">
        <v>30</v>
      </c>
      <c r="V533" s="1">
        <v>0</v>
      </c>
    </row>
    <row r="534" spans="2:22" x14ac:dyDescent="0.15">
      <c r="B534" s="1" t="str">
        <f>"133****5239"</f>
        <v>133****5239</v>
      </c>
      <c r="C534" s="1" t="s">
        <v>23</v>
      </c>
      <c r="D534" s="1" t="str">
        <f t="shared" si="55"/>
        <v>89177328</v>
      </c>
      <c r="E534" s="1" t="s">
        <v>24</v>
      </c>
      <c r="F534" s="1" t="str">
        <f t="shared" si="56"/>
        <v>0010</v>
      </c>
      <c r="G534" s="1" t="str">
        <f>""</f>
        <v/>
      </c>
      <c r="H534" s="1" t="str">
        <f>"0035"</f>
        <v>0035</v>
      </c>
      <c r="I534" s="1" t="s">
        <v>25</v>
      </c>
      <c r="J534" s="1" t="str">
        <f>"01043977569"</f>
        <v>01043977569</v>
      </c>
      <c r="K534" s="1" t="str">
        <f>"2017-04-09 17:25:34"</f>
        <v>2017-04-09 17:25:34</v>
      </c>
      <c r="L534" s="1" t="str">
        <f>"2017-04-09 17:25:42"</f>
        <v>2017-04-09 17:25:42</v>
      </c>
      <c r="M534" s="2">
        <v>1.9699074074074074E-2</v>
      </c>
      <c r="N534" s="1" t="s">
        <v>26</v>
      </c>
      <c r="O534" s="1" t="s">
        <v>27</v>
      </c>
      <c r="P534" s="2">
        <v>1.9791666666666666E-2</v>
      </c>
      <c r="Q534" s="1" t="s">
        <v>493</v>
      </c>
      <c r="R534" s="1">
        <v>0</v>
      </c>
      <c r="S534" s="1" t="str">
        <f>""</f>
        <v/>
      </c>
      <c r="T534" s="1" t="s">
        <v>29</v>
      </c>
      <c r="U534" s="1" t="s">
        <v>30</v>
      </c>
      <c r="V534" s="1">
        <v>0</v>
      </c>
    </row>
    <row r="535" spans="2:22" x14ac:dyDescent="0.15">
      <c r="B535" s="1" t="str">
        <f>"186****8776"</f>
        <v>186****8776</v>
      </c>
      <c r="C535" s="1" t="s">
        <v>188</v>
      </c>
      <c r="D535" s="1" t="str">
        <f>"4000108333"</f>
        <v>4000108333</v>
      </c>
      <c r="E535" s="1" t="s">
        <v>53</v>
      </c>
      <c r="F535" s="1" t="str">
        <f>"0000"</f>
        <v>0000</v>
      </c>
      <c r="G535" s="1" t="str">
        <f>""</f>
        <v/>
      </c>
      <c r="H535" s="1" t="str">
        <f>"1010"</f>
        <v>1010</v>
      </c>
      <c r="I535" s="1" t="s">
        <v>148</v>
      </c>
      <c r="J535" s="1" t="str">
        <f>"13718091869"</f>
        <v>13718091869</v>
      </c>
      <c r="K535" s="1" t="str">
        <f>"2017-04-09 17:17:51"</f>
        <v>2017-04-09 17:17:51</v>
      </c>
      <c r="L535" s="1" t="str">
        <f>"2017-04-09 17:18:29"</f>
        <v>2017-04-09 17:18:29</v>
      </c>
      <c r="M535" s="2">
        <v>1.9571759259259257E-2</v>
      </c>
      <c r="N535" s="1" t="s">
        <v>26</v>
      </c>
      <c r="O535" s="1" t="s">
        <v>34</v>
      </c>
      <c r="P535" s="2">
        <v>2.0011574074074074E-2</v>
      </c>
      <c r="Q535" s="1" t="s">
        <v>494</v>
      </c>
      <c r="R535" s="1">
        <v>3.48</v>
      </c>
      <c r="S535" s="1" t="str">
        <f>""</f>
        <v/>
      </c>
      <c r="T535" s="1" t="s">
        <v>29</v>
      </c>
      <c r="U535" s="1" t="s">
        <v>30</v>
      </c>
      <c r="V535" s="1">
        <v>0</v>
      </c>
    </row>
    <row r="536" spans="2:22" x14ac:dyDescent="0.15">
      <c r="B536" s="1" t="str">
        <f>"186****8776"</f>
        <v>186****8776</v>
      </c>
      <c r="C536" s="1" t="s">
        <v>188</v>
      </c>
      <c r="D536" s="1" t="str">
        <f>"4000108333"</f>
        <v>4000108333</v>
      </c>
      <c r="E536" s="1" t="s">
        <v>53</v>
      </c>
      <c r="F536" s="1" t="str">
        <f>"0000"</f>
        <v>0000</v>
      </c>
      <c r="G536" s="1" t="str">
        <f>""</f>
        <v/>
      </c>
      <c r="H536" s="1" t="str">
        <f>"1010"</f>
        <v>1010</v>
      </c>
      <c r="I536" s="1" t="s">
        <v>148</v>
      </c>
      <c r="J536" s="1" t="str">
        <f>"13718091869"</f>
        <v>13718091869</v>
      </c>
      <c r="K536" s="1" t="str">
        <f>"2017-04-09 17:15:41"</f>
        <v>2017-04-09 17:15:41</v>
      </c>
      <c r="L536" s="1" t="str">
        <f>"2017-04-09 17:16:20"</f>
        <v>2017-04-09 17:16:20</v>
      </c>
      <c r="M536" s="2">
        <v>8.7962962962962962E-4</v>
      </c>
      <c r="N536" s="1" t="s">
        <v>26</v>
      </c>
      <c r="O536" s="1" t="s">
        <v>34</v>
      </c>
      <c r="P536" s="2">
        <v>1.3310185185185185E-3</v>
      </c>
      <c r="Q536" s="1" t="s">
        <v>495</v>
      </c>
      <c r="R536" s="1">
        <v>0.24</v>
      </c>
      <c r="S536" s="1" t="str">
        <f>""</f>
        <v/>
      </c>
      <c r="T536" s="1" t="s">
        <v>29</v>
      </c>
      <c r="U536" s="1" t="s">
        <v>30</v>
      </c>
      <c r="V536" s="1">
        <v>0</v>
      </c>
    </row>
    <row r="537" spans="2:22" x14ac:dyDescent="0.15">
      <c r="B537" s="1" t="str">
        <f>"186****8776"</f>
        <v>186****8776</v>
      </c>
      <c r="C537" s="1" t="s">
        <v>188</v>
      </c>
      <c r="D537" s="1" t="str">
        <f>"4000108333"</f>
        <v>4000108333</v>
      </c>
      <c r="E537" s="1" t="s">
        <v>53</v>
      </c>
      <c r="F537" s="1" t="str">
        <f>"0000"</f>
        <v>0000</v>
      </c>
      <c r="G537" s="1" t="str">
        <f>""</f>
        <v/>
      </c>
      <c r="H537" s="1" t="str">
        <f>"1010"</f>
        <v>1010</v>
      </c>
      <c r="I537" s="1" t="s">
        <v>148</v>
      </c>
      <c r="J537" s="1" t="str">
        <f>"13718091869"</f>
        <v>13718091869</v>
      </c>
      <c r="K537" s="1" t="str">
        <f>"2017-04-09 17:08:12"</f>
        <v>2017-04-09 17:08:12</v>
      </c>
      <c r="L537" s="1" t="str">
        <f>"2017-04-09 17:08:50"</f>
        <v>2017-04-09 17:08:50</v>
      </c>
      <c r="M537" s="2">
        <v>4.5717592592592589E-3</v>
      </c>
      <c r="N537" s="1" t="s">
        <v>26</v>
      </c>
      <c r="O537" s="1" t="s">
        <v>34</v>
      </c>
      <c r="P537" s="2">
        <v>5.0115740740740737E-3</v>
      </c>
      <c r="Q537" s="1" t="s">
        <v>496</v>
      </c>
      <c r="R537" s="1">
        <v>0.96</v>
      </c>
      <c r="S537" s="1" t="str">
        <f>""</f>
        <v/>
      </c>
      <c r="T537" s="1" t="s">
        <v>29</v>
      </c>
      <c r="U537" s="1" t="s">
        <v>30</v>
      </c>
      <c r="V537" s="1">
        <v>0</v>
      </c>
    </row>
    <row r="538" spans="2:22" x14ac:dyDescent="0.15">
      <c r="B538" s="1" t="str">
        <f>"010****0355"</f>
        <v>010****0355</v>
      </c>
      <c r="C538" s="1" t="s">
        <v>23</v>
      </c>
      <c r="D538" s="1" t="str">
        <f>"89177328"</f>
        <v>89177328</v>
      </c>
      <c r="E538" s="1" t="s">
        <v>24</v>
      </c>
      <c r="F538" s="1" t="str">
        <f>"0010"</f>
        <v>0010</v>
      </c>
      <c r="G538" s="1" t="str">
        <f>""</f>
        <v/>
      </c>
      <c r="H538" s="1" t="str">
        <f>"0017"</f>
        <v>0017</v>
      </c>
      <c r="I538" s="1" t="s">
        <v>135</v>
      </c>
      <c r="J538" s="1" t="str">
        <f>"01043989717"</f>
        <v>01043989717</v>
      </c>
      <c r="K538" s="1" t="str">
        <f>"2017-04-09 17:07:56"</f>
        <v>2017-04-09 17:07:56</v>
      </c>
      <c r="L538" s="1" t="str">
        <f>"2017-04-09 17:08:07"</f>
        <v>2017-04-09 17:08:07</v>
      </c>
      <c r="M538" s="2">
        <v>1.1249999999999998E-2</v>
      </c>
      <c r="N538" s="1" t="s">
        <v>26</v>
      </c>
      <c r="O538" s="1" t="s">
        <v>27</v>
      </c>
      <c r="P538" s="2">
        <v>1.1377314814814814E-2</v>
      </c>
      <c r="Q538" s="1" t="s">
        <v>497</v>
      </c>
      <c r="R538" s="1">
        <v>0</v>
      </c>
      <c r="S538" s="1" t="str">
        <f>""</f>
        <v/>
      </c>
      <c r="T538" s="1" t="s">
        <v>29</v>
      </c>
      <c r="U538" s="1" t="s">
        <v>30</v>
      </c>
      <c r="V538" s="1">
        <v>0</v>
      </c>
    </row>
    <row r="539" spans="2:22" x14ac:dyDescent="0.15">
      <c r="B539" s="1" t="str">
        <f>"010****5381"</f>
        <v>010****5381</v>
      </c>
      <c r="C539" s="1" t="s">
        <v>23</v>
      </c>
      <c r="D539" s="1" t="str">
        <f>"89177328"</f>
        <v>89177328</v>
      </c>
      <c r="E539" s="1" t="s">
        <v>24</v>
      </c>
      <c r="F539" s="1" t="str">
        <f>"0010"</f>
        <v>0010</v>
      </c>
      <c r="G539" s="1" t="str">
        <f>""</f>
        <v/>
      </c>
      <c r="H539" s="1" t="str">
        <f>"0035"</f>
        <v>0035</v>
      </c>
      <c r="I539" s="1" t="s">
        <v>25</v>
      </c>
      <c r="J539" s="1" t="str">
        <f>"01043977569"</f>
        <v>01043977569</v>
      </c>
      <c r="K539" s="1" t="str">
        <f>"2017-04-09 16:24:46"</f>
        <v>2017-04-09 16:24:46</v>
      </c>
      <c r="L539" s="1" t="str">
        <f>"-"</f>
        <v>-</v>
      </c>
      <c r="M539" s="2">
        <v>0</v>
      </c>
      <c r="N539" s="1" t="s">
        <v>33</v>
      </c>
      <c r="O539" s="1" t="s">
        <v>34</v>
      </c>
      <c r="P539" s="2">
        <v>2.3148148148148147E-5</v>
      </c>
      <c r="Q539" s="1" t="str">
        <f>""</f>
        <v/>
      </c>
      <c r="R539" s="1">
        <v>0</v>
      </c>
      <c r="S539" s="1" t="str">
        <f>""</f>
        <v/>
      </c>
      <c r="T539" s="1" t="s">
        <v>29</v>
      </c>
      <c r="U539" s="1" t="s">
        <v>30</v>
      </c>
      <c r="V539" s="1">
        <v>0</v>
      </c>
    </row>
    <row r="540" spans="2:22" x14ac:dyDescent="0.15">
      <c r="B540" s="1" t="str">
        <f>"185****2767"</f>
        <v>185****2767</v>
      </c>
      <c r="C540" s="1" t="s">
        <v>23</v>
      </c>
      <c r="D540" s="1" t="str">
        <f>"89177328"</f>
        <v>89177328</v>
      </c>
      <c r="E540" s="1" t="s">
        <v>24</v>
      </c>
      <c r="F540" s="1" t="str">
        <f>"0010"</f>
        <v>0010</v>
      </c>
      <c r="G540" s="1" t="str">
        <f>""</f>
        <v/>
      </c>
      <c r="H540" s="1" t="str">
        <f>"0035"</f>
        <v>0035</v>
      </c>
      <c r="I540" s="1" t="s">
        <v>25</v>
      </c>
      <c r="J540" s="1" t="str">
        <f>"01043977569"</f>
        <v>01043977569</v>
      </c>
      <c r="K540" s="1" t="str">
        <f>"2017-04-09 16:09:58"</f>
        <v>2017-04-09 16:09:58</v>
      </c>
      <c r="L540" s="1" t="str">
        <f>"2017-04-09 16:10:07"</f>
        <v>2017-04-09 16:10:07</v>
      </c>
      <c r="M540" s="2">
        <v>9.2592592592592585E-4</v>
      </c>
      <c r="N540" s="1" t="s">
        <v>26</v>
      </c>
      <c r="O540" s="1" t="s">
        <v>27</v>
      </c>
      <c r="P540" s="2">
        <v>1.0300925925925926E-3</v>
      </c>
      <c r="Q540" s="1" t="s">
        <v>498</v>
      </c>
      <c r="R540" s="1">
        <v>0</v>
      </c>
      <c r="S540" s="1" t="str">
        <f>""</f>
        <v/>
      </c>
      <c r="T540" s="1" t="s">
        <v>29</v>
      </c>
      <c r="U540" s="1" t="s">
        <v>30</v>
      </c>
      <c r="V540" s="1">
        <v>0</v>
      </c>
    </row>
    <row r="541" spans="2:22" x14ac:dyDescent="0.15">
      <c r="B541" s="1" t="str">
        <f>"151****9893"</f>
        <v>151****9893</v>
      </c>
      <c r="C541" s="1" t="s">
        <v>126</v>
      </c>
      <c r="D541" s="1" t="str">
        <f>"89177328"</f>
        <v>89177328</v>
      </c>
      <c r="E541" s="1" t="s">
        <v>24</v>
      </c>
      <c r="F541" s="1" t="str">
        <f>"0010"</f>
        <v>0010</v>
      </c>
      <c r="G541" s="1" t="str">
        <f>""</f>
        <v/>
      </c>
      <c r="H541" s="1" t="str">
        <f>"0010"</f>
        <v>0010</v>
      </c>
      <c r="I541" s="1" t="s">
        <v>71</v>
      </c>
      <c r="J541" s="1" t="str">
        <f>"01043977571"</f>
        <v>01043977571</v>
      </c>
      <c r="K541" s="1" t="str">
        <f>"2017-04-09 15:54:39"</f>
        <v>2017-04-09 15:54:39</v>
      </c>
      <c r="L541" s="1" t="str">
        <f>"2017-04-09 15:54:49"</f>
        <v>2017-04-09 15:54:49</v>
      </c>
      <c r="M541" s="2">
        <v>1.3043981481481483E-2</v>
      </c>
      <c r="N541" s="1" t="s">
        <v>26</v>
      </c>
      <c r="O541" s="1" t="s">
        <v>27</v>
      </c>
      <c r="P541" s="2">
        <v>1.315972222222222E-2</v>
      </c>
      <c r="Q541" s="1" t="s">
        <v>499</v>
      </c>
      <c r="R541" s="1">
        <v>0</v>
      </c>
      <c r="S541" s="1" t="str">
        <f>""</f>
        <v/>
      </c>
      <c r="T541" s="1" t="s">
        <v>29</v>
      </c>
      <c r="U541" s="1" t="s">
        <v>30</v>
      </c>
      <c r="V541" s="1">
        <v>0</v>
      </c>
    </row>
    <row r="542" spans="2:22" x14ac:dyDescent="0.15">
      <c r="B542" s="1" t="str">
        <f>"158****1716"</f>
        <v>158****1716</v>
      </c>
      <c r="C542" s="1" t="s">
        <v>269</v>
      </c>
      <c r="D542" s="1" t="str">
        <f>"4000108333"</f>
        <v>4000108333</v>
      </c>
      <c r="E542" s="1" t="s">
        <v>53</v>
      </c>
      <c r="F542" s="1" t="str">
        <f>""</f>
        <v/>
      </c>
      <c r="G542" s="1" t="str">
        <f>""</f>
        <v/>
      </c>
      <c r="H542" s="1" t="str">
        <f>""</f>
        <v/>
      </c>
      <c r="I542" s="1" t="str">
        <f>""</f>
        <v/>
      </c>
      <c r="J542" s="1" t="str">
        <f>""</f>
        <v/>
      </c>
      <c r="K542" s="1" t="str">
        <f>"2017-04-09 15:45:08"</f>
        <v>2017-04-09 15:45:08</v>
      </c>
      <c r="L542" s="1" t="str">
        <f>"-"</f>
        <v>-</v>
      </c>
      <c r="M542" s="2">
        <v>0</v>
      </c>
      <c r="N542" s="1" t="s">
        <v>55</v>
      </c>
      <c r="O542" s="1" t="s">
        <v>34</v>
      </c>
      <c r="P542" s="2">
        <v>2.0833333333333335E-4</v>
      </c>
      <c r="Q542" s="1" t="str">
        <f>""</f>
        <v/>
      </c>
      <c r="R542" s="1">
        <v>0.12</v>
      </c>
      <c r="S542" s="1" t="str">
        <f>""</f>
        <v/>
      </c>
      <c r="T542" s="1" t="s">
        <v>29</v>
      </c>
      <c r="U542" s="1" t="s">
        <v>30</v>
      </c>
      <c r="V542" s="1">
        <v>0</v>
      </c>
    </row>
    <row r="543" spans="2:22" x14ac:dyDescent="0.15">
      <c r="B543" s="1" t="str">
        <f>"158****1716"</f>
        <v>158****1716</v>
      </c>
      <c r="C543" s="1" t="s">
        <v>269</v>
      </c>
      <c r="D543" s="1" t="str">
        <f>"4000108333"</f>
        <v>4000108333</v>
      </c>
      <c r="E543" s="1" t="s">
        <v>53</v>
      </c>
      <c r="F543" s="1" t="str">
        <f>""</f>
        <v/>
      </c>
      <c r="G543" s="1" t="str">
        <f>""</f>
        <v/>
      </c>
      <c r="H543" s="1" t="str">
        <f>""</f>
        <v/>
      </c>
      <c r="I543" s="1" t="str">
        <f>""</f>
        <v/>
      </c>
      <c r="J543" s="1" t="str">
        <f>""</f>
        <v/>
      </c>
      <c r="K543" s="1" t="str">
        <f>"2017-04-09 15:44:17"</f>
        <v>2017-04-09 15:44:17</v>
      </c>
      <c r="L543" s="1" t="str">
        <f>"-"</f>
        <v>-</v>
      </c>
      <c r="M543" s="2">
        <v>0</v>
      </c>
      <c r="N543" s="1" t="s">
        <v>33</v>
      </c>
      <c r="O543" s="1" t="s">
        <v>27</v>
      </c>
      <c r="P543" s="2">
        <v>3.9351851851851852E-4</v>
      </c>
      <c r="Q543" s="1" t="str">
        <f>""</f>
        <v/>
      </c>
      <c r="R543" s="1">
        <v>0.12</v>
      </c>
      <c r="S543" s="1" t="str">
        <f>""</f>
        <v/>
      </c>
      <c r="T543" s="1" t="s">
        <v>29</v>
      </c>
      <c r="U543" s="1" t="s">
        <v>30</v>
      </c>
      <c r="V543" s="1">
        <v>0</v>
      </c>
    </row>
    <row r="544" spans="2:22" x14ac:dyDescent="0.15">
      <c r="B544" s="1" t="str">
        <f>"135****7759"</f>
        <v>135****7759</v>
      </c>
      <c r="C544" s="1" t="s">
        <v>23</v>
      </c>
      <c r="D544" s="1" t="str">
        <f>"89177328"</f>
        <v>89177328</v>
      </c>
      <c r="E544" s="1" t="s">
        <v>24</v>
      </c>
      <c r="F544" s="1" t="str">
        <f>"0010"</f>
        <v>0010</v>
      </c>
      <c r="G544" s="1" t="str">
        <f>""</f>
        <v/>
      </c>
      <c r="H544" s="1" t="str">
        <f>"0032"</f>
        <v>0032</v>
      </c>
      <c r="I544" s="1" t="s">
        <v>119</v>
      </c>
      <c r="J544" s="1" t="str">
        <f>"01043977566"</f>
        <v>01043977566</v>
      </c>
      <c r="K544" s="1" t="str">
        <f>"2017-04-09 15:37:52"</f>
        <v>2017-04-09 15:37:52</v>
      </c>
      <c r="L544" s="1" t="str">
        <f>"2017-04-09 15:38:07"</f>
        <v>2017-04-09 15:38:07</v>
      </c>
      <c r="M544" s="2">
        <v>5.0578703703703706E-3</v>
      </c>
      <c r="N544" s="1" t="s">
        <v>26</v>
      </c>
      <c r="O544" s="1" t="s">
        <v>34</v>
      </c>
      <c r="P544" s="2">
        <v>5.2314814814814819E-3</v>
      </c>
      <c r="Q544" s="1" t="s">
        <v>500</v>
      </c>
      <c r="R544" s="1">
        <v>0</v>
      </c>
      <c r="S544" s="1" t="str">
        <f>""</f>
        <v/>
      </c>
      <c r="T544" s="1" t="s">
        <v>29</v>
      </c>
      <c r="U544" s="1" t="s">
        <v>30</v>
      </c>
      <c r="V544" s="1">
        <v>0</v>
      </c>
    </row>
    <row r="545" spans="2:22" x14ac:dyDescent="0.15">
      <c r="B545" s="1" t="str">
        <f>"132****4947"</f>
        <v>132****4947</v>
      </c>
      <c r="C545" s="1" t="s">
        <v>23</v>
      </c>
      <c r="D545" s="1" t="str">
        <f>"89177328"</f>
        <v>89177328</v>
      </c>
      <c r="E545" s="1" t="s">
        <v>24</v>
      </c>
      <c r="F545" s="1" t="str">
        <f>"0010"</f>
        <v>0010</v>
      </c>
      <c r="G545" s="1" t="str">
        <f>""</f>
        <v/>
      </c>
      <c r="H545" s="1" t="str">
        <f>"0017"</f>
        <v>0017</v>
      </c>
      <c r="I545" s="1" t="s">
        <v>135</v>
      </c>
      <c r="J545" s="1" t="str">
        <f>"01043989717"</f>
        <v>01043989717</v>
      </c>
      <c r="K545" s="1" t="str">
        <f>"2017-04-09 15:36:25"</f>
        <v>2017-04-09 15:36:25</v>
      </c>
      <c r="L545" s="1" t="str">
        <f>"2017-04-09 15:36:37"</f>
        <v>2017-04-09 15:36:37</v>
      </c>
      <c r="M545" s="2">
        <v>1.5069444444444443E-2</v>
      </c>
      <c r="N545" s="1" t="s">
        <v>26</v>
      </c>
      <c r="O545" s="1" t="s">
        <v>27</v>
      </c>
      <c r="P545" s="2">
        <v>1.5208333333333332E-2</v>
      </c>
      <c r="Q545" s="1" t="s">
        <v>501</v>
      </c>
      <c r="R545" s="1">
        <v>0</v>
      </c>
      <c r="S545" s="1" t="str">
        <f>""</f>
        <v/>
      </c>
      <c r="T545" s="1" t="s">
        <v>29</v>
      </c>
      <c r="U545" s="1" t="s">
        <v>30</v>
      </c>
      <c r="V545" s="1">
        <v>0</v>
      </c>
    </row>
    <row r="546" spans="2:22" x14ac:dyDescent="0.15">
      <c r="B546" s="1" t="str">
        <f>"139****1918"</f>
        <v>139****1918</v>
      </c>
      <c r="C546" s="1" t="s">
        <v>487</v>
      </c>
      <c r="D546" s="1" t="str">
        <f>"89177328"</f>
        <v>89177328</v>
      </c>
      <c r="E546" s="1" t="s">
        <v>24</v>
      </c>
      <c r="F546" s="1" t="str">
        <f>"0010"</f>
        <v>0010</v>
      </c>
      <c r="G546" s="1" t="str">
        <f>""</f>
        <v/>
      </c>
      <c r="H546" s="1" t="str">
        <f>"0035"</f>
        <v>0035</v>
      </c>
      <c r="I546" s="1" t="s">
        <v>25</v>
      </c>
      <c r="J546" s="1" t="str">
        <f>"01043977569"</f>
        <v>01043977569</v>
      </c>
      <c r="K546" s="1" t="str">
        <f>"2017-04-09 15:22:53"</f>
        <v>2017-04-09 15:22:53</v>
      </c>
      <c r="L546" s="1" t="str">
        <f>"2017-04-09 15:23:02"</f>
        <v>2017-04-09 15:23:02</v>
      </c>
      <c r="M546" s="2">
        <v>1.7858796296296296E-2</v>
      </c>
      <c r="N546" s="1" t="s">
        <v>26</v>
      </c>
      <c r="O546" s="1" t="s">
        <v>27</v>
      </c>
      <c r="P546" s="2">
        <v>1.7962962962962962E-2</v>
      </c>
      <c r="Q546" s="1" t="s">
        <v>502</v>
      </c>
      <c r="R546" s="1">
        <v>0</v>
      </c>
      <c r="S546" s="1" t="str">
        <f>""</f>
        <v/>
      </c>
      <c r="T546" s="1" t="s">
        <v>29</v>
      </c>
      <c r="U546" s="1" t="s">
        <v>30</v>
      </c>
      <c r="V546" s="1">
        <v>0</v>
      </c>
    </row>
    <row r="547" spans="2:22" x14ac:dyDescent="0.15">
      <c r="B547" s="1" t="str">
        <f>"186****3801"</f>
        <v>186****3801</v>
      </c>
      <c r="C547" s="1" t="s">
        <v>23</v>
      </c>
      <c r="D547" s="1" t="str">
        <f>"4000108333"</f>
        <v>4000108333</v>
      </c>
      <c r="E547" s="1" t="s">
        <v>53</v>
      </c>
      <c r="F547" s="1" t="str">
        <f>"0001"</f>
        <v>0001</v>
      </c>
      <c r="G547" s="1" t="str">
        <f>""</f>
        <v/>
      </c>
      <c r="H547" s="1" t="str">
        <f>"0001"</f>
        <v>0001</v>
      </c>
      <c r="I547" s="1" t="s">
        <v>129</v>
      </c>
      <c r="J547" s="1" t="str">
        <f>"13699138136"</f>
        <v>13699138136</v>
      </c>
      <c r="K547" s="1" t="str">
        <f>"2017-04-09 15:12:28"</f>
        <v>2017-04-09 15:12:28</v>
      </c>
      <c r="L547" s="1" t="str">
        <f>"2017-04-09 15:15:17"</f>
        <v>2017-04-09 15:15:17</v>
      </c>
      <c r="M547" s="2">
        <v>7.2916666666666659E-3</v>
      </c>
      <c r="N547" s="1" t="s">
        <v>26</v>
      </c>
      <c r="O547" s="1" t="s">
        <v>27</v>
      </c>
      <c r="P547" s="2">
        <v>9.2476851851851852E-3</v>
      </c>
      <c r="Q547" s="1" t="s">
        <v>503</v>
      </c>
      <c r="R547" s="1">
        <v>1.68</v>
      </c>
      <c r="S547" s="1" t="str">
        <f>""</f>
        <v/>
      </c>
      <c r="T547" s="1" t="s">
        <v>29</v>
      </c>
      <c r="U547" s="1" t="s">
        <v>30</v>
      </c>
      <c r="V547" s="1">
        <v>0</v>
      </c>
    </row>
    <row r="548" spans="2:22" x14ac:dyDescent="0.15">
      <c r="B548" s="1" t="str">
        <f>"010****8649"</f>
        <v>010****8649</v>
      </c>
      <c r="C548" s="1" t="s">
        <v>23</v>
      </c>
      <c r="D548" s="1" t="str">
        <f t="shared" ref="D548:D610" si="60">"89177328"</f>
        <v>89177328</v>
      </c>
      <c r="E548" s="1" t="s">
        <v>24</v>
      </c>
      <c r="F548" s="1" t="str">
        <f t="shared" ref="F548:F609" si="61">"0010"</f>
        <v>0010</v>
      </c>
      <c r="G548" s="1" t="str">
        <f>""</f>
        <v/>
      </c>
      <c r="H548" s="1" t="str">
        <f>"0010"</f>
        <v>0010</v>
      </c>
      <c r="I548" s="1" t="s">
        <v>71</v>
      </c>
      <c r="J548" s="1" t="str">
        <f>"01043977571"</f>
        <v>01043977571</v>
      </c>
      <c r="K548" s="1" t="str">
        <f>"2017-04-09 15:04:16"</f>
        <v>2017-04-09 15:04:16</v>
      </c>
      <c r="L548" s="1" t="str">
        <f>"2017-04-09 15:06:45"</f>
        <v>2017-04-09 15:06:45</v>
      </c>
      <c r="M548" s="2">
        <v>1.207175925925926E-2</v>
      </c>
      <c r="N548" s="1" t="s">
        <v>26</v>
      </c>
      <c r="O548" s="1" t="s">
        <v>27</v>
      </c>
      <c r="P548" s="2">
        <v>1.3796296296296298E-2</v>
      </c>
      <c r="Q548" s="1" t="s">
        <v>504</v>
      </c>
      <c r="R548" s="1">
        <v>0</v>
      </c>
      <c r="S548" s="1" t="str">
        <f>""</f>
        <v/>
      </c>
      <c r="T548" s="1" t="s">
        <v>29</v>
      </c>
      <c r="U548" s="1" t="s">
        <v>30</v>
      </c>
      <c r="V548" s="1">
        <v>0</v>
      </c>
    </row>
    <row r="549" spans="2:22" x14ac:dyDescent="0.15">
      <c r="B549" s="1" t="str">
        <f>"116114"</f>
        <v>116114</v>
      </c>
      <c r="C549" s="1" t="s">
        <v>159</v>
      </c>
      <c r="D549" s="1" t="str">
        <f t="shared" si="60"/>
        <v>89177328</v>
      </c>
      <c r="E549" s="1" t="s">
        <v>24</v>
      </c>
      <c r="F549" s="1" t="str">
        <f t="shared" si="61"/>
        <v>0010</v>
      </c>
      <c r="G549" s="1" t="str">
        <f>""</f>
        <v/>
      </c>
      <c r="H549" s="1" t="str">
        <f>""</f>
        <v/>
      </c>
      <c r="I549" s="1" t="str">
        <f>""</f>
        <v/>
      </c>
      <c r="J549" s="1" t="str">
        <f>""</f>
        <v/>
      </c>
      <c r="K549" s="1" t="str">
        <f>"2017-04-09 15:03:42"</f>
        <v>2017-04-09 15:03:42</v>
      </c>
      <c r="L549" s="1" t="str">
        <f>"-"</f>
        <v>-</v>
      </c>
      <c r="M549" s="2">
        <v>0</v>
      </c>
      <c r="N549" s="1" t="s">
        <v>55</v>
      </c>
      <c r="O549" s="1" t="s">
        <v>34</v>
      </c>
      <c r="P549" s="2">
        <v>4.5138888888888892E-4</v>
      </c>
      <c r="Q549" s="1" t="str">
        <f>""</f>
        <v/>
      </c>
      <c r="R549" s="1">
        <v>0</v>
      </c>
      <c r="S549" s="1" t="str">
        <f>""</f>
        <v/>
      </c>
      <c r="T549" s="1" t="s">
        <v>29</v>
      </c>
      <c r="U549" s="1" t="s">
        <v>30</v>
      </c>
      <c r="V549" s="1">
        <v>0</v>
      </c>
    </row>
    <row r="550" spans="2:22" x14ac:dyDescent="0.15">
      <c r="B550" s="1" t="str">
        <f>"173****1603"</f>
        <v>173****1603</v>
      </c>
      <c r="C550" s="1" t="s">
        <v>99</v>
      </c>
      <c r="D550" s="1" t="str">
        <f t="shared" si="60"/>
        <v>89177328</v>
      </c>
      <c r="E550" s="1" t="s">
        <v>24</v>
      </c>
      <c r="F550" s="1" t="str">
        <f t="shared" si="61"/>
        <v>0010</v>
      </c>
      <c r="G550" s="1" t="str">
        <f>""</f>
        <v/>
      </c>
      <c r="H550" s="1" t="str">
        <f>"0032"</f>
        <v>0032</v>
      </c>
      <c r="I550" s="1" t="s">
        <v>119</v>
      </c>
      <c r="J550" s="1" t="str">
        <f>"01043977566"</f>
        <v>01043977566</v>
      </c>
      <c r="K550" s="1" t="str">
        <f>"2017-04-09 15:01:49"</f>
        <v>2017-04-09 15:01:49</v>
      </c>
      <c r="L550" s="1" t="str">
        <f>"2017-04-09 15:02:04"</f>
        <v>2017-04-09 15:02:04</v>
      </c>
      <c r="M550" s="2">
        <v>1.6585648148148148E-2</v>
      </c>
      <c r="N550" s="1" t="s">
        <v>26</v>
      </c>
      <c r="O550" s="1" t="s">
        <v>34</v>
      </c>
      <c r="P550" s="2">
        <v>1.6759259259259258E-2</v>
      </c>
      <c r="Q550" s="1" t="s">
        <v>505</v>
      </c>
      <c r="R550" s="1">
        <v>0</v>
      </c>
      <c r="S550" s="1" t="str">
        <f>""</f>
        <v/>
      </c>
      <c r="T550" s="1" t="s">
        <v>29</v>
      </c>
      <c r="U550" s="1" t="s">
        <v>30</v>
      </c>
      <c r="V550" s="1">
        <v>0</v>
      </c>
    </row>
    <row r="551" spans="2:22" x14ac:dyDescent="0.15">
      <c r="B551" s="1" t="str">
        <f>"132****3123"</f>
        <v>132****3123</v>
      </c>
      <c r="C551" s="1" t="s">
        <v>116</v>
      </c>
      <c r="D551" s="1" t="str">
        <f t="shared" si="60"/>
        <v>89177328</v>
      </c>
      <c r="E551" s="1" t="s">
        <v>24</v>
      </c>
      <c r="F551" s="1" t="str">
        <f t="shared" si="61"/>
        <v>0010</v>
      </c>
      <c r="G551" s="1" t="str">
        <f>""</f>
        <v/>
      </c>
      <c r="H551" s="1" t="str">
        <f>"0017"</f>
        <v>0017</v>
      </c>
      <c r="I551" s="1" t="s">
        <v>135</v>
      </c>
      <c r="J551" s="1" t="str">
        <f>"01043989717"</f>
        <v>01043989717</v>
      </c>
      <c r="K551" s="1" t="str">
        <f>"2017-04-09 14:57:55"</f>
        <v>2017-04-09 14:57:55</v>
      </c>
      <c r="L551" s="1" t="str">
        <f>"2017-04-09 14:58:03"</f>
        <v>2017-04-09 14:58:03</v>
      </c>
      <c r="M551" s="2">
        <v>9.9768518518518531E-3</v>
      </c>
      <c r="N551" s="1" t="s">
        <v>26</v>
      </c>
      <c r="O551" s="1" t="s">
        <v>27</v>
      </c>
      <c r="P551" s="2">
        <v>1.0069444444444445E-2</v>
      </c>
      <c r="Q551" s="1" t="s">
        <v>506</v>
      </c>
      <c r="R551" s="1">
        <v>0</v>
      </c>
      <c r="S551" s="1" t="str">
        <f>""</f>
        <v/>
      </c>
      <c r="T551" s="1" t="s">
        <v>29</v>
      </c>
      <c r="U551" s="1" t="s">
        <v>30</v>
      </c>
      <c r="V551" s="1">
        <v>0</v>
      </c>
    </row>
    <row r="552" spans="2:22" x14ac:dyDescent="0.15">
      <c r="B552" s="1" t="str">
        <f>"138****2032"</f>
        <v>138****2032</v>
      </c>
      <c r="C552" s="1" t="s">
        <v>51</v>
      </c>
      <c r="D552" s="1" t="str">
        <f t="shared" si="60"/>
        <v>89177328</v>
      </c>
      <c r="E552" s="1" t="s">
        <v>24</v>
      </c>
      <c r="F552" s="1" t="str">
        <f t="shared" si="61"/>
        <v>0010</v>
      </c>
      <c r="G552" s="1" t="str">
        <f>""</f>
        <v/>
      </c>
      <c r="H552" s="1" t="str">
        <f>"0010"</f>
        <v>0010</v>
      </c>
      <c r="I552" s="1" t="s">
        <v>71</v>
      </c>
      <c r="J552" s="1" t="str">
        <f>"01043977571"</f>
        <v>01043977571</v>
      </c>
      <c r="K552" s="1" t="str">
        <f>"2017-04-09 14:47:40"</f>
        <v>2017-04-09 14:47:40</v>
      </c>
      <c r="L552" s="1" t="str">
        <f>"2017-04-09 14:47:53"</f>
        <v>2017-04-09 14:47:53</v>
      </c>
      <c r="M552" s="2">
        <v>1.2905092592592591E-2</v>
      </c>
      <c r="N552" s="1" t="s">
        <v>26</v>
      </c>
      <c r="O552" s="1" t="s">
        <v>27</v>
      </c>
      <c r="P552" s="2">
        <v>1.3055555555555556E-2</v>
      </c>
      <c r="Q552" s="1" t="s">
        <v>507</v>
      </c>
      <c r="R552" s="1">
        <v>0</v>
      </c>
      <c r="S552" s="1" t="str">
        <f>""</f>
        <v/>
      </c>
      <c r="T552" s="1" t="s">
        <v>29</v>
      </c>
      <c r="U552" s="1" t="s">
        <v>30</v>
      </c>
      <c r="V552" s="1">
        <v>0</v>
      </c>
    </row>
    <row r="553" spans="2:22" x14ac:dyDescent="0.15">
      <c r="B553" s="1" t="str">
        <f>"135****2760"</f>
        <v>135****2760</v>
      </c>
      <c r="C553" s="1" t="s">
        <v>23</v>
      </c>
      <c r="D553" s="1" t="str">
        <f t="shared" si="60"/>
        <v>89177328</v>
      </c>
      <c r="E553" s="1" t="s">
        <v>24</v>
      </c>
      <c r="F553" s="1" t="str">
        <f t="shared" si="61"/>
        <v>0010</v>
      </c>
      <c r="G553" s="1" t="str">
        <f>""</f>
        <v/>
      </c>
      <c r="H553" s="1" t="str">
        <f>"0032"</f>
        <v>0032</v>
      </c>
      <c r="I553" s="1" t="s">
        <v>119</v>
      </c>
      <c r="J553" s="1" t="str">
        <f>"01043977566"</f>
        <v>01043977566</v>
      </c>
      <c r="K553" s="1" t="str">
        <f>"2017-04-09 14:44:27"</f>
        <v>2017-04-09 14:44:27</v>
      </c>
      <c r="L553" s="1" t="str">
        <f>"2017-04-09 14:47:05"</f>
        <v>2017-04-09 14:47:05</v>
      </c>
      <c r="M553" s="2">
        <v>2.4768518518518516E-3</v>
      </c>
      <c r="N553" s="1" t="s">
        <v>26</v>
      </c>
      <c r="O553" s="1" t="s">
        <v>34</v>
      </c>
      <c r="P553" s="2">
        <v>4.3055555555555555E-3</v>
      </c>
      <c r="Q553" s="1" t="s">
        <v>508</v>
      </c>
      <c r="R553" s="1">
        <v>0</v>
      </c>
      <c r="S553" s="1" t="str">
        <f>""</f>
        <v/>
      </c>
      <c r="T553" s="1" t="s">
        <v>29</v>
      </c>
      <c r="U553" s="1" t="s">
        <v>30</v>
      </c>
      <c r="V553" s="1">
        <v>0</v>
      </c>
    </row>
    <row r="554" spans="2:22" x14ac:dyDescent="0.15">
      <c r="B554" s="1" t="str">
        <f>"185****1154"</f>
        <v>185****1154</v>
      </c>
      <c r="C554" s="1" t="s">
        <v>23</v>
      </c>
      <c r="D554" s="1" t="str">
        <f t="shared" si="60"/>
        <v>89177328</v>
      </c>
      <c r="E554" s="1" t="s">
        <v>24</v>
      </c>
      <c r="F554" s="1" t="str">
        <f t="shared" si="61"/>
        <v>0010</v>
      </c>
      <c r="G554" s="1" t="str">
        <f>""</f>
        <v/>
      </c>
      <c r="H554" s="1" t="str">
        <f>"0035"</f>
        <v>0035</v>
      </c>
      <c r="I554" s="1" t="s">
        <v>25</v>
      </c>
      <c r="J554" s="1" t="str">
        <f>"01043977569"</f>
        <v>01043977569</v>
      </c>
      <c r="K554" s="1" t="str">
        <f>"2017-04-09 14:42:05"</f>
        <v>2017-04-09 14:42:05</v>
      </c>
      <c r="L554" s="1" t="str">
        <f>"2017-04-09 14:42:15"</f>
        <v>2017-04-09 14:42:15</v>
      </c>
      <c r="M554" s="2">
        <v>5.3819444444444453E-3</v>
      </c>
      <c r="N554" s="1" t="s">
        <v>26</v>
      </c>
      <c r="O554" s="1" t="s">
        <v>27</v>
      </c>
      <c r="P554" s="2">
        <v>5.4976851851851853E-3</v>
      </c>
      <c r="Q554" s="1" t="s">
        <v>509</v>
      </c>
      <c r="R554" s="1">
        <v>0</v>
      </c>
      <c r="S554" s="1" t="str">
        <f>""</f>
        <v/>
      </c>
      <c r="T554" s="1" t="s">
        <v>29</v>
      </c>
      <c r="U554" s="1" t="s">
        <v>30</v>
      </c>
      <c r="V554" s="1">
        <v>0</v>
      </c>
    </row>
    <row r="555" spans="2:22" x14ac:dyDescent="0.15">
      <c r="B555" s="1" t="str">
        <f>"135****1183"</f>
        <v>135****1183</v>
      </c>
      <c r="C555" s="1" t="s">
        <v>23</v>
      </c>
      <c r="D555" s="1" t="str">
        <f t="shared" si="60"/>
        <v>89177328</v>
      </c>
      <c r="E555" s="1" t="s">
        <v>24</v>
      </c>
      <c r="F555" s="1" t="str">
        <f t="shared" si="61"/>
        <v>0010</v>
      </c>
      <c r="G555" s="1" t="str">
        <f>""</f>
        <v/>
      </c>
      <c r="H555" s="1" t="str">
        <f>"0017"</f>
        <v>0017</v>
      </c>
      <c r="I555" s="1" t="s">
        <v>135</v>
      </c>
      <c r="J555" s="1" t="str">
        <f>"01043989717"</f>
        <v>01043989717</v>
      </c>
      <c r="K555" s="1" t="str">
        <f>"2017-04-09 14:37:37"</f>
        <v>2017-04-09 14:37:37</v>
      </c>
      <c r="L555" s="1" t="str">
        <f>"2017-04-09 14:37:45"</f>
        <v>2017-04-09 14:37:45</v>
      </c>
      <c r="M555" s="2">
        <v>8.113425925925925E-3</v>
      </c>
      <c r="N555" s="1" t="s">
        <v>26</v>
      </c>
      <c r="O555" s="1" t="s">
        <v>27</v>
      </c>
      <c r="P555" s="2">
        <v>8.2060185185185187E-3</v>
      </c>
      <c r="Q555" s="1" t="s">
        <v>510</v>
      </c>
      <c r="R555" s="1">
        <v>0</v>
      </c>
      <c r="S555" s="1" t="str">
        <f>""</f>
        <v/>
      </c>
      <c r="T555" s="1" t="s">
        <v>29</v>
      </c>
      <c r="U555" s="1" t="s">
        <v>30</v>
      </c>
      <c r="V555" s="1">
        <v>0</v>
      </c>
    </row>
    <row r="556" spans="2:22" x14ac:dyDescent="0.15">
      <c r="B556" s="1" t="str">
        <f>"131****0616"</f>
        <v>131****0616</v>
      </c>
      <c r="C556" s="1" t="s">
        <v>511</v>
      </c>
      <c r="D556" s="1" t="str">
        <f t="shared" si="60"/>
        <v>89177328</v>
      </c>
      <c r="E556" s="1" t="s">
        <v>24</v>
      </c>
      <c r="F556" s="1" t="str">
        <f t="shared" si="61"/>
        <v>0010</v>
      </c>
      <c r="G556" s="1" t="str">
        <f>""</f>
        <v/>
      </c>
      <c r="H556" s="1" t="str">
        <f>"0035"</f>
        <v>0035</v>
      </c>
      <c r="I556" s="1" t="s">
        <v>25</v>
      </c>
      <c r="J556" s="1" t="str">
        <f>"01043977569"</f>
        <v>01043977569</v>
      </c>
      <c r="K556" s="1" t="str">
        <f>"2017-04-09 14:18:20"</f>
        <v>2017-04-09 14:18:20</v>
      </c>
      <c r="L556" s="1" t="str">
        <f>"2017-04-09 14:18:29"</f>
        <v>2017-04-09 14:18:29</v>
      </c>
      <c r="M556" s="2">
        <v>1.0798611111111111E-2</v>
      </c>
      <c r="N556" s="1" t="s">
        <v>26</v>
      </c>
      <c r="O556" s="1" t="s">
        <v>34</v>
      </c>
      <c r="P556" s="2">
        <v>1.0902777777777777E-2</v>
      </c>
      <c r="Q556" s="1" t="s">
        <v>512</v>
      </c>
      <c r="R556" s="1">
        <v>0</v>
      </c>
      <c r="S556" s="1" t="str">
        <f>""</f>
        <v/>
      </c>
      <c r="T556" s="1" t="s">
        <v>29</v>
      </c>
      <c r="U556" s="1" t="s">
        <v>30</v>
      </c>
      <c r="V556" s="1">
        <v>0</v>
      </c>
    </row>
    <row r="557" spans="2:22" x14ac:dyDescent="0.15">
      <c r="B557" s="1" t="str">
        <f>"180****2925"</f>
        <v>180****2925</v>
      </c>
      <c r="C557" s="1" t="s">
        <v>23</v>
      </c>
      <c r="D557" s="1" t="str">
        <f t="shared" si="60"/>
        <v>89177328</v>
      </c>
      <c r="E557" s="1" t="s">
        <v>24</v>
      </c>
      <c r="F557" s="1" t="str">
        <f t="shared" si="61"/>
        <v>0010</v>
      </c>
      <c r="G557" s="1" t="str">
        <f>""</f>
        <v/>
      </c>
      <c r="H557" s="1" t="str">
        <f>"0035"</f>
        <v>0035</v>
      </c>
      <c r="I557" s="1" t="s">
        <v>25</v>
      </c>
      <c r="J557" s="1" t="str">
        <f>"01043977569"</f>
        <v>01043977569</v>
      </c>
      <c r="K557" s="1" t="str">
        <f>"2017-04-09 14:10:10"</f>
        <v>2017-04-09 14:10:10</v>
      </c>
      <c r="L557" s="1" t="str">
        <f>"2017-04-09 14:10:19"</f>
        <v>2017-04-09 14:10:19</v>
      </c>
      <c r="M557" s="2">
        <v>3.4375E-3</v>
      </c>
      <c r="N557" s="1" t="s">
        <v>26</v>
      </c>
      <c r="O557" s="1" t="s">
        <v>34</v>
      </c>
      <c r="P557" s="2">
        <v>3.5416666666666665E-3</v>
      </c>
      <c r="Q557" s="1" t="s">
        <v>513</v>
      </c>
      <c r="R557" s="1">
        <v>0</v>
      </c>
      <c r="S557" s="1" t="str">
        <f>""</f>
        <v/>
      </c>
      <c r="T557" s="1" t="s">
        <v>29</v>
      </c>
      <c r="U557" s="1" t="s">
        <v>30</v>
      </c>
      <c r="V557" s="1">
        <v>0</v>
      </c>
    </row>
    <row r="558" spans="2:22" x14ac:dyDescent="0.15">
      <c r="B558" s="1" t="str">
        <f>"170****7231"</f>
        <v>170****7231</v>
      </c>
      <c r="C558" s="1" t="s">
        <v>514</v>
      </c>
      <c r="D558" s="1" t="str">
        <f t="shared" si="60"/>
        <v>89177328</v>
      </c>
      <c r="E558" s="1" t="s">
        <v>24</v>
      </c>
      <c r="F558" s="1" t="str">
        <f t="shared" si="61"/>
        <v>0010</v>
      </c>
      <c r="G558" s="1" t="str">
        <f>""</f>
        <v/>
      </c>
      <c r="H558" s="1" t="str">
        <f>""</f>
        <v/>
      </c>
      <c r="I558" s="1" t="str">
        <f>""</f>
        <v/>
      </c>
      <c r="J558" s="1" t="str">
        <f>""</f>
        <v/>
      </c>
      <c r="K558" s="1" t="str">
        <f>"2017-04-09 13:59:52"</f>
        <v>2017-04-09 13:59:52</v>
      </c>
      <c r="L558" s="1" t="str">
        <f>"-"</f>
        <v>-</v>
      </c>
      <c r="M558" s="2">
        <v>0</v>
      </c>
      <c r="N558" s="1" t="s">
        <v>55</v>
      </c>
      <c r="O558" s="1" t="s">
        <v>34</v>
      </c>
      <c r="P558" s="2">
        <v>2.3148148148148147E-5</v>
      </c>
      <c r="Q558" s="1" t="str">
        <f>""</f>
        <v/>
      </c>
      <c r="R558" s="1">
        <v>0</v>
      </c>
      <c r="S558" s="1" t="str">
        <f>""</f>
        <v/>
      </c>
      <c r="T558" s="1" t="s">
        <v>29</v>
      </c>
      <c r="U558" s="1" t="s">
        <v>30</v>
      </c>
      <c r="V558" s="1">
        <v>0</v>
      </c>
    </row>
    <row r="559" spans="2:22" x14ac:dyDescent="0.15">
      <c r="B559" s="1" t="str">
        <f>"153****1530"</f>
        <v>153****1530</v>
      </c>
      <c r="C559" s="1" t="s">
        <v>23</v>
      </c>
      <c r="D559" s="1" t="str">
        <f t="shared" si="60"/>
        <v>89177328</v>
      </c>
      <c r="E559" s="1" t="s">
        <v>24</v>
      </c>
      <c r="F559" s="1" t="str">
        <f t="shared" si="61"/>
        <v>0010</v>
      </c>
      <c r="G559" s="1" t="str">
        <f>""</f>
        <v/>
      </c>
      <c r="H559" s="1" t="str">
        <f>"0035"</f>
        <v>0035</v>
      </c>
      <c r="I559" s="1" t="s">
        <v>25</v>
      </c>
      <c r="J559" s="1" t="str">
        <f>"01043977569"</f>
        <v>01043977569</v>
      </c>
      <c r="K559" s="1" t="str">
        <f>"2017-04-09 13:59:39"</f>
        <v>2017-04-09 13:59:39</v>
      </c>
      <c r="L559" s="1" t="str">
        <f>"2017-04-09 13:59:48"</f>
        <v>2017-04-09 13:59:48</v>
      </c>
      <c r="M559" s="2">
        <v>4.6296296296296293E-4</v>
      </c>
      <c r="N559" s="1" t="s">
        <v>26</v>
      </c>
      <c r="O559" s="1" t="s">
        <v>27</v>
      </c>
      <c r="P559" s="2">
        <v>5.6712962962962956E-4</v>
      </c>
      <c r="Q559" s="1" t="s">
        <v>515</v>
      </c>
      <c r="R559" s="1">
        <v>0</v>
      </c>
      <c r="S559" s="1" t="str">
        <f>""</f>
        <v/>
      </c>
      <c r="T559" s="1" t="s">
        <v>29</v>
      </c>
      <c r="U559" s="1" t="s">
        <v>30</v>
      </c>
      <c r="V559" s="1">
        <v>0</v>
      </c>
    </row>
    <row r="560" spans="2:22" x14ac:dyDescent="0.15">
      <c r="B560" s="1" t="str">
        <f>"131****5802"</f>
        <v>131****5802</v>
      </c>
      <c r="C560" s="1" t="s">
        <v>23</v>
      </c>
      <c r="D560" s="1" t="str">
        <f t="shared" si="60"/>
        <v>89177328</v>
      </c>
      <c r="E560" s="1" t="s">
        <v>24</v>
      </c>
      <c r="F560" s="1" t="str">
        <f t="shared" si="61"/>
        <v>0010</v>
      </c>
      <c r="G560" s="1" t="str">
        <f>""</f>
        <v/>
      </c>
      <c r="H560" s="1" t="str">
        <f>"0017"</f>
        <v>0017</v>
      </c>
      <c r="I560" s="1" t="s">
        <v>135</v>
      </c>
      <c r="J560" s="1" t="str">
        <f>"01043989717"</f>
        <v>01043989717</v>
      </c>
      <c r="K560" s="1" t="str">
        <f>"2017-04-09 13:49:11"</f>
        <v>2017-04-09 13:49:11</v>
      </c>
      <c r="L560" s="1" t="str">
        <f>"2017-04-09 13:49:20"</f>
        <v>2017-04-09 13:49:20</v>
      </c>
      <c r="M560" s="2">
        <v>2.4328703703703703E-2</v>
      </c>
      <c r="N560" s="1" t="s">
        <v>26</v>
      </c>
      <c r="O560" s="1" t="s">
        <v>27</v>
      </c>
      <c r="P560" s="2">
        <v>2.4432870370370369E-2</v>
      </c>
      <c r="Q560" s="1" t="s">
        <v>516</v>
      </c>
      <c r="R560" s="1">
        <v>0</v>
      </c>
      <c r="S560" s="1" t="str">
        <f>""</f>
        <v/>
      </c>
      <c r="T560" s="1" t="s">
        <v>29</v>
      </c>
      <c r="U560" s="1" t="s">
        <v>30</v>
      </c>
      <c r="V560" s="1">
        <v>0</v>
      </c>
    </row>
    <row r="561" spans="2:22" x14ac:dyDescent="0.15">
      <c r="B561" s="1" t="str">
        <f>"151****1606"</f>
        <v>151****1606</v>
      </c>
      <c r="C561" s="1" t="s">
        <v>517</v>
      </c>
      <c r="D561" s="1" t="str">
        <f t="shared" si="60"/>
        <v>89177328</v>
      </c>
      <c r="E561" s="1" t="s">
        <v>24</v>
      </c>
      <c r="F561" s="1" t="str">
        <f t="shared" si="61"/>
        <v>0010</v>
      </c>
      <c r="G561" s="1" t="str">
        <f>""</f>
        <v/>
      </c>
      <c r="H561" s="1" t="str">
        <f>"0035"</f>
        <v>0035</v>
      </c>
      <c r="I561" s="1" t="s">
        <v>25</v>
      </c>
      <c r="J561" s="1" t="str">
        <f>"01043977569"</f>
        <v>01043977569</v>
      </c>
      <c r="K561" s="1" t="str">
        <f>"2017-04-09 13:22:09"</f>
        <v>2017-04-09 13:22:09</v>
      </c>
      <c r="L561" s="1" t="str">
        <f>"2017-04-09 13:22:18"</f>
        <v>2017-04-09 13:22:18</v>
      </c>
      <c r="M561" s="2">
        <v>5.8217592592592592E-3</v>
      </c>
      <c r="N561" s="1" t="s">
        <v>26</v>
      </c>
      <c r="O561" s="1" t="s">
        <v>27</v>
      </c>
      <c r="P561" s="2">
        <v>5.9259259259259256E-3</v>
      </c>
      <c r="Q561" s="1" t="s">
        <v>518</v>
      </c>
      <c r="R561" s="1">
        <v>0</v>
      </c>
      <c r="S561" s="1" t="str">
        <f>""</f>
        <v/>
      </c>
      <c r="T561" s="1" t="s">
        <v>29</v>
      </c>
      <c r="U561" s="1" t="s">
        <v>30</v>
      </c>
      <c r="V561" s="1">
        <v>0</v>
      </c>
    </row>
    <row r="562" spans="2:22" x14ac:dyDescent="0.15">
      <c r="B562" s="1" t="str">
        <f>"186****0205"</f>
        <v>186****0205</v>
      </c>
      <c r="C562" s="1" t="s">
        <v>23</v>
      </c>
      <c r="D562" s="1" t="str">
        <f t="shared" si="60"/>
        <v>89177328</v>
      </c>
      <c r="E562" s="1" t="s">
        <v>24</v>
      </c>
      <c r="F562" s="1" t="str">
        <f t="shared" si="61"/>
        <v>0010</v>
      </c>
      <c r="G562" s="1" t="str">
        <f>""</f>
        <v/>
      </c>
      <c r="H562" s="1" t="str">
        <f>"0010"</f>
        <v>0010</v>
      </c>
      <c r="I562" s="1" t="s">
        <v>71</v>
      </c>
      <c r="J562" s="1" t="str">
        <f>"01043977571"</f>
        <v>01043977571</v>
      </c>
      <c r="K562" s="1" t="str">
        <f>"2017-04-09 13:20:32"</f>
        <v>2017-04-09 13:20:32</v>
      </c>
      <c r="L562" s="1" t="str">
        <f>"2017-04-09 13:20:41"</f>
        <v>2017-04-09 13:20:41</v>
      </c>
      <c r="M562" s="2">
        <v>4.7800925925925919E-3</v>
      </c>
      <c r="N562" s="1" t="s">
        <v>26</v>
      </c>
      <c r="O562" s="1" t="s">
        <v>27</v>
      </c>
      <c r="P562" s="2">
        <v>4.8842592592592592E-3</v>
      </c>
      <c r="Q562" s="1" t="s">
        <v>519</v>
      </c>
      <c r="R562" s="1">
        <v>0</v>
      </c>
      <c r="S562" s="1" t="str">
        <f>""</f>
        <v/>
      </c>
      <c r="T562" s="1" t="s">
        <v>29</v>
      </c>
      <c r="U562" s="1" t="s">
        <v>30</v>
      </c>
      <c r="V562" s="1">
        <v>0</v>
      </c>
    </row>
    <row r="563" spans="2:22" x14ac:dyDescent="0.15">
      <c r="B563" s="1" t="str">
        <f>"010****8180"</f>
        <v>010****8180</v>
      </c>
      <c r="C563" s="1" t="s">
        <v>23</v>
      </c>
      <c r="D563" s="1" t="str">
        <f t="shared" si="60"/>
        <v>89177328</v>
      </c>
      <c r="E563" s="1" t="s">
        <v>24</v>
      </c>
      <c r="F563" s="1" t="str">
        <f t="shared" si="61"/>
        <v>0010</v>
      </c>
      <c r="G563" s="1" t="str">
        <f>""</f>
        <v/>
      </c>
      <c r="H563" s="1" t="str">
        <f>"0017"</f>
        <v>0017</v>
      </c>
      <c r="I563" s="1" t="s">
        <v>135</v>
      </c>
      <c r="J563" s="1" t="str">
        <f>"01043989717"</f>
        <v>01043989717</v>
      </c>
      <c r="K563" s="1" t="str">
        <f>"2017-04-09 13:17:35"</f>
        <v>2017-04-09 13:17:35</v>
      </c>
      <c r="L563" s="1" t="str">
        <f>"2017-04-09 13:17:39"</f>
        <v>2017-04-09 13:17:39</v>
      </c>
      <c r="M563" s="2">
        <v>5.2662037037037035E-3</v>
      </c>
      <c r="N563" s="1" t="s">
        <v>26</v>
      </c>
      <c r="O563" s="1" t="s">
        <v>27</v>
      </c>
      <c r="P563" s="2">
        <v>5.3125000000000004E-3</v>
      </c>
      <c r="Q563" s="1" t="s">
        <v>520</v>
      </c>
      <c r="R563" s="1">
        <v>0</v>
      </c>
      <c r="S563" s="1" t="str">
        <f>""</f>
        <v/>
      </c>
      <c r="T563" s="1" t="s">
        <v>29</v>
      </c>
      <c r="U563" s="1" t="s">
        <v>30</v>
      </c>
      <c r="V563" s="1">
        <v>0</v>
      </c>
    </row>
    <row r="564" spans="2:22" x14ac:dyDescent="0.15">
      <c r="B564" s="1" t="str">
        <f>"135****0898"</f>
        <v>135****0898</v>
      </c>
      <c r="C564" s="1" t="s">
        <v>23</v>
      </c>
      <c r="D564" s="1" t="str">
        <f t="shared" si="60"/>
        <v>89177328</v>
      </c>
      <c r="E564" s="1" t="s">
        <v>24</v>
      </c>
      <c r="F564" s="1" t="str">
        <f t="shared" si="61"/>
        <v>0010</v>
      </c>
      <c r="G564" s="1" t="str">
        <f>""</f>
        <v/>
      </c>
      <c r="H564" s="1" t="str">
        <f>"0017"</f>
        <v>0017</v>
      </c>
      <c r="I564" s="1" t="s">
        <v>135</v>
      </c>
      <c r="J564" s="1" t="str">
        <f>"01043989717"</f>
        <v>01043989717</v>
      </c>
      <c r="K564" s="1" t="str">
        <f>"2017-04-09 13:12:26"</f>
        <v>2017-04-09 13:12:26</v>
      </c>
      <c r="L564" s="1" t="str">
        <f>"2017-04-09 13:12:34"</f>
        <v>2017-04-09 13:12:34</v>
      </c>
      <c r="M564" s="2">
        <v>3.0671296296296297E-3</v>
      </c>
      <c r="N564" s="1" t="s">
        <v>26</v>
      </c>
      <c r="O564" s="1" t="s">
        <v>27</v>
      </c>
      <c r="P564" s="2">
        <v>3.1597222222222222E-3</v>
      </c>
      <c r="Q564" s="1" t="s">
        <v>521</v>
      </c>
      <c r="R564" s="1">
        <v>0</v>
      </c>
      <c r="S564" s="1" t="str">
        <f>""</f>
        <v/>
      </c>
      <c r="T564" s="1" t="s">
        <v>29</v>
      </c>
      <c r="U564" s="1" t="s">
        <v>30</v>
      </c>
      <c r="V564" s="1">
        <v>0</v>
      </c>
    </row>
    <row r="565" spans="2:22" x14ac:dyDescent="0.15">
      <c r="B565" s="1" t="str">
        <f>"135****0611"</f>
        <v>135****0611</v>
      </c>
      <c r="C565" s="1" t="s">
        <v>23</v>
      </c>
      <c r="D565" s="1" t="str">
        <f t="shared" si="60"/>
        <v>89177328</v>
      </c>
      <c r="E565" s="1" t="s">
        <v>24</v>
      </c>
      <c r="F565" s="1" t="str">
        <f t="shared" si="61"/>
        <v>0010</v>
      </c>
      <c r="G565" s="1" t="str">
        <f>""</f>
        <v/>
      </c>
      <c r="H565" s="1" t="str">
        <f>"0035"</f>
        <v>0035</v>
      </c>
      <c r="I565" s="1" t="s">
        <v>25</v>
      </c>
      <c r="J565" s="1" t="str">
        <f>"01043977569"</f>
        <v>01043977569</v>
      </c>
      <c r="K565" s="1" t="str">
        <f>"2017-04-09 12:50:09"</f>
        <v>2017-04-09 12:50:09</v>
      </c>
      <c r="L565" s="1" t="str">
        <f>"2017-04-09 12:50:19"</f>
        <v>2017-04-09 12:50:19</v>
      </c>
      <c r="M565" s="2">
        <v>8.2175925925925917E-4</v>
      </c>
      <c r="N565" s="1" t="s">
        <v>26</v>
      </c>
      <c r="O565" s="1" t="s">
        <v>34</v>
      </c>
      <c r="P565" s="2">
        <v>9.3750000000000007E-4</v>
      </c>
      <c r="Q565" s="1" t="s">
        <v>522</v>
      </c>
      <c r="R565" s="1">
        <v>0</v>
      </c>
      <c r="S565" s="1" t="str">
        <f>""</f>
        <v/>
      </c>
      <c r="T565" s="1" t="s">
        <v>29</v>
      </c>
      <c r="U565" s="1" t="s">
        <v>30</v>
      </c>
      <c r="V565" s="1">
        <v>0</v>
      </c>
    </row>
    <row r="566" spans="2:22" x14ac:dyDescent="0.15">
      <c r="B566" s="1" t="str">
        <f>"133****5811"</f>
        <v>133****5811</v>
      </c>
      <c r="C566" s="1" t="s">
        <v>23</v>
      </c>
      <c r="D566" s="1" t="str">
        <f t="shared" si="60"/>
        <v>89177328</v>
      </c>
      <c r="E566" s="1" t="s">
        <v>24</v>
      </c>
      <c r="F566" s="1" t="str">
        <f t="shared" si="61"/>
        <v>0010</v>
      </c>
      <c r="G566" s="1" t="str">
        <f>""</f>
        <v/>
      </c>
      <c r="H566" s="1" t="str">
        <f>"0010"</f>
        <v>0010</v>
      </c>
      <c r="I566" s="1" t="s">
        <v>71</v>
      </c>
      <c r="J566" s="1" t="str">
        <f>"01043977571"</f>
        <v>01043977571</v>
      </c>
      <c r="K566" s="1" t="str">
        <f>"2017-04-09 12:50:09"</f>
        <v>2017-04-09 12:50:09</v>
      </c>
      <c r="L566" s="1" t="str">
        <f>"2017-04-09 12:50:18"</f>
        <v>2017-04-09 12:50:18</v>
      </c>
      <c r="M566" s="2">
        <v>1.8981481481481481E-2</v>
      </c>
      <c r="N566" s="1" t="s">
        <v>26</v>
      </c>
      <c r="O566" s="1" t="s">
        <v>27</v>
      </c>
      <c r="P566" s="2">
        <v>1.9085648148148147E-2</v>
      </c>
      <c r="Q566" s="1" t="s">
        <v>523</v>
      </c>
      <c r="R566" s="1">
        <v>0</v>
      </c>
      <c r="S566" s="1" t="str">
        <f>""</f>
        <v/>
      </c>
      <c r="T566" s="1" t="s">
        <v>29</v>
      </c>
      <c r="U566" s="1" t="s">
        <v>30</v>
      </c>
      <c r="V566" s="1">
        <v>0</v>
      </c>
    </row>
    <row r="567" spans="2:22" x14ac:dyDescent="0.15">
      <c r="B567" s="1" t="str">
        <f>"186****6694"</f>
        <v>186****6694</v>
      </c>
      <c r="C567" s="1" t="s">
        <v>524</v>
      </c>
      <c r="D567" s="1" t="str">
        <f t="shared" si="60"/>
        <v>89177328</v>
      </c>
      <c r="E567" s="1" t="s">
        <v>24</v>
      </c>
      <c r="F567" s="1" t="str">
        <f t="shared" si="61"/>
        <v>0010</v>
      </c>
      <c r="G567" s="1" t="str">
        <f>""</f>
        <v/>
      </c>
      <c r="H567" s="1" t="str">
        <f>"0035"</f>
        <v>0035</v>
      </c>
      <c r="I567" s="1" t="s">
        <v>25</v>
      </c>
      <c r="J567" s="1" t="str">
        <f>"01043977569"</f>
        <v>01043977569</v>
      </c>
      <c r="K567" s="1" t="str">
        <f>"2017-04-09 12:31:11"</f>
        <v>2017-04-09 12:31:11</v>
      </c>
      <c r="L567" s="1" t="str">
        <f>"2017-04-09 12:31:23"</f>
        <v>2017-04-09 12:31:23</v>
      </c>
      <c r="M567" s="2">
        <v>3.3449074074074071E-3</v>
      </c>
      <c r="N567" s="1" t="s">
        <v>26</v>
      </c>
      <c r="O567" s="1" t="s">
        <v>27</v>
      </c>
      <c r="P567" s="2">
        <v>3.483796296296296E-3</v>
      </c>
      <c r="Q567" s="1" t="s">
        <v>525</v>
      </c>
      <c r="R567" s="1">
        <v>0</v>
      </c>
      <c r="S567" s="1" t="str">
        <f>""</f>
        <v/>
      </c>
      <c r="T567" s="1" t="s">
        <v>29</v>
      </c>
      <c r="U567" s="1" t="s">
        <v>30</v>
      </c>
      <c r="V567" s="1">
        <v>0</v>
      </c>
    </row>
    <row r="568" spans="2:22" x14ac:dyDescent="0.15">
      <c r="B568" s="1" t="str">
        <f>"138****2885"</f>
        <v>138****2885</v>
      </c>
      <c r="C568" s="1" t="s">
        <v>51</v>
      </c>
      <c r="D568" s="1" t="str">
        <f t="shared" si="60"/>
        <v>89177328</v>
      </c>
      <c r="E568" s="1" t="s">
        <v>24</v>
      </c>
      <c r="F568" s="1" t="str">
        <f t="shared" si="61"/>
        <v>0010</v>
      </c>
      <c r="G568" s="1" t="str">
        <f>""</f>
        <v/>
      </c>
      <c r="H568" s="1" t="str">
        <f>"0017"</f>
        <v>0017</v>
      </c>
      <c r="I568" s="1" t="s">
        <v>135</v>
      </c>
      <c r="J568" s="1" t="str">
        <f>"01043989717"</f>
        <v>01043989717</v>
      </c>
      <c r="K568" s="1" t="str">
        <f>"2017-04-09 12:24:48"</f>
        <v>2017-04-09 12:24:48</v>
      </c>
      <c r="L568" s="1" t="str">
        <f>"2017-04-09 12:24:57"</f>
        <v>2017-04-09 12:24:57</v>
      </c>
      <c r="M568" s="2">
        <v>1.3726851851851851E-2</v>
      </c>
      <c r="N568" s="1" t="s">
        <v>26</v>
      </c>
      <c r="O568" s="1" t="s">
        <v>27</v>
      </c>
      <c r="P568" s="2">
        <v>1.383101851851852E-2</v>
      </c>
      <c r="Q568" s="1" t="s">
        <v>526</v>
      </c>
      <c r="R568" s="1">
        <v>0</v>
      </c>
      <c r="S568" s="1" t="str">
        <f>""</f>
        <v/>
      </c>
      <c r="T568" s="1" t="s">
        <v>29</v>
      </c>
      <c r="U568" s="1" t="s">
        <v>30</v>
      </c>
      <c r="V568" s="1">
        <v>0</v>
      </c>
    </row>
    <row r="569" spans="2:22" x14ac:dyDescent="0.15">
      <c r="B569" s="1" t="str">
        <f>"151****8068"</f>
        <v>151****8068</v>
      </c>
      <c r="C569" s="1" t="s">
        <v>527</v>
      </c>
      <c r="D569" s="1" t="str">
        <f t="shared" si="60"/>
        <v>89177328</v>
      </c>
      <c r="E569" s="1" t="s">
        <v>24</v>
      </c>
      <c r="F569" s="1" t="str">
        <f t="shared" si="61"/>
        <v>0010</v>
      </c>
      <c r="G569" s="1" t="str">
        <f>""</f>
        <v/>
      </c>
      <c r="H569" s="1" t="str">
        <f>"0017"</f>
        <v>0017</v>
      </c>
      <c r="I569" s="1" t="s">
        <v>135</v>
      </c>
      <c r="J569" s="1" t="str">
        <f>"01043989717"</f>
        <v>01043989717</v>
      </c>
      <c r="K569" s="1" t="str">
        <f>"2017-04-09 12:04:12"</f>
        <v>2017-04-09 12:04:12</v>
      </c>
      <c r="L569" s="1" t="str">
        <f>"2017-04-09 12:04:21"</f>
        <v>2017-04-09 12:04:21</v>
      </c>
      <c r="M569" s="2">
        <v>3.2407407407407406E-3</v>
      </c>
      <c r="N569" s="1" t="s">
        <v>26</v>
      </c>
      <c r="O569" s="1" t="s">
        <v>27</v>
      </c>
      <c r="P569" s="2">
        <v>3.3449074074074071E-3</v>
      </c>
      <c r="Q569" s="1" t="s">
        <v>528</v>
      </c>
      <c r="R569" s="1">
        <v>0</v>
      </c>
      <c r="S569" s="1" t="str">
        <f>""</f>
        <v/>
      </c>
      <c r="T569" s="1" t="s">
        <v>29</v>
      </c>
      <c r="U569" s="1" t="s">
        <v>30</v>
      </c>
      <c r="V569" s="1">
        <v>0</v>
      </c>
    </row>
    <row r="570" spans="2:22" x14ac:dyDescent="0.15">
      <c r="B570" s="1" t="str">
        <f>"136****5166"</f>
        <v>136****5166</v>
      </c>
      <c r="C570" s="1" t="s">
        <v>23</v>
      </c>
      <c r="D570" s="1" t="str">
        <f t="shared" si="60"/>
        <v>89177328</v>
      </c>
      <c r="E570" s="1" t="s">
        <v>24</v>
      </c>
      <c r="F570" s="1" t="str">
        <f t="shared" si="61"/>
        <v>0010</v>
      </c>
      <c r="G570" s="1" t="str">
        <f>""</f>
        <v/>
      </c>
      <c r="H570" s="1" t="str">
        <f>"0010"</f>
        <v>0010</v>
      </c>
      <c r="I570" s="1" t="s">
        <v>71</v>
      </c>
      <c r="J570" s="1" t="str">
        <f>"01043977571"</f>
        <v>01043977571</v>
      </c>
      <c r="K570" s="1" t="str">
        <f>"2017-04-09 11:42:38"</f>
        <v>2017-04-09 11:42:38</v>
      </c>
      <c r="L570" s="1" t="str">
        <f>"2017-04-09 11:42:47"</f>
        <v>2017-04-09 11:42:47</v>
      </c>
      <c r="M570" s="2">
        <v>7.0601851851851841E-3</v>
      </c>
      <c r="N570" s="1" t="s">
        <v>26</v>
      </c>
      <c r="O570" s="1" t="s">
        <v>27</v>
      </c>
      <c r="P570" s="2">
        <v>7.1643518518518514E-3</v>
      </c>
      <c r="Q570" s="1" t="s">
        <v>529</v>
      </c>
      <c r="R570" s="1">
        <v>0</v>
      </c>
      <c r="S570" s="1" t="str">
        <f>""</f>
        <v/>
      </c>
      <c r="T570" s="1" t="s">
        <v>29</v>
      </c>
      <c r="U570" s="1" t="s">
        <v>30</v>
      </c>
      <c r="V570" s="1">
        <v>0</v>
      </c>
    </row>
    <row r="571" spans="2:22" x14ac:dyDescent="0.15">
      <c r="B571" s="1" t="str">
        <f>"989177328"</f>
        <v>989177328</v>
      </c>
      <c r="C571" s="1" t="s">
        <v>159</v>
      </c>
      <c r="D571" s="1" t="str">
        <f t="shared" si="60"/>
        <v>89177328</v>
      </c>
      <c r="E571" s="1" t="s">
        <v>24</v>
      </c>
      <c r="F571" s="1" t="str">
        <f t="shared" si="61"/>
        <v>0010</v>
      </c>
      <c r="G571" s="1" t="str">
        <f>""</f>
        <v/>
      </c>
      <c r="H571" s="1" t="str">
        <f>"0035"</f>
        <v>0035</v>
      </c>
      <c r="I571" s="1" t="s">
        <v>25</v>
      </c>
      <c r="J571" s="1" t="str">
        <f>"01043977569"</f>
        <v>01043977569</v>
      </c>
      <c r="K571" s="1" t="str">
        <f>"2017-04-09 11:40:04"</f>
        <v>2017-04-09 11:40:04</v>
      </c>
      <c r="L571" s="1" t="str">
        <f>"2017-04-09 11:40:16"</f>
        <v>2017-04-09 11:40:16</v>
      </c>
      <c r="M571" s="2">
        <v>1.0416666666666667E-4</v>
      </c>
      <c r="N571" s="1" t="s">
        <v>26</v>
      </c>
      <c r="O571" s="1" t="s">
        <v>27</v>
      </c>
      <c r="P571" s="2">
        <v>2.4305555555555552E-4</v>
      </c>
      <c r="Q571" s="1" t="s">
        <v>530</v>
      </c>
      <c r="R571" s="1">
        <v>0</v>
      </c>
      <c r="S571" s="1" t="str">
        <f>""</f>
        <v/>
      </c>
      <c r="T571" s="1" t="s">
        <v>29</v>
      </c>
      <c r="U571" s="1" t="s">
        <v>30</v>
      </c>
      <c r="V571" s="1">
        <v>0</v>
      </c>
    </row>
    <row r="572" spans="2:22" x14ac:dyDescent="0.15">
      <c r="B572" s="1" t="str">
        <f>"155****3345"</f>
        <v>155****3345</v>
      </c>
      <c r="C572" s="1" t="s">
        <v>531</v>
      </c>
      <c r="D572" s="1" t="str">
        <f t="shared" si="60"/>
        <v>89177328</v>
      </c>
      <c r="E572" s="1" t="s">
        <v>24</v>
      </c>
      <c r="F572" s="1" t="str">
        <f t="shared" si="61"/>
        <v>0010</v>
      </c>
      <c r="G572" s="1" t="str">
        <f>""</f>
        <v/>
      </c>
      <c r="H572" s="1" t="str">
        <f>"0017"</f>
        <v>0017</v>
      </c>
      <c r="I572" s="1" t="s">
        <v>135</v>
      </c>
      <c r="J572" s="1" t="str">
        <f>"01043989717"</f>
        <v>01043989717</v>
      </c>
      <c r="K572" s="1" t="str">
        <f>"2017-04-09 11:39:25"</f>
        <v>2017-04-09 11:39:25</v>
      </c>
      <c r="L572" s="1" t="str">
        <f>"2017-04-09 11:39:31"</f>
        <v>2017-04-09 11:39:31</v>
      </c>
      <c r="M572" s="2">
        <v>6.134259259259259E-4</v>
      </c>
      <c r="N572" s="1" t="s">
        <v>26</v>
      </c>
      <c r="O572" s="1" t="s">
        <v>27</v>
      </c>
      <c r="P572" s="2">
        <v>6.8287037037037025E-4</v>
      </c>
      <c r="Q572" s="1" t="s">
        <v>532</v>
      </c>
      <c r="R572" s="1">
        <v>0</v>
      </c>
      <c r="S572" s="1" t="str">
        <f>""</f>
        <v/>
      </c>
      <c r="T572" s="1" t="s">
        <v>29</v>
      </c>
      <c r="U572" s="1" t="s">
        <v>30</v>
      </c>
      <c r="V572" s="1">
        <v>0</v>
      </c>
    </row>
    <row r="573" spans="2:22" x14ac:dyDescent="0.15">
      <c r="B573" s="1" t="str">
        <f>"135****9922"</f>
        <v>135****9922</v>
      </c>
      <c r="C573" s="1" t="s">
        <v>81</v>
      </c>
      <c r="D573" s="1" t="str">
        <f t="shared" si="60"/>
        <v>89177328</v>
      </c>
      <c r="E573" s="1" t="s">
        <v>24</v>
      </c>
      <c r="F573" s="1" t="str">
        <f t="shared" si="61"/>
        <v>0010</v>
      </c>
      <c r="G573" s="1" t="str">
        <f>""</f>
        <v/>
      </c>
      <c r="H573" s="1" t="str">
        <f>"0017"</f>
        <v>0017</v>
      </c>
      <c r="I573" s="1" t="s">
        <v>135</v>
      </c>
      <c r="J573" s="1" t="str">
        <f>"01043989717"</f>
        <v>01043989717</v>
      </c>
      <c r="K573" s="1" t="str">
        <f>"2017-04-09 11:32:03"</f>
        <v>2017-04-09 11:32:03</v>
      </c>
      <c r="L573" s="1" t="str">
        <f>"2017-04-09 11:32:11"</f>
        <v>2017-04-09 11:32:11</v>
      </c>
      <c r="M573" s="2">
        <v>4.0740740740740746E-3</v>
      </c>
      <c r="N573" s="1" t="s">
        <v>26</v>
      </c>
      <c r="O573" s="1" t="s">
        <v>27</v>
      </c>
      <c r="P573" s="2">
        <v>4.1666666666666666E-3</v>
      </c>
      <c r="Q573" s="1" t="s">
        <v>533</v>
      </c>
      <c r="R573" s="1">
        <v>0</v>
      </c>
      <c r="S573" s="1" t="str">
        <f>""</f>
        <v/>
      </c>
      <c r="T573" s="1" t="s">
        <v>29</v>
      </c>
      <c r="U573" s="1" t="s">
        <v>30</v>
      </c>
      <c r="V573" s="1">
        <v>0</v>
      </c>
    </row>
    <row r="574" spans="2:22" x14ac:dyDescent="0.15">
      <c r="B574" s="1" t="str">
        <f>"158****3269"</f>
        <v>158****3269</v>
      </c>
      <c r="C574" s="1" t="s">
        <v>534</v>
      </c>
      <c r="D574" s="1" t="str">
        <f t="shared" si="60"/>
        <v>89177328</v>
      </c>
      <c r="E574" s="1" t="s">
        <v>24</v>
      </c>
      <c r="F574" s="1" t="str">
        <f t="shared" si="61"/>
        <v>0010</v>
      </c>
      <c r="G574" s="1" t="str">
        <f>""</f>
        <v/>
      </c>
      <c r="H574" s="1" t="str">
        <f>"0035"</f>
        <v>0035</v>
      </c>
      <c r="I574" s="1" t="s">
        <v>25</v>
      </c>
      <c r="J574" s="1" t="str">
        <f>"01043977569"</f>
        <v>01043977569</v>
      </c>
      <c r="K574" s="1" t="str">
        <f>"2017-04-09 11:14:23"</f>
        <v>2017-04-09 11:14:23</v>
      </c>
      <c r="L574" s="1" t="str">
        <f>"2017-04-09 11:14:31"</f>
        <v>2017-04-09 11:14:31</v>
      </c>
      <c r="M574" s="2">
        <v>1.1064814814814814E-2</v>
      </c>
      <c r="N574" s="1" t="s">
        <v>26</v>
      </c>
      <c r="O574" s="1" t="s">
        <v>27</v>
      </c>
      <c r="P574" s="2">
        <v>1.1157407407407408E-2</v>
      </c>
      <c r="Q574" s="1" t="s">
        <v>535</v>
      </c>
      <c r="R574" s="1">
        <v>0</v>
      </c>
      <c r="S574" s="1" t="str">
        <f>""</f>
        <v/>
      </c>
      <c r="T574" s="1" t="s">
        <v>29</v>
      </c>
      <c r="U574" s="1" t="s">
        <v>30</v>
      </c>
      <c r="V574" s="1">
        <v>0</v>
      </c>
    </row>
    <row r="575" spans="2:22" x14ac:dyDescent="0.15">
      <c r="B575" s="1" t="str">
        <f>"132****8840"</f>
        <v>132****8840</v>
      </c>
      <c r="C575" s="1" t="s">
        <v>534</v>
      </c>
      <c r="D575" s="1" t="str">
        <f t="shared" si="60"/>
        <v>89177328</v>
      </c>
      <c r="E575" s="1" t="s">
        <v>24</v>
      </c>
      <c r="F575" s="1" t="str">
        <f t="shared" si="61"/>
        <v>0010</v>
      </c>
      <c r="G575" s="1" t="str">
        <f>""</f>
        <v/>
      </c>
      <c r="H575" s="1" t="str">
        <f>"0035"</f>
        <v>0035</v>
      </c>
      <c r="I575" s="1" t="s">
        <v>25</v>
      </c>
      <c r="J575" s="1" t="str">
        <f>"01043977569"</f>
        <v>01043977569</v>
      </c>
      <c r="K575" s="1" t="str">
        <f>"2017-04-09 11:04:18"</f>
        <v>2017-04-09 11:04:18</v>
      </c>
      <c r="L575" s="1" t="str">
        <f>"2017-04-09 11:04:28"</f>
        <v>2017-04-09 11:04:28</v>
      </c>
      <c r="M575" s="2">
        <v>3.4953703703703705E-3</v>
      </c>
      <c r="N575" s="1" t="s">
        <v>26</v>
      </c>
      <c r="O575" s="1" t="s">
        <v>34</v>
      </c>
      <c r="P575" s="2">
        <v>3.6111111111111114E-3</v>
      </c>
      <c r="Q575" s="1" t="s">
        <v>536</v>
      </c>
      <c r="R575" s="1">
        <v>0</v>
      </c>
      <c r="S575" s="1" t="str">
        <f>""</f>
        <v/>
      </c>
      <c r="T575" s="1" t="s">
        <v>29</v>
      </c>
      <c r="U575" s="1" t="s">
        <v>30</v>
      </c>
      <c r="V575" s="1">
        <v>0</v>
      </c>
    </row>
    <row r="576" spans="2:22" x14ac:dyDescent="0.15">
      <c r="B576" s="1" t="str">
        <f>"0315186****4320"</f>
        <v>0315186****4320</v>
      </c>
      <c r="C576" s="1" t="s">
        <v>76</v>
      </c>
      <c r="D576" s="1" t="str">
        <f t="shared" si="60"/>
        <v>89177328</v>
      </c>
      <c r="E576" s="1" t="s">
        <v>24</v>
      </c>
      <c r="F576" s="1" t="str">
        <f t="shared" si="61"/>
        <v>0010</v>
      </c>
      <c r="G576" s="1" t="str">
        <f>""</f>
        <v/>
      </c>
      <c r="H576" s="1" t="str">
        <f>"0017"</f>
        <v>0017</v>
      </c>
      <c r="I576" s="1" t="s">
        <v>135</v>
      </c>
      <c r="J576" s="1" t="str">
        <f>"01043989717"</f>
        <v>01043989717</v>
      </c>
      <c r="K576" s="1" t="str">
        <f>"2017-04-09 11:00:45"</f>
        <v>2017-04-09 11:00:45</v>
      </c>
      <c r="L576" s="1" t="str">
        <f>"2017-04-09 11:00:53"</f>
        <v>2017-04-09 11:00:53</v>
      </c>
      <c r="M576" s="2">
        <v>4.4212962962962956E-3</v>
      </c>
      <c r="N576" s="1" t="s">
        <v>26</v>
      </c>
      <c r="O576" s="1" t="s">
        <v>27</v>
      </c>
      <c r="P576" s="2">
        <v>4.5138888888888893E-3</v>
      </c>
      <c r="Q576" s="1" t="s">
        <v>537</v>
      </c>
      <c r="R576" s="1">
        <v>0</v>
      </c>
      <c r="S576" s="1" t="str">
        <f>""</f>
        <v/>
      </c>
      <c r="T576" s="1" t="s">
        <v>29</v>
      </c>
      <c r="U576" s="1" t="s">
        <v>30</v>
      </c>
      <c r="V576" s="1">
        <v>0</v>
      </c>
    </row>
    <row r="577" spans="2:22" x14ac:dyDescent="0.15">
      <c r="B577" s="1" t="str">
        <f>"157****9607"</f>
        <v>157****9607</v>
      </c>
      <c r="C577" s="1" t="s">
        <v>51</v>
      </c>
      <c r="D577" s="1" t="str">
        <f t="shared" si="60"/>
        <v>89177328</v>
      </c>
      <c r="E577" s="1" t="s">
        <v>24</v>
      </c>
      <c r="F577" s="1" t="str">
        <f t="shared" si="61"/>
        <v>0010</v>
      </c>
      <c r="G577" s="1" t="str">
        <f>""</f>
        <v/>
      </c>
      <c r="H577" s="1" t="str">
        <f>"0018"</f>
        <v>0018</v>
      </c>
      <c r="I577" s="1" t="s">
        <v>36</v>
      </c>
      <c r="J577" s="1" t="str">
        <f>"01043977572"</f>
        <v>01043977572</v>
      </c>
      <c r="K577" s="1" t="str">
        <f>"2017-04-09 10:58:00"</f>
        <v>2017-04-09 10:58:00</v>
      </c>
      <c r="L577" s="1" t="str">
        <f>"2017-04-09 10:58:14"</f>
        <v>2017-04-09 10:58:14</v>
      </c>
      <c r="M577" s="2">
        <v>7.4884259259259262E-3</v>
      </c>
      <c r="N577" s="1" t="s">
        <v>26</v>
      </c>
      <c r="O577" s="1" t="s">
        <v>34</v>
      </c>
      <c r="P577" s="2">
        <v>7.6504629629629631E-3</v>
      </c>
      <c r="Q577" s="1" t="s">
        <v>538</v>
      </c>
      <c r="R577" s="1">
        <v>0</v>
      </c>
      <c r="S577" s="1" t="str">
        <f>""</f>
        <v/>
      </c>
      <c r="T577" s="1" t="s">
        <v>29</v>
      </c>
      <c r="U577" s="1" t="s">
        <v>30</v>
      </c>
      <c r="V577" s="1">
        <v>0</v>
      </c>
    </row>
    <row r="578" spans="2:22" x14ac:dyDescent="0.15">
      <c r="B578" s="1" t="str">
        <f>"132****8840"</f>
        <v>132****8840</v>
      </c>
      <c r="C578" s="1" t="s">
        <v>534</v>
      </c>
      <c r="D578" s="1" t="str">
        <f t="shared" si="60"/>
        <v>89177328</v>
      </c>
      <c r="E578" s="1" t="s">
        <v>24</v>
      </c>
      <c r="F578" s="1" t="str">
        <f t="shared" si="61"/>
        <v>0010</v>
      </c>
      <c r="G578" s="1" t="str">
        <f>""</f>
        <v/>
      </c>
      <c r="H578" s="1" t="str">
        <f t="shared" ref="H578:H583" si="62">"0017"</f>
        <v>0017</v>
      </c>
      <c r="I578" s="1" t="s">
        <v>135</v>
      </c>
      <c r="J578" s="1" t="str">
        <f t="shared" ref="J578:J583" si="63">"01043989717"</f>
        <v>01043989717</v>
      </c>
      <c r="K578" s="1" t="str">
        <f>"2017-04-09 10:55:42"</f>
        <v>2017-04-09 10:55:42</v>
      </c>
      <c r="L578" s="1" t="str">
        <f t="shared" ref="L578:L584" si="64">"-"</f>
        <v>-</v>
      </c>
      <c r="M578" s="2">
        <v>0</v>
      </c>
      <c r="N578" s="1" t="s">
        <v>33</v>
      </c>
      <c r="O578" s="1" t="s">
        <v>34</v>
      </c>
      <c r="P578" s="2">
        <v>1.1574074074074073E-5</v>
      </c>
      <c r="Q578" s="1" t="str">
        <f>""</f>
        <v/>
      </c>
      <c r="R578" s="1">
        <v>0</v>
      </c>
      <c r="S578" s="1" t="str">
        <f>""</f>
        <v/>
      </c>
      <c r="T578" s="1" t="s">
        <v>29</v>
      </c>
      <c r="U578" s="1" t="s">
        <v>30</v>
      </c>
      <c r="V578" s="1">
        <v>0</v>
      </c>
    </row>
    <row r="579" spans="2:22" x14ac:dyDescent="0.15">
      <c r="B579" s="1" t="str">
        <f>"188****1100"</f>
        <v>188****1100</v>
      </c>
      <c r="C579" s="1" t="s">
        <v>23</v>
      </c>
      <c r="D579" s="1" t="str">
        <f t="shared" si="60"/>
        <v>89177328</v>
      </c>
      <c r="E579" s="1" t="s">
        <v>24</v>
      </c>
      <c r="F579" s="1" t="str">
        <f t="shared" si="61"/>
        <v>0010</v>
      </c>
      <c r="G579" s="1" t="str">
        <f>""</f>
        <v/>
      </c>
      <c r="H579" s="1" t="str">
        <f t="shared" si="62"/>
        <v>0017</v>
      </c>
      <c r="I579" s="1" t="s">
        <v>135</v>
      </c>
      <c r="J579" s="1" t="str">
        <f t="shared" si="63"/>
        <v>01043989717</v>
      </c>
      <c r="K579" s="1" t="str">
        <f>"2017-04-09 10:54:51"</f>
        <v>2017-04-09 10:54:51</v>
      </c>
      <c r="L579" s="1" t="str">
        <f t="shared" si="64"/>
        <v>-</v>
      </c>
      <c r="M579" s="2">
        <v>0</v>
      </c>
      <c r="N579" s="1" t="s">
        <v>33</v>
      </c>
      <c r="O579" s="1" t="s">
        <v>34</v>
      </c>
      <c r="P579" s="2">
        <v>4.6296296296296294E-5</v>
      </c>
      <c r="Q579" s="1" t="str">
        <f>""</f>
        <v/>
      </c>
      <c r="R579" s="1">
        <v>0</v>
      </c>
      <c r="S579" s="1" t="str">
        <f>""</f>
        <v/>
      </c>
      <c r="T579" s="1" t="s">
        <v>29</v>
      </c>
      <c r="U579" s="1" t="s">
        <v>30</v>
      </c>
      <c r="V579" s="1">
        <v>0</v>
      </c>
    </row>
    <row r="580" spans="2:22" x14ac:dyDescent="0.15">
      <c r="B580" s="1" t="str">
        <f>"188****1100"</f>
        <v>188****1100</v>
      </c>
      <c r="C580" s="1" t="s">
        <v>23</v>
      </c>
      <c r="D580" s="1" t="str">
        <f t="shared" si="60"/>
        <v>89177328</v>
      </c>
      <c r="E580" s="1" t="s">
        <v>24</v>
      </c>
      <c r="F580" s="1" t="str">
        <f t="shared" si="61"/>
        <v>0010</v>
      </c>
      <c r="G580" s="1" t="str">
        <f>""</f>
        <v/>
      </c>
      <c r="H580" s="1" t="str">
        <f t="shared" si="62"/>
        <v>0017</v>
      </c>
      <c r="I580" s="1" t="s">
        <v>135</v>
      </c>
      <c r="J580" s="1" t="str">
        <f t="shared" si="63"/>
        <v>01043989717</v>
      </c>
      <c r="K580" s="1" t="str">
        <f>"2017-04-09 10:52:57"</f>
        <v>2017-04-09 10:52:57</v>
      </c>
      <c r="L580" s="1" t="str">
        <f t="shared" si="64"/>
        <v>-</v>
      </c>
      <c r="M580" s="2">
        <v>0</v>
      </c>
      <c r="N580" s="1" t="s">
        <v>33</v>
      </c>
      <c r="O580" s="1" t="s">
        <v>34</v>
      </c>
      <c r="P580" s="2">
        <v>1.0416666666666667E-4</v>
      </c>
      <c r="Q580" s="1" t="str">
        <f>""</f>
        <v/>
      </c>
      <c r="R580" s="1">
        <v>0</v>
      </c>
      <c r="S580" s="1" t="str">
        <f>""</f>
        <v/>
      </c>
      <c r="T580" s="1" t="s">
        <v>29</v>
      </c>
      <c r="U580" s="1" t="s">
        <v>30</v>
      </c>
      <c r="V580" s="1">
        <v>0</v>
      </c>
    </row>
    <row r="581" spans="2:22" x14ac:dyDescent="0.15">
      <c r="B581" s="1" t="str">
        <f>"188****1100"</f>
        <v>188****1100</v>
      </c>
      <c r="C581" s="1" t="s">
        <v>23</v>
      </c>
      <c r="D581" s="1" t="str">
        <f t="shared" si="60"/>
        <v>89177328</v>
      </c>
      <c r="E581" s="1" t="s">
        <v>24</v>
      </c>
      <c r="F581" s="1" t="str">
        <f t="shared" si="61"/>
        <v>0010</v>
      </c>
      <c r="G581" s="1" t="str">
        <f>""</f>
        <v/>
      </c>
      <c r="H581" s="1" t="str">
        <f t="shared" si="62"/>
        <v>0017</v>
      </c>
      <c r="I581" s="1" t="s">
        <v>135</v>
      </c>
      <c r="J581" s="1" t="str">
        <f t="shared" si="63"/>
        <v>01043989717</v>
      </c>
      <c r="K581" s="1" t="str">
        <f>"2017-04-09 10:48:38"</f>
        <v>2017-04-09 10:48:38</v>
      </c>
      <c r="L581" s="1" t="str">
        <f t="shared" si="64"/>
        <v>-</v>
      </c>
      <c r="M581" s="2">
        <v>0</v>
      </c>
      <c r="N581" s="1" t="s">
        <v>33</v>
      </c>
      <c r="O581" s="1" t="s">
        <v>34</v>
      </c>
      <c r="P581" s="2">
        <v>9.2592592592592588E-5</v>
      </c>
      <c r="Q581" s="1" t="str">
        <f>""</f>
        <v/>
      </c>
      <c r="R581" s="1">
        <v>0</v>
      </c>
      <c r="S581" s="1" t="str">
        <f>""</f>
        <v/>
      </c>
      <c r="T581" s="1" t="s">
        <v>29</v>
      </c>
      <c r="U581" s="1" t="s">
        <v>30</v>
      </c>
      <c r="V581" s="1">
        <v>0</v>
      </c>
    </row>
    <row r="582" spans="2:22" x14ac:dyDescent="0.15">
      <c r="B582" s="1" t="str">
        <f>"130****5656"</f>
        <v>130****5656</v>
      </c>
      <c r="C582" s="1" t="s">
        <v>112</v>
      </c>
      <c r="D582" s="1" t="str">
        <f t="shared" si="60"/>
        <v>89177328</v>
      </c>
      <c r="E582" s="1" t="s">
        <v>24</v>
      </c>
      <c r="F582" s="1" t="str">
        <f t="shared" si="61"/>
        <v>0010</v>
      </c>
      <c r="G582" s="1" t="str">
        <f>""</f>
        <v/>
      </c>
      <c r="H582" s="1" t="str">
        <f t="shared" si="62"/>
        <v>0017</v>
      </c>
      <c r="I582" s="1" t="s">
        <v>135</v>
      </c>
      <c r="J582" s="1" t="str">
        <f t="shared" si="63"/>
        <v>01043989717</v>
      </c>
      <c r="K582" s="1" t="str">
        <f>"2017-04-09 10:44:10"</f>
        <v>2017-04-09 10:44:10</v>
      </c>
      <c r="L582" s="1" t="str">
        <f t="shared" si="64"/>
        <v>-</v>
      </c>
      <c r="M582" s="2">
        <v>0</v>
      </c>
      <c r="N582" s="1" t="s">
        <v>33</v>
      </c>
      <c r="O582" s="1" t="s">
        <v>34</v>
      </c>
      <c r="P582" s="2">
        <v>8.1018518518518516E-5</v>
      </c>
      <c r="Q582" s="1" t="str">
        <f>""</f>
        <v/>
      </c>
      <c r="R582" s="1">
        <v>0</v>
      </c>
      <c r="S582" s="1" t="str">
        <f>""</f>
        <v/>
      </c>
      <c r="T582" s="1" t="s">
        <v>29</v>
      </c>
      <c r="U582" s="1" t="s">
        <v>30</v>
      </c>
      <c r="V582" s="1">
        <v>0</v>
      </c>
    </row>
    <row r="583" spans="2:22" x14ac:dyDescent="0.15">
      <c r="B583" s="1" t="str">
        <f>"183****4280"</f>
        <v>183****4280</v>
      </c>
      <c r="C583" s="1" t="s">
        <v>23</v>
      </c>
      <c r="D583" s="1" t="str">
        <f t="shared" si="60"/>
        <v>89177328</v>
      </c>
      <c r="E583" s="1" t="s">
        <v>24</v>
      </c>
      <c r="F583" s="1" t="str">
        <f t="shared" si="61"/>
        <v>0010</v>
      </c>
      <c r="G583" s="1" t="str">
        <f>""</f>
        <v/>
      </c>
      <c r="H583" s="1" t="str">
        <f t="shared" si="62"/>
        <v>0017</v>
      </c>
      <c r="I583" s="1" t="s">
        <v>135</v>
      </c>
      <c r="J583" s="1" t="str">
        <f t="shared" si="63"/>
        <v>01043989717</v>
      </c>
      <c r="K583" s="1" t="str">
        <f>"2017-04-09 10:42:33"</f>
        <v>2017-04-09 10:42:33</v>
      </c>
      <c r="L583" s="1" t="str">
        <f t="shared" si="64"/>
        <v>-</v>
      </c>
      <c r="M583" s="2">
        <v>0</v>
      </c>
      <c r="N583" s="1" t="s">
        <v>33</v>
      </c>
      <c r="O583" s="1" t="s">
        <v>34</v>
      </c>
      <c r="P583" s="2">
        <v>6.9444444444444444E-5</v>
      </c>
      <c r="Q583" s="1" t="str">
        <f>""</f>
        <v/>
      </c>
      <c r="R583" s="1">
        <v>0</v>
      </c>
      <c r="S583" s="1" t="str">
        <f>""</f>
        <v/>
      </c>
      <c r="T583" s="1" t="s">
        <v>29</v>
      </c>
      <c r="U583" s="1" t="s">
        <v>30</v>
      </c>
      <c r="V583" s="1">
        <v>0</v>
      </c>
    </row>
    <row r="584" spans="2:22" x14ac:dyDescent="0.15">
      <c r="B584" s="1" t="str">
        <f>"130****5656"</f>
        <v>130****5656</v>
      </c>
      <c r="C584" s="1" t="s">
        <v>112</v>
      </c>
      <c r="D584" s="1" t="str">
        <f t="shared" si="60"/>
        <v>89177328</v>
      </c>
      <c r="E584" s="1" t="s">
        <v>24</v>
      </c>
      <c r="F584" s="1" t="str">
        <f t="shared" si="61"/>
        <v>0010</v>
      </c>
      <c r="G584" s="1" t="str">
        <f>""</f>
        <v/>
      </c>
      <c r="H584" s="1" t="str">
        <f>"0035"</f>
        <v>0035</v>
      </c>
      <c r="I584" s="1" t="s">
        <v>25</v>
      </c>
      <c r="J584" s="1" t="str">
        <f>"01043977569"</f>
        <v>01043977569</v>
      </c>
      <c r="K584" s="1" t="str">
        <f>"2017-04-09 10:41:37"</f>
        <v>2017-04-09 10:41:37</v>
      </c>
      <c r="L584" s="1" t="str">
        <f t="shared" si="64"/>
        <v>-</v>
      </c>
      <c r="M584" s="2">
        <v>0</v>
      </c>
      <c r="N584" s="1" t="s">
        <v>33</v>
      </c>
      <c r="O584" s="1" t="s">
        <v>34</v>
      </c>
      <c r="P584" s="2">
        <v>2.3148148148148147E-5</v>
      </c>
      <c r="Q584" s="1" t="str">
        <f>""</f>
        <v/>
      </c>
      <c r="R584" s="1">
        <v>0</v>
      </c>
      <c r="S584" s="1" t="str">
        <f>""</f>
        <v/>
      </c>
      <c r="T584" s="1" t="s">
        <v>29</v>
      </c>
      <c r="U584" s="1" t="s">
        <v>30</v>
      </c>
      <c r="V584" s="1">
        <v>0</v>
      </c>
    </row>
    <row r="585" spans="2:22" x14ac:dyDescent="0.15">
      <c r="B585" s="1" t="str">
        <f>"183****4280"</f>
        <v>183****4280</v>
      </c>
      <c r="C585" s="1" t="s">
        <v>23</v>
      </c>
      <c r="D585" s="1" t="str">
        <f t="shared" si="60"/>
        <v>89177328</v>
      </c>
      <c r="E585" s="1" t="s">
        <v>24</v>
      </c>
      <c r="F585" s="1" t="str">
        <f t="shared" si="61"/>
        <v>0010</v>
      </c>
      <c r="G585" s="1" t="str">
        <f>""</f>
        <v/>
      </c>
      <c r="H585" s="1" t="str">
        <f>"0017"</f>
        <v>0017</v>
      </c>
      <c r="I585" s="1" t="s">
        <v>135</v>
      </c>
      <c r="J585" s="1" t="str">
        <f>"01043989717"</f>
        <v>01043989717</v>
      </c>
      <c r="K585" s="1" t="str">
        <f>"2017-04-09 10:38:47"</f>
        <v>2017-04-09 10:38:47</v>
      </c>
      <c r="L585" s="1" t="str">
        <f>"2017-04-09 10:39:18"</f>
        <v>2017-04-09 10:39:18</v>
      </c>
      <c r="M585" s="2">
        <v>1.1574074074074073E-5</v>
      </c>
      <c r="N585" s="1" t="s">
        <v>26</v>
      </c>
      <c r="O585" s="1" t="s">
        <v>27</v>
      </c>
      <c r="P585" s="2">
        <v>3.7037037037037035E-4</v>
      </c>
      <c r="Q585" s="1" t="str">
        <f>""</f>
        <v/>
      </c>
      <c r="R585" s="1">
        <v>0</v>
      </c>
      <c r="S585" s="1" t="str">
        <f>""</f>
        <v/>
      </c>
      <c r="T585" s="1" t="s">
        <v>29</v>
      </c>
      <c r="U585" s="1" t="s">
        <v>30</v>
      </c>
      <c r="V585" s="1">
        <v>0</v>
      </c>
    </row>
    <row r="586" spans="2:22" x14ac:dyDescent="0.15">
      <c r="B586" s="1" t="str">
        <f>"139****6371"</f>
        <v>139****6371</v>
      </c>
      <c r="C586" s="1" t="s">
        <v>23</v>
      </c>
      <c r="D586" s="1" t="str">
        <f t="shared" si="60"/>
        <v>89177328</v>
      </c>
      <c r="E586" s="1" t="s">
        <v>24</v>
      </c>
      <c r="F586" s="1" t="str">
        <f t="shared" si="61"/>
        <v>0010</v>
      </c>
      <c r="G586" s="1" t="str">
        <f>""</f>
        <v/>
      </c>
      <c r="H586" s="1" t="str">
        <f>"0035"</f>
        <v>0035</v>
      </c>
      <c r="I586" s="1" t="s">
        <v>25</v>
      </c>
      <c r="J586" s="1" t="str">
        <f>"01043977569"</f>
        <v>01043977569</v>
      </c>
      <c r="K586" s="1" t="str">
        <f>"2017-04-09 10:35:39"</f>
        <v>2017-04-09 10:35:39</v>
      </c>
      <c r="L586" s="1" t="str">
        <f>"2017-04-09 10:35:48"</f>
        <v>2017-04-09 10:35:48</v>
      </c>
      <c r="M586" s="2">
        <v>3.5532407407407405E-3</v>
      </c>
      <c r="N586" s="1" t="s">
        <v>26</v>
      </c>
      <c r="O586" s="1" t="s">
        <v>27</v>
      </c>
      <c r="P586" s="2">
        <v>3.6574074074074074E-3</v>
      </c>
      <c r="Q586" s="1" t="s">
        <v>539</v>
      </c>
      <c r="R586" s="1">
        <v>0</v>
      </c>
      <c r="S586" s="1" t="str">
        <f>""</f>
        <v/>
      </c>
      <c r="T586" s="1" t="s">
        <v>29</v>
      </c>
      <c r="U586" s="1" t="s">
        <v>30</v>
      </c>
      <c r="V586" s="1">
        <v>0</v>
      </c>
    </row>
    <row r="587" spans="2:22" x14ac:dyDescent="0.15">
      <c r="B587" s="1" t="str">
        <f>"188****7867"</f>
        <v>188****7867</v>
      </c>
      <c r="C587" s="1" t="s">
        <v>23</v>
      </c>
      <c r="D587" s="1" t="str">
        <f t="shared" si="60"/>
        <v>89177328</v>
      </c>
      <c r="E587" s="1" t="s">
        <v>24</v>
      </c>
      <c r="F587" s="1" t="str">
        <f t="shared" si="61"/>
        <v>0010</v>
      </c>
      <c r="G587" s="1" t="str">
        <f>""</f>
        <v/>
      </c>
      <c r="H587" s="1" t="str">
        <f>"0035"</f>
        <v>0035</v>
      </c>
      <c r="I587" s="1" t="s">
        <v>25</v>
      </c>
      <c r="J587" s="1" t="str">
        <f>"01043977569"</f>
        <v>01043977569</v>
      </c>
      <c r="K587" s="1" t="str">
        <f>"2017-04-09 10:32:55"</f>
        <v>2017-04-09 10:32:55</v>
      </c>
      <c r="L587" s="1" t="str">
        <f>"-"</f>
        <v>-</v>
      </c>
      <c r="M587" s="2">
        <v>0</v>
      </c>
      <c r="N587" s="1" t="s">
        <v>33</v>
      </c>
      <c r="O587" s="1" t="s">
        <v>34</v>
      </c>
      <c r="P587" s="2">
        <v>2.3148148148148147E-5</v>
      </c>
      <c r="Q587" s="1" t="str">
        <f>""</f>
        <v/>
      </c>
      <c r="R587" s="1">
        <v>0</v>
      </c>
      <c r="S587" s="1" t="str">
        <f>""</f>
        <v/>
      </c>
      <c r="T587" s="1" t="s">
        <v>29</v>
      </c>
      <c r="U587" s="1" t="s">
        <v>30</v>
      </c>
      <c r="V587" s="1">
        <v>0</v>
      </c>
    </row>
    <row r="588" spans="2:22" x14ac:dyDescent="0.15">
      <c r="B588" s="1" t="str">
        <f>"183****4280"</f>
        <v>183****4280</v>
      </c>
      <c r="C588" s="1" t="s">
        <v>23</v>
      </c>
      <c r="D588" s="1" t="str">
        <f t="shared" si="60"/>
        <v>89177328</v>
      </c>
      <c r="E588" s="1" t="s">
        <v>24</v>
      </c>
      <c r="F588" s="1" t="str">
        <f t="shared" si="61"/>
        <v>0010</v>
      </c>
      <c r="G588" s="1" t="str">
        <f>""</f>
        <v/>
      </c>
      <c r="H588" s="1" t="str">
        <f>"0035"</f>
        <v>0035</v>
      </c>
      <c r="I588" s="1" t="s">
        <v>25</v>
      </c>
      <c r="J588" s="1" t="str">
        <f>"01043977569"</f>
        <v>01043977569</v>
      </c>
      <c r="K588" s="1" t="str">
        <f>"2017-04-09 10:32:06"</f>
        <v>2017-04-09 10:32:06</v>
      </c>
      <c r="L588" s="1" t="str">
        <f>"-"</f>
        <v>-</v>
      </c>
      <c r="M588" s="2">
        <v>0</v>
      </c>
      <c r="N588" s="1" t="s">
        <v>33</v>
      </c>
      <c r="O588" s="1" t="s">
        <v>34</v>
      </c>
      <c r="P588" s="2">
        <v>5.7870370370370366E-5</v>
      </c>
      <c r="Q588" s="1" t="str">
        <f>""</f>
        <v/>
      </c>
      <c r="R588" s="1">
        <v>0</v>
      </c>
      <c r="S588" s="1" t="str">
        <f>""</f>
        <v/>
      </c>
      <c r="T588" s="1" t="s">
        <v>29</v>
      </c>
      <c r="U588" s="1" t="s">
        <v>30</v>
      </c>
      <c r="V588" s="1">
        <v>0</v>
      </c>
    </row>
    <row r="589" spans="2:22" x14ac:dyDescent="0.15">
      <c r="B589" s="1" t="str">
        <f>"188****7867"</f>
        <v>188****7867</v>
      </c>
      <c r="C589" s="1" t="s">
        <v>23</v>
      </c>
      <c r="D589" s="1" t="str">
        <f t="shared" si="60"/>
        <v>89177328</v>
      </c>
      <c r="E589" s="1" t="s">
        <v>24</v>
      </c>
      <c r="F589" s="1" t="str">
        <f t="shared" si="61"/>
        <v>0010</v>
      </c>
      <c r="G589" s="1" t="str">
        <f>""</f>
        <v/>
      </c>
      <c r="H589" s="1" t="str">
        <f>"0035"</f>
        <v>0035</v>
      </c>
      <c r="I589" s="1" t="s">
        <v>25</v>
      </c>
      <c r="J589" s="1" t="str">
        <f>"01043977569"</f>
        <v>01043977569</v>
      </c>
      <c r="K589" s="1" t="str">
        <f>"2017-04-09 10:28:08"</f>
        <v>2017-04-09 10:28:08</v>
      </c>
      <c r="L589" s="1" t="str">
        <f>"-"</f>
        <v>-</v>
      </c>
      <c r="M589" s="2">
        <v>0</v>
      </c>
      <c r="N589" s="1" t="s">
        <v>33</v>
      </c>
      <c r="O589" s="1" t="s">
        <v>34</v>
      </c>
      <c r="P589" s="2">
        <v>6.9444444444444444E-5</v>
      </c>
      <c r="Q589" s="1" t="str">
        <f>""</f>
        <v/>
      </c>
      <c r="R589" s="1">
        <v>0</v>
      </c>
      <c r="S589" s="1" t="str">
        <f>""</f>
        <v/>
      </c>
      <c r="T589" s="1" t="s">
        <v>29</v>
      </c>
      <c r="U589" s="1" t="s">
        <v>30</v>
      </c>
      <c r="V589" s="1">
        <v>0</v>
      </c>
    </row>
    <row r="590" spans="2:22" x14ac:dyDescent="0.15">
      <c r="B590" s="1" t="str">
        <f>"185****1972"</f>
        <v>185****1972</v>
      </c>
      <c r="C590" s="1" t="s">
        <v>23</v>
      </c>
      <c r="D590" s="1" t="str">
        <f t="shared" si="60"/>
        <v>89177328</v>
      </c>
      <c r="E590" s="1" t="s">
        <v>24</v>
      </c>
      <c r="F590" s="1" t="str">
        <f t="shared" si="61"/>
        <v>0010</v>
      </c>
      <c r="G590" s="1" t="str">
        <f>""</f>
        <v/>
      </c>
      <c r="H590" s="1" t="str">
        <f>"0017"</f>
        <v>0017</v>
      </c>
      <c r="I590" s="1" t="s">
        <v>135</v>
      </c>
      <c r="J590" s="1" t="str">
        <f>"01043989717"</f>
        <v>01043989717</v>
      </c>
      <c r="K590" s="1" t="str">
        <f>"2017-04-09 10:27:45"</f>
        <v>2017-04-09 10:27:45</v>
      </c>
      <c r="L590" s="1" t="str">
        <f>"2017-04-09 10:27:52"</f>
        <v>2017-04-09 10:27:52</v>
      </c>
      <c r="M590" s="2">
        <v>5.5787037037037038E-3</v>
      </c>
      <c r="N590" s="1" t="s">
        <v>26</v>
      </c>
      <c r="O590" s="1" t="s">
        <v>27</v>
      </c>
      <c r="P590" s="2">
        <v>5.6597222222222222E-3</v>
      </c>
      <c r="Q590" s="1" t="s">
        <v>540</v>
      </c>
      <c r="R590" s="1">
        <v>0</v>
      </c>
      <c r="S590" s="1" t="str">
        <f>""</f>
        <v/>
      </c>
      <c r="T590" s="1" t="s">
        <v>29</v>
      </c>
      <c r="U590" s="1" t="s">
        <v>30</v>
      </c>
      <c r="V590" s="1">
        <v>0</v>
      </c>
    </row>
    <row r="591" spans="2:22" x14ac:dyDescent="0.15">
      <c r="B591" s="1" t="str">
        <f>"130****5656"</f>
        <v>130****5656</v>
      </c>
      <c r="C591" s="1" t="s">
        <v>112</v>
      </c>
      <c r="D591" s="1" t="str">
        <f t="shared" si="60"/>
        <v>89177328</v>
      </c>
      <c r="E591" s="1" t="s">
        <v>24</v>
      </c>
      <c r="F591" s="1" t="str">
        <f t="shared" si="61"/>
        <v>0010</v>
      </c>
      <c r="G591" s="1" t="str">
        <f>""</f>
        <v/>
      </c>
      <c r="H591" s="1" t="str">
        <f>"0035"</f>
        <v>0035</v>
      </c>
      <c r="I591" s="1" t="s">
        <v>25</v>
      </c>
      <c r="J591" s="1" t="str">
        <f>"01043977569"</f>
        <v>01043977569</v>
      </c>
      <c r="K591" s="1" t="str">
        <f>"2017-04-09 10:27:18"</f>
        <v>2017-04-09 10:27:18</v>
      </c>
      <c r="L591" s="1" t="str">
        <f>"-"</f>
        <v>-</v>
      </c>
      <c r="M591" s="2">
        <v>0</v>
      </c>
      <c r="N591" s="1" t="s">
        <v>33</v>
      </c>
      <c r="O591" s="1" t="s">
        <v>34</v>
      </c>
      <c r="P591" s="2">
        <v>5.7870370370370366E-5</v>
      </c>
      <c r="Q591" s="1" t="str">
        <f>""</f>
        <v/>
      </c>
      <c r="R591" s="1">
        <v>0</v>
      </c>
      <c r="S591" s="1" t="str">
        <f>""</f>
        <v/>
      </c>
      <c r="T591" s="1" t="s">
        <v>29</v>
      </c>
      <c r="U591" s="1" t="s">
        <v>30</v>
      </c>
      <c r="V591" s="1">
        <v>0</v>
      </c>
    </row>
    <row r="592" spans="2:22" x14ac:dyDescent="0.15">
      <c r="B592" s="1" t="str">
        <f>"185****1972"</f>
        <v>185****1972</v>
      </c>
      <c r="C592" s="1" t="s">
        <v>23</v>
      </c>
      <c r="D592" s="1" t="str">
        <f t="shared" si="60"/>
        <v>89177328</v>
      </c>
      <c r="E592" s="1" t="s">
        <v>24</v>
      </c>
      <c r="F592" s="1" t="str">
        <f t="shared" si="61"/>
        <v>0010</v>
      </c>
      <c r="G592" s="1" t="str">
        <f>""</f>
        <v/>
      </c>
      <c r="H592" s="1" t="str">
        <f>"0010"</f>
        <v>0010</v>
      </c>
      <c r="I592" s="1" t="s">
        <v>71</v>
      </c>
      <c r="J592" s="1" t="str">
        <f>"01043977571"</f>
        <v>01043977571</v>
      </c>
      <c r="K592" s="1" t="str">
        <f>"2017-04-09 10:14:09"</f>
        <v>2017-04-09 10:14:09</v>
      </c>
      <c r="L592" s="1" t="str">
        <f>"2017-04-09 10:14:22"</f>
        <v>2017-04-09 10:14:22</v>
      </c>
      <c r="M592" s="2">
        <v>3.5879629629629635E-4</v>
      </c>
      <c r="N592" s="1" t="s">
        <v>26</v>
      </c>
      <c r="O592" s="1" t="s">
        <v>27</v>
      </c>
      <c r="P592" s="2">
        <v>5.0925925925925921E-4</v>
      </c>
      <c r="Q592" s="1" t="s">
        <v>541</v>
      </c>
      <c r="R592" s="1">
        <v>0</v>
      </c>
      <c r="S592" s="1" t="str">
        <f>""</f>
        <v/>
      </c>
      <c r="T592" s="1" t="s">
        <v>29</v>
      </c>
      <c r="U592" s="1" t="s">
        <v>30</v>
      </c>
      <c r="V592" s="1">
        <v>0</v>
      </c>
    </row>
    <row r="593" spans="2:22" x14ac:dyDescent="0.15">
      <c r="B593" s="1" t="str">
        <f>"054****3766"</f>
        <v>054****3766</v>
      </c>
      <c r="C593" s="1" t="s">
        <v>49</v>
      </c>
      <c r="D593" s="1" t="str">
        <f t="shared" si="60"/>
        <v>89177328</v>
      </c>
      <c r="E593" s="1" t="s">
        <v>24</v>
      </c>
      <c r="F593" s="1" t="str">
        <f t="shared" si="61"/>
        <v>0010</v>
      </c>
      <c r="G593" s="1" t="str">
        <f>""</f>
        <v/>
      </c>
      <c r="H593" s="1" t="str">
        <f>"0017"</f>
        <v>0017</v>
      </c>
      <c r="I593" s="1" t="s">
        <v>135</v>
      </c>
      <c r="J593" s="1" t="str">
        <f>"01043989717"</f>
        <v>01043989717</v>
      </c>
      <c r="K593" s="1" t="str">
        <f>"2017-04-09 09:57:20"</f>
        <v>2017-04-09 09:57:20</v>
      </c>
      <c r="L593" s="1" t="str">
        <f>"2017-04-09 09:57:27"</f>
        <v>2017-04-09 09:57:27</v>
      </c>
      <c r="M593" s="2">
        <v>8.4143518518518517E-3</v>
      </c>
      <c r="N593" s="1" t="s">
        <v>26</v>
      </c>
      <c r="O593" s="1" t="s">
        <v>27</v>
      </c>
      <c r="P593" s="2">
        <v>8.4953703703703701E-3</v>
      </c>
      <c r="Q593" s="1" t="s">
        <v>542</v>
      </c>
      <c r="R593" s="1">
        <v>0</v>
      </c>
      <c r="S593" s="1" t="str">
        <f>""</f>
        <v/>
      </c>
      <c r="T593" s="1" t="s">
        <v>29</v>
      </c>
      <c r="U593" s="1" t="s">
        <v>30</v>
      </c>
      <c r="V593" s="1">
        <v>0</v>
      </c>
    </row>
    <row r="594" spans="2:22" x14ac:dyDescent="0.15">
      <c r="B594" s="1" t="str">
        <f>"136****8459"</f>
        <v>136****8459</v>
      </c>
      <c r="C594" s="1" t="s">
        <v>23</v>
      </c>
      <c r="D594" s="1" t="str">
        <f t="shared" si="60"/>
        <v>89177328</v>
      </c>
      <c r="E594" s="1" t="s">
        <v>24</v>
      </c>
      <c r="F594" s="1" t="str">
        <f t="shared" si="61"/>
        <v>0010</v>
      </c>
      <c r="G594" s="1" t="str">
        <f>""</f>
        <v/>
      </c>
      <c r="H594" s="1" t="str">
        <f>"0018"</f>
        <v>0018</v>
      </c>
      <c r="I594" s="1" t="s">
        <v>36</v>
      </c>
      <c r="J594" s="1" t="str">
        <f>"01043977572"</f>
        <v>01043977572</v>
      </c>
      <c r="K594" s="1" t="str">
        <f>"2017-04-09 09:54:43"</f>
        <v>2017-04-09 09:54:43</v>
      </c>
      <c r="L594" s="1" t="str">
        <f>"2017-04-09 09:54:55"</f>
        <v>2017-04-09 09:54:55</v>
      </c>
      <c r="M594" s="2">
        <v>9.7106481481481471E-3</v>
      </c>
      <c r="N594" s="1" t="s">
        <v>26</v>
      </c>
      <c r="O594" s="1" t="s">
        <v>34</v>
      </c>
      <c r="P594" s="2">
        <v>9.8495370370370369E-3</v>
      </c>
      <c r="Q594" s="1" t="s">
        <v>543</v>
      </c>
      <c r="R594" s="1">
        <v>0</v>
      </c>
      <c r="S594" s="1" t="str">
        <f>""</f>
        <v/>
      </c>
      <c r="T594" s="1" t="s">
        <v>29</v>
      </c>
      <c r="U594" s="1" t="s">
        <v>30</v>
      </c>
      <c r="V594" s="1">
        <v>0</v>
      </c>
    </row>
    <row r="595" spans="2:22" x14ac:dyDescent="0.15">
      <c r="B595" s="1" t="str">
        <f>"155****3836"</f>
        <v>155****3836</v>
      </c>
      <c r="C595" s="1" t="s">
        <v>458</v>
      </c>
      <c r="D595" s="1" t="str">
        <f t="shared" si="60"/>
        <v>89177328</v>
      </c>
      <c r="E595" s="1" t="s">
        <v>24</v>
      </c>
      <c r="F595" s="1" t="str">
        <f t="shared" si="61"/>
        <v>0010</v>
      </c>
      <c r="G595" s="1" t="str">
        <f>""</f>
        <v/>
      </c>
      <c r="H595" s="1" t="str">
        <f>"0017"</f>
        <v>0017</v>
      </c>
      <c r="I595" s="1" t="s">
        <v>135</v>
      </c>
      <c r="J595" s="1" t="str">
        <f>"01043989717"</f>
        <v>01043989717</v>
      </c>
      <c r="K595" s="1" t="str">
        <f>"2017-04-09 09:32:32"</f>
        <v>2017-04-09 09:32:32</v>
      </c>
      <c r="L595" s="1" t="str">
        <f>"2017-04-09 09:33:01"</f>
        <v>2017-04-09 09:33:01</v>
      </c>
      <c r="M595" s="2">
        <v>1.3668981481481482E-2</v>
      </c>
      <c r="N595" s="1" t="s">
        <v>26</v>
      </c>
      <c r="O595" s="1" t="s">
        <v>27</v>
      </c>
      <c r="P595" s="2">
        <v>1.4004629629629631E-2</v>
      </c>
      <c r="Q595" s="1" t="s">
        <v>544</v>
      </c>
      <c r="R595" s="1">
        <v>0</v>
      </c>
      <c r="S595" s="1" t="str">
        <f>""</f>
        <v/>
      </c>
      <c r="T595" s="1" t="s">
        <v>29</v>
      </c>
      <c r="U595" s="1" t="s">
        <v>30</v>
      </c>
      <c r="V595" s="1">
        <v>0</v>
      </c>
    </row>
    <row r="596" spans="2:22" x14ac:dyDescent="0.15">
      <c r="B596" s="1" t="str">
        <f>"0312152****9338"</f>
        <v>0312152****9338</v>
      </c>
      <c r="C596" s="1" t="s">
        <v>99</v>
      </c>
      <c r="D596" s="1" t="str">
        <f t="shared" si="60"/>
        <v>89177328</v>
      </c>
      <c r="E596" s="1" t="s">
        <v>24</v>
      </c>
      <c r="F596" s="1" t="str">
        <f t="shared" si="61"/>
        <v>0010</v>
      </c>
      <c r="G596" s="1" t="str">
        <f>""</f>
        <v/>
      </c>
      <c r="H596" s="1" t="str">
        <f>"0035"</f>
        <v>0035</v>
      </c>
      <c r="I596" s="1" t="s">
        <v>25</v>
      </c>
      <c r="J596" s="1" t="str">
        <f>"01043977569"</f>
        <v>01043977569</v>
      </c>
      <c r="K596" s="1" t="str">
        <f>"2017-04-09 09:30:41"</f>
        <v>2017-04-09 09:30:41</v>
      </c>
      <c r="L596" s="1" t="str">
        <f>"2017-04-09 09:30:47"</f>
        <v>2017-04-09 09:30:47</v>
      </c>
      <c r="M596" s="2">
        <v>7.3726851851851861E-3</v>
      </c>
      <c r="N596" s="1" t="s">
        <v>26</v>
      </c>
      <c r="O596" s="1" t="s">
        <v>27</v>
      </c>
      <c r="P596" s="2">
        <v>7.4421296296296293E-3</v>
      </c>
      <c r="Q596" s="1" t="s">
        <v>545</v>
      </c>
      <c r="R596" s="1">
        <v>0</v>
      </c>
      <c r="S596" s="1" t="str">
        <f>""</f>
        <v/>
      </c>
      <c r="T596" s="1" t="s">
        <v>29</v>
      </c>
      <c r="U596" s="1" t="s">
        <v>30</v>
      </c>
      <c r="V596" s="1">
        <v>0</v>
      </c>
    </row>
    <row r="597" spans="2:22" x14ac:dyDescent="0.15">
      <c r="B597" s="1" t="str">
        <f>"181****0413"</f>
        <v>181****0413</v>
      </c>
      <c r="C597" s="1" t="s">
        <v>150</v>
      </c>
      <c r="D597" s="1" t="str">
        <f t="shared" si="60"/>
        <v>89177328</v>
      </c>
      <c r="E597" s="1" t="s">
        <v>24</v>
      </c>
      <c r="F597" s="1" t="str">
        <f t="shared" si="61"/>
        <v>0010</v>
      </c>
      <c r="G597" s="1" t="str">
        <f>""</f>
        <v/>
      </c>
      <c r="H597" s="1" t="str">
        <f>"0035"</f>
        <v>0035</v>
      </c>
      <c r="I597" s="1" t="s">
        <v>25</v>
      </c>
      <c r="J597" s="1" t="str">
        <f>"01043977569"</f>
        <v>01043977569</v>
      </c>
      <c r="K597" s="1" t="str">
        <f>"2017-04-09 09:28:15"</f>
        <v>2017-04-09 09:28:15</v>
      </c>
      <c r="L597" s="1" t="str">
        <f>"-"</f>
        <v>-</v>
      </c>
      <c r="M597" s="2">
        <v>0</v>
      </c>
      <c r="N597" s="1" t="s">
        <v>33</v>
      </c>
      <c r="O597" s="1" t="s">
        <v>34</v>
      </c>
      <c r="P597" s="2">
        <v>2.3148148148148147E-5</v>
      </c>
      <c r="Q597" s="1" t="str">
        <f>""</f>
        <v/>
      </c>
      <c r="R597" s="1">
        <v>0</v>
      </c>
      <c r="S597" s="1" t="str">
        <f>""</f>
        <v/>
      </c>
      <c r="T597" s="1" t="s">
        <v>29</v>
      </c>
      <c r="U597" s="1" t="s">
        <v>30</v>
      </c>
      <c r="V597" s="1">
        <v>0</v>
      </c>
    </row>
    <row r="598" spans="2:22" x14ac:dyDescent="0.15">
      <c r="B598" s="1" t="str">
        <f>"186****9990"</f>
        <v>186****9990</v>
      </c>
      <c r="C598" s="1" t="s">
        <v>389</v>
      </c>
      <c r="D598" s="1" t="str">
        <f t="shared" si="60"/>
        <v>89177328</v>
      </c>
      <c r="E598" s="1" t="s">
        <v>24</v>
      </c>
      <c r="F598" s="1" t="str">
        <f t="shared" si="61"/>
        <v>0010</v>
      </c>
      <c r="G598" s="1" t="str">
        <f>""</f>
        <v/>
      </c>
      <c r="H598" s="1" t="str">
        <f>""</f>
        <v/>
      </c>
      <c r="I598" s="1" t="str">
        <f>""</f>
        <v/>
      </c>
      <c r="J598" s="1" t="str">
        <f>""</f>
        <v/>
      </c>
      <c r="K598" s="1" t="str">
        <f>"2017-04-09 09:17:00"</f>
        <v>2017-04-09 09:17:00</v>
      </c>
      <c r="L598" s="1" t="str">
        <f>"-"</f>
        <v>-</v>
      </c>
      <c r="M598" s="2">
        <v>0</v>
      </c>
      <c r="N598" s="1" t="s">
        <v>55</v>
      </c>
      <c r="O598" s="1" t="s">
        <v>34</v>
      </c>
      <c r="P598" s="2">
        <v>7.407407407407407E-4</v>
      </c>
      <c r="Q598" s="1" t="str">
        <f>""</f>
        <v/>
      </c>
      <c r="R598" s="1">
        <v>0</v>
      </c>
      <c r="S598" s="1" t="str">
        <f>""</f>
        <v/>
      </c>
      <c r="T598" s="1" t="s">
        <v>29</v>
      </c>
      <c r="U598" s="1" t="s">
        <v>30</v>
      </c>
      <c r="V598" s="1">
        <v>0</v>
      </c>
    </row>
    <row r="599" spans="2:22" x14ac:dyDescent="0.15">
      <c r="B599" s="1" t="str">
        <f>"010****1599"</f>
        <v>010****1599</v>
      </c>
      <c r="C599" s="1" t="s">
        <v>23</v>
      </c>
      <c r="D599" s="1" t="str">
        <f t="shared" si="60"/>
        <v>89177328</v>
      </c>
      <c r="E599" s="1" t="s">
        <v>24</v>
      </c>
      <c r="F599" s="1" t="str">
        <f t="shared" si="61"/>
        <v>0010</v>
      </c>
      <c r="G599" s="1" t="str">
        <f>""</f>
        <v/>
      </c>
      <c r="H599" s="1" t="str">
        <f>"0035"</f>
        <v>0035</v>
      </c>
      <c r="I599" s="1" t="s">
        <v>25</v>
      </c>
      <c r="J599" s="1" t="str">
        <f>"01043977569"</f>
        <v>01043977569</v>
      </c>
      <c r="K599" s="1" t="str">
        <f>"2017-04-09 09:15:32"</f>
        <v>2017-04-09 09:15:32</v>
      </c>
      <c r="L599" s="1" t="str">
        <f>"2017-04-09 09:15:44"</f>
        <v>2017-04-09 09:15:44</v>
      </c>
      <c r="M599" s="2">
        <v>4.5949074074074078E-3</v>
      </c>
      <c r="N599" s="1" t="s">
        <v>26</v>
      </c>
      <c r="O599" s="1" t="s">
        <v>27</v>
      </c>
      <c r="P599" s="2">
        <v>4.7337962962962958E-3</v>
      </c>
      <c r="Q599" s="1" t="s">
        <v>546</v>
      </c>
      <c r="R599" s="1">
        <v>0</v>
      </c>
      <c r="S599" s="1" t="str">
        <f>""</f>
        <v/>
      </c>
      <c r="T599" s="1" t="s">
        <v>29</v>
      </c>
      <c r="U599" s="1" t="s">
        <v>30</v>
      </c>
      <c r="V599" s="1">
        <v>0</v>
      </c>
    </row>
    <row r="600" spans="2:22" x14ac:dyDescent="0.15">
      <c r="B600" s="1" t="str">
        <f>"150****3124"</f>
        <v>150****3124</v>
      </c>
      <c r="C600" s="1" t="s">
        <v>188</v>
      </c>
      <c r="D600" s="1" t="str">
        <f t="shared" si="60"/>
        <v>89177328</v>
      </c>
      <c r="E600" s="1" t="s">
        <v>24</v>
      </c>
      <c r="F600" s="1" t="str">
        <f t="shared" si="61"/>
        <v>0010</v>
      </c>
      <c r="G600" s="1" t="str">
        <f>""</f>
        <v/>
      </c>
      <c r="H600" s="1" t="str">
        <f>""</f>
        <v/>
      </c>
      <c r="I600" s="1" t="str">
        <f>""</f>
        <v/>
      </c>
      <c r="J600" s="1" t="str">
        <f>""</f>
        <v/>
      </c>
      <c r="K600" s="1" t="str">
        <f>"2017-04-09 09:14:40"</f>
        <v>2017-04-09 09:14:40</v>
      </c>
      <c r="L600" s="1" t="str">
        <f>"-"</f>
        <v>-</v>
      </c>
      <c r="M600" s="2">
        <v>0</v>
      </c>
      <c r="N600" s="1" t="s">
        <v>55</v>
      </c>
      <c r="O600" s="1" t="s">
        <v>34</v>
      </c>
      <c r="P600" s="2">
        <v>2.0833333333333335E-4</v>
      </c>
      <c r="Q600" s="1" t="str">
        <f>""</f>
        <v/>
      </c>
      <c r="R600" s="1">
        <v>0</v>
      </c>
      <c r="S600" s="1" t="str">
        <f>""</f>
        <v/>
      </c>
      <c r="T600" s="1" t="s">
        <v>29</v>
      </c>
      <c r="U600" s="1" t="s">
        <v>30</v>
      </c>
      <c r="V600" s="1">
        <v>0</v>
      </c>
    </row>
    <row r="601" spans="2:22" x14ac:dyDescent="0.15">
      <c r="B601" s="1" t="str">
        <f>"185****8125"</f>
        <v>185****8125</v>
      </c>
      <c r="C601" s="1" t="s">
        <v>23</v>
      </c>
      <c r="D601" s="1" t="str">
        <f t="shared" si="60"/>
        <v>89177328</v>
      </c>
      <c r="E601" s="1" t="s">
        <v>24</v>
      </c>
      <c r="F601" s="1" t="str">
        <f t="shared" si="61"/>
        <v>0010</v>
      </c>
      <c r="G601" s="1" t="str">
        <f>""</f>
        <v/>
      </c>
      <c r="H601" s="1" t="str">
        <f>"0010"</f>
        <v>0010</v>
      </c>
      <c r="I601" s="1" t="s">
        <v>71</v>
      </c>
      <c r="J601" s="1" t="str">
        <f>"01043977571"</f>
        <v>01043977571</v>
      </c>
      <c r="K601" s="1" t="str">
        <f>"2017-04-09 09:14:07"</f>
        <v>2017-04-09 09:14:07</v>
      </c>
      <c r="L601" s="1" t="str">
        <f>"2017-04-09 09:14:17"</f>
        <v>2017-04-09 09:14:17</v>
      </c>
      <c r="M601" s="2">
        <v>1.230324074074074E-2</v>
      </c>
      <c r="N601" s="1" t="s">
        <v>26</v>
      </c>
      <c r="O601" s="1" t="s">
        <v>27</v>
      </c>
      <c r="P601" s="2">
        <v>1.2418981481481482E-2</v>
      </c>
      <c r="Q601" s="1" t="s">
        <v>547</v>
      </c>
      <c r="R601" s="1">
        <v>0</v>
      </c>
      <c r="S601" s="1" t="str">
        <f>""</f>
        <v/>
      </c>
      <c r="T601" s="1" t="s">
        <v>29</v>
      </c>
      <c r="U601" s="1" t="s">
        <v>30</v>
      </c>
      <c r="V601" s="1">
        <v>0</v>
      </c>
    </row>
    <row r="602" spans="2:22" x14ac:dyDescent="0.15">
      <c r="B602" s="1" t="str">
        <f>"133****4068"</f>
        <v>133****4068</v>
      </c>
      <c r="C602" s="1" t="s">
        <v>548</v>
      </c>
      <c r="D602" s="1" t="str">
        <f t="shared" si="60"/>
        <v>89177328</v>
      </c>
      <c r="E602" s="1" t="s">
        <v>24</v>
      </c>
      <c r="F602" s="1" t="str">
        <f t="shared" si="61"/>
        <v>0010</v>
      </c>
      <c r="G602" s="1" t="str">
        <f>""</f>
        <v/>
      </c>
      <c r="H602" s="1" t="str">
        <f>"0017"</f>
        <v>0017</v>
      </c>
      <c r="I602" s="1" t="s">
        <v>135</v>
      </c>
      <c r="J602" s="1" t="str">
        <f>"01043989717"</f>
        <v>01043989717</v>
      </c>
      <c r="K602" s="1" t="str">
        <f>"2017-04-09 09:10:05"</f>
        <v>2017-04-09 09:10:05</v>
      </c>
      <c r="L602" s="1" t="str">
        <f>"2017-04-09 09:10:11"</f>
        <v>2017-04-09 09:10:11</v>
      </c>
      <c r="M602" s="2">
        <v>1.1805555555555555E-2</v>
      </c>
      <c r="N602" s="1" t="s">
        <v>26</v>
      </c>
      <c r="O602" s="1" t="s">
        <v>27</v>
      </c>
      <c r="P602" s="2">
        <v>1.1875000000000002E-2</v>
      </c>
      <c r="Q602" s="1" t="s">
        <v>549</v>
      </c>
      <c r="R602" s="1">
        <v>0</v>
      </c>
      <c r="S602" s="1" t="str">
        <f>""</f>
        <v/>
      </c>
      <c r="T602" s="1" t="s">
        <v>29</v>
      </c>
      <c r="U602" s="1" t="s">
        <v>30</v>
      </c>
      <c r="V602" s="1">
        <v>0</v>
      </c>
    </row>
    <row r="603" spans="2:22" x14ac:dyDescent="0.15">
      <c r="B603" s="1" t="str">
        <f>"139****1891"</f>
        <v>139****1891</v>
      </c>
      <c r="C603" s="1" t="s">
        <v>550</v>
      </c>
      <c r="D603" s="1" t="str">
        <f t="shared" si="60"/>
        <v>89177328</v>
      </c>
      <c r="E603" s="1" t="s">
        <v>24</v>
      </c>
      <c r="F603" s="1" t="str">
        <f t="shared" si="61"/>
        <v>0010</v>
      </c>
      <c r="G603" s="1" t="str">
        <f>""</f>
        <v/>
      </c>
      <c r="H603" s="1" t="str">
        <f>"0035"</f>
        <v>0035</v>
      </c>
      <c r="I603" s="1" t="s">
        <v>25</v>
      </c>
      <c r="J603" s="1" t="str">
        <f>"01043977569"</f>
        <v>01043977569</v>
      </c>
      <c r="K603" s="1" t="str">
        <f>"2017-04-09 09:10:02"</f>
        <v>2017-04-09 09:10:02</v>
      </c>
      <c r="L603" s="1" t="str">
        <f>"2017-04-09 09:10:13"</f>
        <v>2017-04-09 09:10:13</v>
      </c>
      <c r="M603" s="2">
        <v>3.645833333333333E-3</v>
      </c>
      <c r="N603" s="1" t="s">
        <v>26</v>
      </c>
      <c r="O603" s="1" t="s">
        <v>27</v>
      </c>
      <c r="P603" s="2">
        <v>3.7731481481481483E-3</v>
      </c>
      <c r="Q603" s="1" t="s">
        <v>551</v>
      </c>
      <c r="R603" s="1">
        <v>0</v>
      </c>
      <c r="S603" s="1" t="str">
        <f>""</f>
        <v/>
      </c>
      <c r="T603" s="1" t="s">
        <v>29</v>
      </c>
      <c r="U603" s="1" t="s">
        <v>30</v>
      </c>
      <c r="V603" s="1">
        <v>0</v>
      </c>
    </row>
    <row r="604" spans="2:22" x14ac:dyDescent="0.15">
      <c r="B604" s="1" t="str">
        <f>"152****9558"</f>
        <v>152****9558</v>
      </c>
      <c r="C604" s="1" t="s">
        <v>137</v>
      </c>
      <c r="D604" s="1" t="str">
        <f t="shared" si="60"/>
        <v>89177328</v>
      </c>
      <c r="E604" s="1" t="s">
        <v>24</v>
      </c>
      <c r="F604" s="1" t="str">
        <f t="shared" si="61"/>
        <v>0010</v>
      </c>
      <c r="G604" s="1" t="str">
        <f>""</f>
        <v/>
      </c>
      <c r="H604" s="1" t="str">
        <f>"0035"</f>
        <v>0035</v>
      </c>
      <c r="I604" s="1" t="s">
        <v>25</v>
      </c>
      <c r="J604" s="1" t="str">
        <f>"01043977569"</f>
        <v>01043977569</v>
      </c>
      <c r="K604" s="1" t="str">
        <f>"2017-04-09 09:02:14"</f>
        <v>2017-04-09 09:02:14</v>
      </c>
      <c r="L604" s="1" t="str">
        <f>"2017-04-09 09:02:24"</f>
        <v>2017-04-09 09:02:24</v>
      </c>
      <c r="M604" s="2">
        <v>9.9537037037037042E-4</v>
      </c>
      <c r="N604" s="1" t="s">
        <v>26</v>
      </c>
      <c r="O604" s="1" t="s">
        <v>27</v>
      </c>
      <c r="P604" s="2">
        <v>1.1111111111111111E-3</v>
      </c>
      <c r="Q604" s="1" t="s">
        <v>552</v>
      </c>
      <c r="R604" s="1">
        <v>0</v>
      </c>
      <c r="S604" s="1" t="str">
        <f>""</f>
        <v/>
      </c>
      <c r="T604" s="1" t="s">
        <v>29</v>
      </c>
      <c r="U604" s="1" t="s">
        <v>30</v>
      </c>
      <c r="V604" s="1">
        <v>0</v>
      </c>
    </row>
    <row r="605" spans="2:22" x14ac:dyDescent="0.15">
      <c r="B605" s="1" t="str">
        <f>"189****1008"</f>
        <v>189****1008</v>
      </c>
      <c r="C605" s="1" t="s">
        <v>23</v>
      </c>
      <c r="D605" s="1" t="str">
        <f t="shared" si="60"/>
        <v>89177328</v>
      </c>
      <c r="E605" s="1" t="s">
        <v>24</v>
      </c>
      <c r="F605" s="1" t="str">
        <f t="shared" si="61"/>
        <v>0010</v>
      </c>
      <c r="G605" s="1" t="str">
        <f>""</f>
        <v/>
      </c>
      <c r="H605" s="1" t="str">
        <f>"0017"</f>
        <v>0017</v>
      </c>
      <c r="I605" s="1" t="s">
        <v>135</v>
      </c>
      <c r="J605" s="1" t="str">
        <f>"01043989717"</f>
        <v>01043989717</v>
      </c>
      <c r="K605" s="1" t="str">
        <f>"2017-04-09 09:00:07"</f>
        <v>2017-04-09 09:00:07</v>
      </c>
      <c r="L605" s="1" t="str">
        <f>"2017-04-09 09:00:15"</f>
        <v>2017-04-09 09:00:15</v>
      </c>
      <c r="M605" s="2">
        <v>1.9675925925925928E-3</v>
      </c>
      <c r="N605" s="1" t="s">
        <v>26</v>
      </c>
      <c r="O605" s="1" t="s">
        <v>27</v>
      </c>
      <c r="P605" s="2">
        <v>2.0601851851851853E-3</v>
      </c>
      <c r="Q605" s="1" t="s">
        <v>553</v>
      </c>
      <c r="R605" s="1">
        <v>0</v>
      </c>
      <c r="S605" s="1" t="str">
        <f>""</f>
        <v/>
      </c>
      <c r="T605" s="1" t="s">
        <v>29</v>
      </c>
      <c r="U605" s="1" t="s">
        <v>30</v>
      </c>
      <c r="V605" s="1">
        <v>0</v>
      </c>
    </row>
    <row r="606" spans="2:22" x14ac:dyDescent="0.15">
      <c r="B606" s="1" t="str">
        <f>"189****1479"</f>
        <v>189****1479</v>
      </c>
      <c r="C606" s="1" t="s">
        <v>23</v>
      </c>
      <c r="D606" s="1" t="str">
        <f t="shared" si="60"/>
        <v>89177328</v>
      </c>
      <c r="E606" s="1" t="s">
        <v>24</v>
      </c>
      <c r="F606" s="1" t="str">
        <f t="shared" si="61"/>
        <v>0010</v>
      </c>
      <c r="G606" s="1" t="str">
        <f>""</f>
        <v/>
      </c>
      <c r="H606" s="1" t="str">
        <f>"0018"</f>
        <v>0018</v>
      </c>
      <c r="I606" s="1" t="s">
        <v>36</v>
      </c>
      <c r="J606" s="1" t="str">
        <f>"01043977572"</f>
        <v>01043977572</v>
      </c>
      <c r="K606" s="1" t="str">
        <f>"2017-04-09 08:56:47"</f>
        <v>2017-04-09 08:56:47</v>
      </c>
      <c r="L606" s="1" t="str">
        <f>"2017-04-09 08:56:56"</f>
        <v>2017-04-09 08:56:56</v>
      </c>
      <c r="M606" s="2">
        <v>8.6458333333333335E-3</v>
      </c>
      <c r="N606" s="1" t="s">
        <v>26</v>
      </c>
      <c r="O606" s="1" t="s">
        <v>34</v>
      </c>
      <c r="P606" s="2">
        <v>8.7499999999999991E-3</v>
      </c>
      <c r="Q606" s="1" t="s">
        <v>554</v>
      </c>
      <c r="R606" s="1">
        <v>0</v>
      </c>
      <c r="S606" s="1" t="str">
        <f>""</f>
        <v/>
      </c>
      <c r="T606" s="1" t="s">
        <v>29</v>
      </c>
      <c r="U606" s="1" t="s">
        <v>30</v>
      </c>
      <c r="V606" s="1">
        <v>0</v>
      </c>
    </row>
    <row r="607" spans="2:22" x14ac:dyDescent="0.15">
      <c r="B607" s="1" t="str">
        <f>"152****9558"</f>
        <v>152****9558</v>
      </c>
      <c r="C607" s="1" t="s">
        <v>137</v>
      </c>
      <c r="D607" s="1" t="str">
        <f t="shared" si="60"/>
        <v>89177328</v>
      </c>
      <c r="E607" s="1" t="s">
        <v>24</v>
      </c>
      <c r="F607" s="1" t="str">
        <f t="shared" si="61"/>
        <v>0010</v>
      </c>
      <c r="G607" s="1" t="str">
        <f>""</f>
        <v/>
      </c>
      <c r="H607" s="1" t="str">
        <f>"0018"</f>
        <v>0018</v>
      </c>
      <c r="I607" s="1" t="s">
        <v>36</v>
      </c>
      <c r="J607" s="1" t="str">
        <f>"01043977572"</f>
        <v>01043977572</v>
      </c>
      <c r="K607" s="1" t="str">
        <f>"2017-04-09 08:43:56"</f>
        <v>2017-04-09 08:43:56</v>
      </c>
      <c r="L607" s="1" t="str">
        <f>"2017-04-09 08:44:08"</f>
        <v>2017-04-09 08:44:08</v>
      </c>
      <c r="M607" s="2">
        <v>7.8240740740740753E-3</v>
      </c>
      <c r="N607" s="1" t="s">
        <v>26</v>
      </c>
      <c r="O607" s="1" t="s">
        <v>34</v>
      </c>
      <c r="P607" s="2">
        <v>7.9629629629629634E-3</v>
      </c>
      <c r="Q607" s="1" t="s">
        <v>555</v>
      </c>
      <c r="R607" s="1">
        <v>0</v>
      </c>
      <c r="S607" s="1" t="str">
        <f>""</f>
        <v/>
      </c>
      <c r="T607" s="1" t="s">
        <v>29</v>
      </c>
      <c r="U607" s="1" t="s">
        <v>30</v>
      </c>
      <c r="V607" s="1">
        <v>0</v>
      </c>
    </row>
    <row r="608" spans="2:22" x14ac:dyDescent="0.15">
      <c r="B608" s="1" t="str">
        <f>"135****3089"</f>
        <v>135****3089</v>
      </c>
      <c r="C608" s="1" t="s">
        <v>23</v>
      </c>
      <c r="D608" s="1" t="str">
        <f t="shared" si="60"/>
        <v>89177328</v>
      </c>
      <c r="E608" s="1" t="s">
        <v>24</v>
      </c>
      <c r="F608" s="1" t="str">
        <f t="shared" si="61"/>
        <v>0010</v>
      </c>
      <c r="G608" s="1" t="str">
        <f>""</f>
        <v/>
      </c>
      <c r="H608" s="1" t="str">
        <f>"0018"</f>
        <v>0018</v>
      </c>
      <c r="I608" s="1" t="s">
        <v>36</v>
      </c>
      <c r="J608" s="1" t="str">
        <f>"01043977572"</f>
        <v>01043977572</v>
      </c>
      <c r="K608" s="1" t="str">
        <f>"2017-04-09 08:34:25"</f>
        <v>2017-04-09 08:34:25</v>
      </c>
      <c r="L608" s="1" t="str">
        <f>"-"</f>
        <v>-</v>
      </c>
      <c r="M608" s="2">
        <v>0</v>
      </c>
      <c r="N608" s="1" t="s">
        <v>33</v>
      </c>
      <c r="O608" s="1" t="s">
        <v>34</v>
      </c>
      <c r="P608" s="2">
        <v>2.3148148148148147E-5</v>
      </c>
      <c r="Q608" s="1" t="str">
        <f>""</f>
        <v/>
      </c>
      <c r="R608" s="1">
        <v>0</v>
      </c>
      <c r="S608" s="1" t="str">
        <f>""</f>
        <v/>
      </c>
      <c r="T608" s="1" t="s">
        <v>29</v>
      </c>
      <c r="U608" s="1" t="s">
        <v>30</v>
      </c>
      <c r="V608" s="1">
        <v>0</v>
      </c>
    </row>
    <row r="609" spans="2:22" x14ac:dyDescent="0.15">
      <c r="B609" s="1" t="str">
        <f>"130****5656"</f>
        <v>130****5656</v>
      </c>
      <c r="C609" s="1" t="s">
        <v>112</v>
      </c>
      <c r="D609" s="1" t="str">
        <f t="shared" si="60"/>
        <v>89177328</v>
      </c>
      <c r="E609" s="1" t="s">
        <v>24</v>
      </c>
      <c r="F609" s="1" t="str">
        <f t="shared" si="61"/>
        <v>0010</v>
      </c>
      <c r="G609" s="1" t="str">
        <f>""</f>
        <v/>
      </c>
      <c r="H609" s="1" t="str">
        <f>"0017"</f>
        <v>0017</v>
      </c>
      <c r="I609" s="1" t="s">
        <v>135</v>
      </c>
      <c r="J609" s="1" t="str">
        <f>"01043989717"</f>
        <v>01043989717</v>
      </c>
      <c r="K609" s="1" t="str">
        <f>"2017-04-09 08:09:41"</f>
        <v>2017-04-09 08:09:41</v>
      </c>
      <c r="L609" s="1" t="str">
        <f>"-"</f>
        <v>-</v>
      </c>
      <c r="M609" s="2">
        <v>0</v>
      </c>
      <c r="N609" s="1" t="s">
        <v>33</v>
      </c>
      <c r="O609" s="1" t="s">
        <v>34</v>
      </c>
      <c r="P609" s="2">
        <v>6.3657407407407402E-4</v>
      </c>
      <c r="Q609" s="1" t="str">
        <f>""</f>
        <v/>
      </c>
      <c r="R609" s="1">
        <v>0</v>
      </c>
      <c r="S609" s="1" t="str">
        <f>""</f>
        <v/>
      </c>
      <c r="T609" s="1" t="s">
        <v>29</v>
      </c>
      <c r="U609" s="1" t="s">
        <v>30</v>
      </c>
      <c r="V609" s="1">
        <v>0</v>
      </c>
    </row>
    <row r="610" spans="2:22" x14ac:dyDescent="0.15">
      <c r="B610" s="1" t="str">
        <f>"135****6129"</f>
        <v>135****6129</v>
      </c>
      <c r="C610" s="1" t="s">
        <v>109</v>
      </c>
      <c r="D610" s="1" t="str">
        <f t="shared" si="60"/>
        <v>89177328</v>
      </c>
      <c r="E610" s="1" t="s">
        <v>181</v>
      </c>
      <c r="F610" s="1" t="str">
        <f>""</f>
        <v/>
      </c>
      <c r="G610" s="1" t="str">
        <f>""</f>
        <v/>
      </c>
      <c r="H610" s="1" t="str">
        <f>""</f>
        <v/>
      </c>
      <c r="I610" s="1" t="str">
        <f>""</f>
        <v/>
      </c>
      <c r="J610" s="1" t="str">
        <f>""</f>
        <v/>
      </c>
      <c r="K610" s="1" t="str">
        <f>"2017-04-09 07:36:22"</f>
        <v>2017-04-09 07:36:22</v>
      </c>
      <c r="L610" s="1" t="str">
        <f>"2017-04-09 07:36:33"</f>
        <v>2017-04-09 07:36:33</v>
      </c>
      <c r="M610" s="2">
        <v>0</v>
      </c>
      <c r="N610" s="1" t="s">
        <v>55</v>
      </c>
      <c r="O610" s="1" t="s">
        <v>27</v>
      </c>
      <c r="P610" s="2">
        <v>1.9675925925925926E-4</v>
      </c>
      <c r="Q610" s="1" t="str">
        <f>""</f>
        <v/>
      </c>
      <c r="R610" s="1">
        <v>0</v>
      </c>
      <c r="S610" s="1" t="str">
        <f>""</f>
        <v/>
      </c>
      <c r="T610" s="1" t="s">
        <v>183</v>
      </c>
      <c r="U610" s="1" t="s">
        <v>30</v>
      </c>
      <c r="V610" s="1">
        <v>0</v>
      </c>
    </row>
    <row r="611" spans="2:22" x14ac:dyDescent="0.15">
      <c r="B611" s="1" t="str">
        <f>"155****5668"</f>
        <v>155****5668</v>
      </c>
      <c r="C611" s="1" t="s">
        <v>517</v>
      </c>
      <c r="D611" s="1" t="str">
        <f>"4000108333"</f>
        <v>4000108333</v>
      </c>
      <c r="E611" s="1" t="s">
        <v>414</v>
      </c>
      <c r="F611" s="1" t="str">
        <f>""</f>
        <v/>
      </c>
      <c r="G611" s="1" t="str">
        <f>""</f>
        <v/>
      </c>
      <c r="H611" s="1" t="str">
        <f>""</f>
        <v/>
      </c>
      <c r="I611" s="1" t="str">
        <f>""</f>
        <v/>
      </c>
      <c r="J611" s="1" t="str">
        <f>""</f>
        <v/>
      </c>
      <c r="K611" s="1" t="str">
        <f>"2017-04-09 06:05:28"</f>
        <v>2017-04-09 06:05:28</v>
      </c>
      <c r="L611" s="1" t="str">
        <f>"-"</f>
        <v>-</v>
      </c>
      <c r="M611" s="2">
        <v>0</v>
      </c>
      <c r="N611" s="1" t="s">
        <v>55</v>
      </c>
      <c r="O611" s="1" t="s">
        <v>34</v>
      </c>
      <c r="P611" s="2">
        <v>1.5046296296296297E-4</v>
      </c>
      <c r="Q611" s="1" t="str">
        <f>""</f>
        <v/>
      </c>
      <c r="R611" s="1">
        <v>0.12</v>
      </c>
      <c r="S611" s="1" t="str">
        <f>""</f>
        <v/>
      </c>
      <c r="T611" s="1" t="s">
        <v>183</v>
      </c>
      <c r="U611" s="1" t="s">
        <v>30</v>
      </c>
      <c r="V611" s="1">
        <v>0</v>
      </c>
    </row>
    <row r="612" spans="2:22" x14ac:dyDescent="0.15">
      <c r="B612" s="1" t="str">
        <f>"177****6029"</f>
        <v>177****6029</v>
      </c>
      <c r="C612" s="1" t="s">
        <v>23</v>
      </c>
      <c r="D612" s="1" t="str">
        <f>"4000108333"</f>
        <v>4000108333</v>
      </c>
      <c r="E612" s="1" t="s">
        <v>414</v>
      </c>
      <c r="F612" s="1" t="str">
        <f>""</f>
        <v/>
      </c>
      <c r="G612" s="1" t="str">
        <f>""</f>
        <v/>
      </c>
      <c r="H612" s="1" t="str">
        <f>""</f>
        <v/>
      </c>
      <c r="I612" s="1" t="str">
        <f>""</f>
        <v/>
      </c>
      <c r="J612" s="1" t="str">
        <f>""</f>
        <v/>
      </c>
      <c r="K612" s="1" t="str">
        <f>"2017-04-08 21:01:35"</f>
        <v>2017-04-08 21:01:35</v>
      </c>
      <c r="L612" s="1" t="str">
        <f>"-"</f>
        <v>-</v>
      </c>
      <c r="M612" s="2">
        <v>0</v>
      </c>
      <c r="N612" s="1" t="s">
        <v>55</v>
      </c>
      <c r="O612" s="1" t="s">
        <v>34</v>
      </c>
      <c r="P612" s="2">
        <v>2.3148148148148146E-4</v>
      </c>
      <c r="Q612" s="1" t="str">
        <f>""</f>
        <v/>
      </c>
      <c r="R612" s="1">
        <v>0.12</v>
      </c>
      <c r="S612" s="1" t="str">
        <f>""</f>
        <v/>
      </c>
      <c r="T612" s="1" t="s">
        <v>183</v>
      </c>
      <c r="U612" s="1" t="s">
        <v>30</v>
      </c>
      <c r="V612" s="1">
        <v>0</v>
      </c>
    </row>
    <row r="613" spans="2:22" x14ac:dyDescent="0.15">
      <c r="B613" s="1" t="str">
        <f>"150****6568"</f>
        <v>150****6568</v>
      </c>
      <c r="C613" s="1" t="s">
        <v>193</v>
      </c>
      <c r="D613" s="1" t="str">
        <f t="shared" ref="D613:D619" si="65">"89177328"</f>
        <v>89177328</v>
      </c>
      <c r="E613" s="1" t="s">
        <v>24</v>
      </c>
      <c r="F613" s="1" t="str">
        <f t="shared" ref="F613:F619" si="66">"0010"</f>
        <v>0010</v>
      </c>
      <c r="G613" s="1" t="str">
        <f>""</f>
        <v/>
      </c>
      <c r="H613" s="1" t="str">
        <f>""</f>
        <v/>
      </c>
      <c r="I613" s="1" t="str">
        <f>""</f>
        <v/>
      </c>
      <c r="J613" s="1" t="str">
        <f>""</f>
        <v/>
      </c>
      <c r="K613" s="1" t="str">
        <f>"2017-04-08 20:39:56"</f>
        <v>2017-04-08 20:39:56</v>
      </c>
      <c r="L613" s="1" t="str">
        <f>"-"</f>
        <v>-</v>
      </c>
      <c r="M613" s="2">
        <v>0</v>
      </c>
      <c r="N613" s="1" t="s">
        <v>55</v>
      </c>
      <c r="O613" s="1" t="s">
        <v>34</v>
      </c>
      <c r="P613" s="2">
        <v>2.3263888888888887E-3</v>
      </c>
      <c r="Q613" s="1" t="str">
        <f>""</f>
        <v/>
      </c>
      <c r="R613" s="1">
        <v>0</v>
      </c>
      <c r="S613" s="1" t="str">
        <f>""</f>
        <v/>
      </c>
      <c r="T613" s="1" t="s">
        <v>29</v>
      </c>
      <c r="U613" s="1" t="s">
        <v>30</v>
      </c>
      <c r="V613" s="1">
        <v>0</v>
      </c>
    </row>
    <row r="614" spans="2:22" x14ac:dyDescent="0.15">
      <c r="B614" s="1" t="str">
        <f>"177****6029"</f>
        <v>177****6029</v>
      </c>
      <c r="C614" s="1" t="s">
        <v>23</v>
      </c>
      <c r="D614" s="1" t="str">
        <f t="shared" si="65"/>
        <v>89177328</v>
      </c>
      <c r="E614" s="1" t="s">
        <v>24</v>
      </c>
      <c r="F614" s="1" t="str">
        <f t="shared" si="66"/>
        <v>0010</v>
      </c>
      <c r="G614" s="1" t="str">
        <f>""</f>
        <v/>
      </c>
      <c r="H614" s="1" t="str">
        <f>"0032"</f>
        <v>0032</v>
      </c>
      <c r="I614" s="1" t="s">
        <v>119</v>
      </c>
      <c r="J614" s="1" t="str">
        <f>"01043977566"</f>
        <v>01043977566</v>
      </c>
      <c r="K614" s="1" t="str">
        <f>"2017-04-08 20:33:10"</f>
        <v>2017-04-08 20:33:10</v>
      </c>
      <c r="L614" s="1" t="str">
        <f>"2017-04-08 20:33:24"</f>
        <v>2017-04-08 20:33:24</v>
      </c>
      <c r="M614" s="2">
        <v>7.5231481481481477E-3</v>
      </c>
      <c r="N614" s="1" t="s">
        <v>26</v>
      </c>
      <c r="O614" s="1" t="s">
        <v>34</v>
      </c>
      <c r="P614" s="2">
        <v>7.6851851851851847E-3</v>
      </c>
      <c r="Q614" s="1" t="s">
        <v>556</v>
      </c>
      <c r="R614" s="1">
        <v>0</v>
      </c>
      <c r="S614" s="1" t="str">
        <f>""</f>
        <v/>
      </c>
      <c r="T614" s="1" t="s">
        <v>29</v>
      </c>
      <c r="U614" s="1" t="s">
        <v>30</v>
      </c>
      <c r="V614" s="1">
        <v>0</v>
      </c>
    </row>
    <row r="615" spans="2:22" x14ac:dyDescent="0.15">
      <c r="B615" s="1" t="str">
        <f>"138****0387"</f>
        <v>138****0387</v>
      </c>
      <c r="C615" s="1" t="s">
        <v>23</v>
      </c>
      <c r="D615" s="1" t="str">
        <f t="shared" si="65"/>
        <v>89177328</v>
      </c>
      <c r="E615" s="1" t="s">
        <v>24</v>
      </c>
      <c r="F615" s="1" t="str">
        <f t="shared" si="66"/>
        <v>0010</v>
      </c>
      <c r="G615" s="1" t="str">
        <f>""</f>
        <v/>
      </c>
      <c r="H615" s="1" t="str">
        <f>"0032"</f>
        <v>0032</v>
      </c>
      <c r="I615" s="1" t="s">
        <v>119</v>
      </c>
      <c r="J615" s="1" t="str">
        <f>"01043977566"</f>
        <v>01043977566</v>
      </c>
      <c r="K615" s="1" t="str">
        <f>"2017-04-08 20:10:47"</f>
        <v>2017-04-08 20:10:47</v>
      </c>
      <c r="L615" s="1" t="str">
        <f>"-"</f>
        <v>-</v>
      </c>
      <c r="M615" s="2">
        <v>0</v>
      </c>
      <c r="N615" s="1" t="s">
        <v>33</v>
      </c>
      <c r="O615" s="1" t="s">
        <v>34</v>
      </c>
      <c r="P615" s="2">
        <v>1.1574074074074073E-5</v>
      </c>
      <c r="Q615" s="1" t="str">
        <f>""</f>
        <v/>
      </c>
      <c r="R615" s="1">
        <v>0</v>
      </c>
      <c r="S615" s="1" t="str">
        <f>""</f>
        <v/>
      </c>
      <c r="T615" s="1" t="s">
        <v>29</v>
      </c>
      <c r="U615" s="1" t="s">
        <v>30</v>
      </c>
      <c r="V615" s="1">
        <v>0</v>
      </c>
    </row>
    <row r="616" spans="2:22" x14ac:dyDescent="0.15">
      <c r="B616" s="1" t="str">
        <f>"156****4405"</f>
        <v>156****4405</v>
      </c>
      <c r="C616" s="1" t="s">
        <v>23</v>
      </c>
      <c r="D616" s="1" t="str">
        <f t="shared" si="65"/>
        <v>89177328</v>
      </c>
      <c r="E616" s="1" t="s">
        <v>24</v>
      </c>
      <c r="F616" s="1" t="str">
        <f t="shared" si="66"/>
        <v>0010</v>
      </c>
      <c r="G616" s="1" t="str">
        <f>""</f>
        <v/>
      </c>
      <c r="H616" s="1" t="str">
        <f>"0032"</f>
        <v>0032</v>
      </c>
      <c r="I616" s="1" t="s">
        <v>119</v>
      </c>
      <c r="J616" s="1" t="str">
        <f>"01043977566"</f>
        <v>01043977566</v>
      </c>
      <c r="K616" s="1" t="str">
        <f>"2017-04-08 19:44:15"</f>
        <v>2017-04-08 19:44:15</v>
      </c>
      <c r="L616" s="1" t="str">
        <f>"2017-04-08 19:44:56"</f>
        <v>2017-04-08 19:44:56</v>
      </c>
      <c r="M616" s="2">
        <v>4.0509259259259258E-4</v>
      </c>
      <c r="N616" s="1" t="s">
        <v>26</v>
      </c>
      <c r="O616" s="1" t="s">
        <v>27</v>
      </c>
      <c r="P616" s="2">
        <v>8.7962962962962962E-4</v>
      </c>
      <c r="Q616" s="1" t="s">
        <v>557</v>
      </c>
      <c r="R616" s="1">
        <v>0</v>
      </c>
      <c r="S616" s="1" t="str">
        <f>""</f>
        <v/>
      </c>
      <c r="T616" s="1" t="s">
        <v>29</v>
      </c>
      <c r="U616" s="1" t="s">
        <v>30</v>
      </c>
      <c r="V616" s="1">
        <v>0</v>
      </c>
    </row>
    <row r="617" spans="2:22" x14ac:dyDescent="0.15">
      <c r="B617" s="1" t="str">
        <f>"156****4405"</f>
        <v>156****4405</v>
      </c>
      <c r="C617" s="1" t="s">
        <v>23</v>
      </c>
      <c r="D617" s="1" t="str">
        <f t="shared" si="65"/>
        <v>89177328</v>
      </c>
      <c r="E617" s="1" t="s">
        <v>24</v>
      </c>
      <c r="F617" s="1" t="str">
        <f t="shared" si="66"/>
        <v>0010</v>
      </c>
      <c r="G617" s="1" t="str">
        <f>""</f>
        <v/>
      </c>
      <c r="H617" s="1" t="str">
        <f>"0036"</f>
        <v>0036</v>
      </c>
      <c r="I617" s="1" t="s">
        <v>143</v>
      </c>
      <c r="J617" s="1" t="str">
        <f>"01043977573"</f>
        <v>01043977573</v>
      </c>
      <c r="K617" s="1" t="str">
        <f>"2017-04-08 19:32:12"</f>
        <v>2017-04-08 19:32:12</v>
      </c>
      <c r="L617" s="1" t="str">
        <f>"2017-04-08 19:32:20"</f>
        <v>2017-04-08 19:32:20</v>
      </c>
      <c r="M617" s="2">
        <v>7.083333333333333E-3</v>
      </c>
      <c r="N617" s="1" t="s">
        <v>26</v>
      </c>
      <c r="O617" s="1" t="s">
        <v>34</v>
      </c>
      <c r="P617" s="2">
        <v>7.1759259259259259E-3</v>
      </c>
      <c r="Q617" s="1" t="s">
        <v>558</v>
      </c>
      <c r="R617" s="1">
        <v>0</v>
      </c>
      <c r="S617" s="1" t="str">
        <f>""</f>
        <v/>
      </c>
      <c r="T617" s="1" t="s">
        <v>29</v>
      </c>
      <c r="U617" s="1" t="s">
        <v>30</v>
      </c>
      <c r="V617" s="1">
        <v>0</v>
      </c>
    </row>
    <row r="618" spans="2:22" x14ac:dyDescent="0.15">
      <c r="B618" s="1" t="str">
        <f>"135****1516"</f>
        <v>135****1516</v>
      </c>
      <c r="C618" s="1" t="s">
        <v>524</v>
      </c>
      <c r="D618" s="1" t="str">
        <f t="shared" si="65"/>
        <v>89177328</v>
      </c>
      <c r="E618" s="1" t="s">
        <v>24</v>
      </c>
      <c r="F618" s="1" t="str">
        <f t="shared" si="66"/>
        <v>0010</v>
      </c>
      <c r="G618" s="1" t="str">
        <f>""</f>
        <v/>
      </c>
      <c r="H618" s="1" t="str">
        <f>"0031"</f>
        <v>0031</v>
      </c>
      <c r="I618" s="1" t="s">
        <v>95</v>
      </c>
      <c r="J618" s="1" t="str">
        <f>"01043977565"</f>
        <v>01043977565</v>
      </c>
      <c r="K618" s="1" t="str">
        <f>"2017-04-08 18:53:34"</f>
        <v>2017-04-08 18:53:34</v>
      </c>
      <c r="L618" s="1" t="str">
        <f>"2017-04-08 18:53:44"</f>
        <v>2017-04-08 18:53:44</v>
      </c>
      <c r="M618" s="2">
        <v>2.7974537037037034E-2</v>
      </c>
      <c r="N618" s="1" t="s">
        <v>26</v>
      </c>
      <c r="O618" s="1" t="s">
        <v>27</v>
      </c>
      <c r="P618" s="2">
        <v>2.809027777777778E-2</v>
      </c>
      <c r="Q618" s="1" t="s">
        <v>559</v>
      </c>
      <c r="R618" s="1">
        <v>0</v>
      </c>
      <c r="S618" s="1" t="str">
        <f>""</f>
        <v/>
      </c>
      <c r="T618" s="1" t="s">
        <v>29</v>
      </c>
      <c r="U618" s="1" t="s">
        <v>30</v>
      </c>
      <c r="V618" s="1">
        <v>0</v>
      </c>
    </row>
    <row r="619" spans="2:22" x14ac:dyDescent="0.15">
      <c r="B619" s="1" t="str">
        <f>"0312155****2737"</f>
        <v>0312155****2737</v>
      </c>
      <c r="C619" s="1" t="s">
        <v>99</v>
      </c>
      <c r="D619" s="1" t="str">
        <f t="shared" si="65"/>
        <v>89177328</v>
      </c>
      <c r="E619" s="1" t="s">
        <v>24</v>
      </c>
      <c r="F619" s="1" t="str">
        <f t="shared" si="66"/>
        <v>0010</v>
      </c>
      <c r="G619" s="1" t="str">
        <f>""</f>
        <v/>
      </c>
      <c r="H619" s="1" t="str">
        <f>"0031"</f>
        <v>0031</v>
      </c>
      <c r="I619" s="1" t="s">
        <v>95</v>
      </c>
      <c r="J619" s="1" t="str">
        <f>"01043977565"</f>
        <v>01043977565</v>
      </c>
      <c r="K619" s="1" t="str">
        <f>"2017-04-08 18:42:37"</f>
        <v>2017-04-08 18:42:37</v>
      </c>
      <c r="L619" s="1" t="str">
        <f>"2017-04-08 18:42:47"</f>
        <v>2017-04-08 18:42:47</v>
      </c>
      <c r="M619" s="2">
        <v>7.0949074074074074E-3</v>
      </c>
      <c r="N619" s="1" t="s">
        <v>26</v>
      </c>
      <c r="O619" s="1" t="s">
        <v>27</v>
      </c>
      <c r="P619" s="2">
        <v>7.2106481481481475E-3</v>
      </c>
      <c r="Q619" s="1" t="s">
        <v>560</v>
      </c>
      <c r="R619" s="1">
        <v>0</v>
      </c>
      <c r="S619" s="1" t="str">
        <f>""</f>
        <v/>
      </c>
      <c r="T619" s="1" t="s">
        <v>29</v>
      </c>
      <c r="U619" s="1" t="s">
        <v>30</v>
      </c>
      <c r="V619" s="1">
        <v>0</v>
      </c>
    </row>
    <row r="620" spans="2:22" x14ac:dyDescent="0.15">
      <c r="B620" s="1" t="str">
        <f>"045****8528"</f>
        <v>045****8528</v>
      </c>
      <c r="C620" s="1" t="s">
        <v>237</v>
      </c>
      <c r="D620" s="1" t="str">
        <f>"4000108333"</f>
        <v>4000108333</v>
      </c>
      <c r="E620" s="1" t="s">
        <v>53</v>
      </c>
      <c r="F620" s="1" t="str">
        <f>"0001"</f>
        <v>0001</v>
      </c>
      <c r="G620" s="1" t="str">
        <f>""</f>
        <v/>
      </c>
      <c r="H620" s="1" t="str">
        <f>"0001"</f>
        <v>0001</v>
      </c>
      <c r="I620" s="1" t="s">
        <v>129</v>
      </c>
      <c r="J620" s="1" t="str">
        <f>"13699138136"</f>
        <v>13699138136</v>
      </c>
      <c r="K620" s="1" t="str">
        <f>"2017-04-08 18:27:05"</f>
        <v>2017-04-08 18:27:05</v>
      </c>
      <c r="L620" s="1" t="str">
        <f>"2017-04-08 18:29:24"</f>
        <v>2017-04-08 18:29:24</v>
      </c>
      <c r="M620" s="2">
        <v>3.2407407407407406E-4</v>
      </c>
      <c r="N620" s="1" t="s">
        <v>26</v>
      </c>
      <c r="O620" s="1" t="s">
        <v>34</v>
      </c>
      <c r="P620" s="2">
        <v>1.9328703703703704E-3</v>
      </c>
      <c r="Q620" s="1" t="s">
        <v>561</v>
      </c>
      <c r="R620" s="1">
        <v>0.36</v>
      </c>
      <c r="S620" s="1" t="str">
        <f>""</f>
        <v/>
      </c>
      <c r="T620" s="1" t="s">
        <v>29</v>
      </c>
      <c r="U620" s="1" t="s">
        <v>30</v>
      </c>
      <c r="V620" s="1">
        <v>0</v>
      </c>
    </row>
    <row r="621" spans="2:22" x14ac:dyDescent="0.15">
      <c r="B621" s="1" t="str">
        <f>"182****4573"</f>
        <v>182****4573</v>
      </c>
      <c r="C621" s="1" t="s">
        <v>23</v>
      </c>
      <c r="D621" s="1" t="str">
        <f t="shared" ref="D621:D632" si="67">"89177328"</f>
        <v>89177328</v>
      </c>
      <c r="E621" s="1" t="s">
        <v>24</v>
      </c>
      <c r="F621" s="1" t="str">
        <f t="shared" ref="F621:F632" si="68">"0010"</f>
        <v>0010</v>
      </c>
      <c r="G621" s="1" t="str">
        <f>""</f>
        <v/>
      </c>
      <c r="H621" s="1" t="str">
        <f>"0032"</f>
        <v>0032</v>
      </c>
      <c r="I621" s="1" t="s">
        <v>119</v>
      </c>
      <c r="J621" s="1" t="str">
        <f>"01043977566"</f>
        <v>01043977566</v>
      </c>
      <c r="K621" s="1" t="str">
        <f>"2017-04-08 18:23:33"</f>
        <v>2017-04-08 18:23:33</v>
      </c>
      <c r="L621" s="1" t="str">
        <f>"2017-04-08 18:23:46"</f>
        <v>2017-04-08 18:23:46</v>
      </c>
      <c r="M621" s="2">
        <v>8.518518518518519E-3</v>
      </c>
      <c r="N621" s="1" t="s">
        <v>26</v>
      </c>
      <c r="O621" s="1" t="s">
        <v>34</v>
      </c>
      <c r="P621" s="2">
        <v>8.6689814814814806E-3</v>
      </c>
      <c r="Q621" s="1" t="s">
        <v>562</v>
      </c>
      <c r="R621" s="1">
        <v>0</v>
      </c>
      <c r="S621" s="1" t="str">
        <f>""</f>
        <v/>
      </c>
      <c r="T621" s="1" t="s">
        <v>29</v>
      </c>
      <c r="U621" s="1" t="s">
        <v>30</v>
      </c>
      <c r="V621" s="1">
        <v>0</v>
      </c>
    </row>
    <row r="622" spans="2:22" x14ac:dyDescent="0.15">
      <c r="B622" s="1" t="str">
        <f>"189****9785"</f>
        <v>189****9785</v>
      </c>
      <c r="C622" s="1" t="s">
        <v>23</v>
      </c>
      <c r="D622" s="1" t="str">
        <f t="shared" si="67"/>
        <v>89177328</v>
      </c>
      <c r="E622" s="1" t="s">
        <v>24</v>
      </c>
      <c r="F622" s="1" t="str">
        <f t="shared" si="68"/>
        <v>0010</v>
      </c>
      <c r="G622" s="1" t="str">
        <f>""</f>
        <v/>
      </c>
      <c r="H622" s="1" t="str">
        <f>"0036"</f>
        <v>0036</v>
      </c>
      <c r="I622" s="1" t="s">
        <v>143</v>
      </c>
      <c r="J622" s="1" t="str">
        <f>"01043977573"</f>
        <v>01043977573</v>
      </c>
      <c r="K622" s="1" t="str">
        <f>"2017-04-08 17:47:56"</f>
        <v>2017-04-08 17:47:56</v>
      </c>
      <c r="L622" s="1" t="str">
        <f>"2017-04-08 17:48:04"</f>
        <v>2017-04-08 17:48:04</v>
      </c>
      <c r="M622" s="2">
        <v>1.238425925925926E-2</v>
      </c>
      <c r="N622" s="1" t="s">
        <v>26</v>
      </c>
      <c r="O622" s="1" t="s">
        <v>34</v>
      </c>
      <c r="P622" s="2">
        <v>1.247685185185185E-2</v>
      </c>
      <c r="Q622" s="1" t="s">
        <v>563</v>
      </c>
      <c r="R622" s="1">
        <v>0</v>
      </c>
      <c r="S622" s="1" t="str">
        <f>""</f>
        <v/>
      </c>
      <c r="T622" s="1" t="s">
        <v>29</v>
      </c>
      <c r="U622" s="1" t="s">
        <v>30</v>
      </c>
      <c r="V622" s="1">
        <v>0</v>
      </c>
    </row>
    <row r="623" spans="2:22" x14ac:dyDescent="0.15">
      <c r="B623" s="1" t="str">
        <f>"135****5976"</f>
        <v>135****5976</v>
      </c>
      <c r="C623" s="1" t="s">
        <v>23</v>
      </c>
      <c r="D623" s="1" t="str">
        <f t="shared" si="67"/>
        <v>89177328</v>
      </c>
      <c r="E623" s="1" t="s">
        <v>24</v>
      </c>
      <c r="F623" s="1" t="str">
        <f t="shared" si="68"/>
        <v>0010</v>
      </c>
      <c r="G623" s="1" t="str">
        <f>""</f>
        <v/>
      </c>
      <c r="H623" s="1" t="str">
        <f>"0031"</f>
        <v>0031</v>
      </c>
      <c r="I623" s="1" t="s">
        <v>95</v>
      </c>
      <c r="J623" s="1" t="str">
        <f>"01043977565"</f>
        <v>01043977565</v>
      </c>
      <c r="K623" s="1" t="str">
        <f>"2017-04-08 17:41:16"</f>
        <v>2017-04-08 17:41:16</v>
      </c>
      <c r="L623" s="1" t="str">
        <f>"2017-04-08 17:41:24"</f>
        <v>2017-04-08 17:41:24</v>
      </c>
      <c r="M623" s="2">
        <v>2.6006944444444447E-2</v>
      </c>
      <c r="N623" s="1" t="s">
        <v>26</v>
      </c>
      <c r="O623" s="1" t="s">
        <v>27</v>
      </c>
      <c r="P623" s="2">
        <v>2.6099537037037036E-2</v>
      </c>
      <c r="Q623" s="1" t="s">
        <v>564</v>
      </c>
      <c r="R623" s="1">
        <v>0</v>
      </c>
      <c r="S623" s="1" t="str">
        <f>""</f>
        <v/>
      </c>
      <c r="T623" s="1" t="s">
        <v>29</v>
      </c>
      <c r="U623" s="1" t="s">
        <v>30</v>
      </c>
      <c r="V623" s="1">
        <v>0</v>
      </c>
    </row>
    <row r="624" spans="2:22" x14ac:dyDescent="0.15">
      <c r="B624" s="1" t="str">
        <f>"173****3129"</f>
        <v>173****3129</v>
      </c>
      <c r="C624" s="1" t="s">
        <v>23</v>
      </c>
      <c r="D624" s="1" t="str">
        <f t="shared" si="67"/>
        <v>89177328</v>
      </c>
      <c r="E624" s="1" t="s">
        <v>24</v>
      </c>
      <c r="F624" s="1" t="str">
        <f t="shared" si="68"/>
        <v>0010</v>
      </c>
      <c r="G624" s="1" t="str">
        <f>""</f>
        <v/>
      </c>
      <c r="H624" s="1" t="str">
        <f>"0033"</f>
        <v>0033</v>
      </c>
      <c r="I624" s="1" t="s">
        <v>106</v>
      </c>
      <c r="J624" s="1" t="str">
        <f>"01043977568"</f>
        <v>01043977568</v>
      </c>
      <c r="K624" s="1" t="str">
        <f>"2017-04-08 17:08:10"</f>
        <v>2017-04-08 17:08:10</v>
      </c>
      <c r="L624" s="1" t="str">
        <f>"2017-04-08 17:08:20"</f>
        <v>2017-04-08 17:08:20</v>
      </c>
      <c r="M624" s="2">
        <v>2.4999999999999998E-2</v>
      </c>
      <c r="N624" s="1" t="s">
        <v>26</v>
      </c>
      <c r="O624" s="1" t="s">
        <v>27</v>
      </c>
      <c r="P624" s="2">
        <v>2.5115740740740741E-2</v>
      </c>
      <c r="Q624" s="1" t="s">
        <v>565</v>
      </c>
      <c r="R624" s="1">
        <v>0</v>
      </c>
      <c r="S624" s="1" t="str">
        <f>""</f>
        <v/>
      </c>
      <c r="T624" s="1" t="s">
        <v>29</v>
      </c>
      <c r="U624" s="1" t="s">
        <v>30</v>
      </c>
      <c r="V624" s="1">
        <v>0</v>
      </c>
    </row>
    <row r="625" spans="2:22" x14ac:dyDescent="0.15">
      <c r="B625" s="1" t="str">
        <f>"157****4678"</f>
        <v>157****4678</v>
      </c>
      <c r="C625" s="1" t="s">
        <v>23</v>
      </c>
      <c r="D625" s="1" t="str">
        <f t="shared" si="67"/>
        <v>89177328</v>
      </c>
      <c r="E625" s="1" t="s">
        <v>24</v>
      </c>
      <c r="F625" s="1" t="str">
        <f t="shared" si="68"/>
        <v>0010</v>
      </c>
      <c r="G625" s="1" t="str">
        <f>""</f>
        <v/>
      </c>
      <c r="H625" s="1" t="str">
        <f>"0036"</f>
        <v>0036</v>
      </c>
      <c r="I625" s="1" t="s">
        <v>143</v>
      </c>
      <c r="J625" s="1" t="str">
        <f>"01043977573"</f>
        <v>01043977573</v>
      </c>
      <c r="K625" s="1" t="str">
        <f>"2017-04-08 17:05:37"</f>
        <v>2017-04-08 17:05:37</v>
      </c>
      <c r="L625" s="1" t="str">
        <f>"-"</f>
        <v>-</v>
      </c>
      <c r="M625" s="2">
        <v>0</v>
      </c>
      <c r="N625" s="1" t="s">
        <v>33</v>
      </c>
      <c r="O625" s="1" t="s">
        <v>34</v>
      </c>
      <c r="P625" s="2">
        <v>6.9444444444444444E-5</v>
      </c>
      <c r="Q625" s="1" t="str">
        <f>""</f>
        <v/>
      </c>
      <c r="R625" s="1">
        <v>0</v>
      </c>
      <c r="S625" s="1" t="str">
        <f>""</f>
        <v/>
      </c>
      <c r="T625" s="1" t="s">
        <v>29</v>
      </c>
      <c r="U625" s="1" t="s">
        <v>30</v>
      </c>
      <c r="V625" s="1">
        <v>0</v>
      </c>
    </row>
    <row r="626" spans="2:22" x14ac:dyDescent="0.15">
      <c r="B626" s="1" t="str">
        <f>"157****4678"</f>
        <v>157****4678</v>
      </c>
      <c r="C626" s="1" t="s">
        <v>23</v>
      </c>
      <c r="D626" s="1" t="str">
        <f t="shared" si="67"/>
        <v>89177328</v>
      </c>
      <c r="E626" s="1" t="s">
        <v>24</v>
      </c>
      <c r="F626" s="1" t="str">
        <f t="shared" si="68"/>
        <v>0010</v>
      </c>
      <c r="G626" s="1" t="str">
        <f>""</f>
        <v/>
      </c>
      <c r="H626" s="1" t="str">
        <f>"0033"</f>
        <v>0033</v>
      </c>
      <c r="I626" s="1" t="s">
        <v>106</v>
      </c>
      <c r="J626" s="1" t="str">
        <f>"01043977568"</f>
        <v>01043977568</v>
      </c>
      <c r="K626" s="1" t="str">
        <f>"2017-04-08 17:00:01"</f>
        <v>2017-04-08 17:00:01</v>
      </c>
      <c r="L626" s="1" t="str">
        <f>"-"</f>
        <v>-</v>
      </c>
      <c r="M626" s="2">
        <v>0</v>
      </c>
      <c r="N626" s="1" t="s">
        <v>33</v>
      </c>
      <c r="O626" s="1" t="s">
        <v>34</v>
      </c>
      <c r="P626" s="2">
        <v>6.9444444444444444E-5</v>
      </c>
      <c r="Q626" s="1" t="str">
        <f>""</f>
        <v/>
      </c>
      <c r="R626" s="1">
        <v>0</v>
      </c>
      <c r="S626" s="1" t="str">
        <f>""</f>
        <v/>
      </c>
      <c r="T626" s="1" t="s">
        <v>29</v>
      </c>
      <c r="U626" s="1" t="s">
        <v>30</v>
      </c>
      <c r="V626" s="1">
        <v>0</v>
      </c>
    </row>
    <row r="627" spans="2:22" x14ac:dyDescent="0.15">
      <c r="B627" s="1" t="str">
        <f>"151****9199"</f>
        <v>151****9199</v>
      </c>
      <c r="C627" s="1" t="s">
        <v>23</v>
      </c>
      <c r="D627" s="1" t="str">
        <f t="shared" si="67"/>
        <v>89177328</v>
      </c>
      <c r="E627" s="1" t="s">
        <v>24</v>
      </c>
      <c r="F627" s="1" t="str">
        <f t="shared" si="68"/>
        <v>0010</v>
      </c>
      <c r="G627" s="1" t="str">
        <f>""</f>
        <v/>
      </c>
      <c r="H627" s="1" t="str">
        <f>"0036"</f>
        <v>0036</v>
      </c>
      <c r="I627" s="1" t="s">
        <v>143</v>
      </c>
      <c r="J627" s="1" t="str">
        <f>"01043977573"</f>
        <v>01043977573</v>
      </c>
      <c r="K627" s="1" t="str">
        <f>"2017-04-08 16:58:55"</f>
        <v>2017-04-08 16:58:55</v>
      </c>
      <c r="L627" s="1" t="str">
        <f>"2017-04-08 16:58:59"</f>
        <v>2017-04-08 16:58:59</v>
      </c>
      <c r="M627" s="2">
        <v>8.6805555555555551E-4</v>
      </c>
      <c r="N627" s="1" t="s">
        <v>26</v>
      </c>
      <c r="O627" s="1" t="s">
        <v>34</v>
      </c>
      <c r="P627" s="2">
        <v>9.1435185185185185E-4</v>
      </c>
      <c r="Q627" s="1" t="s">
        <v>566</v>
      </c>
      <c r="R627" s="1">
        <v>0</v>
      </c>
      <c r="S627" s="1" t="str">
        <f>""</f>
        <v/>
      </c>
      <c r="T627" s="1" t="s">
        <v>29</v>
      </c>
      <c r="U627" s="1" t="s">
        <v>30</v>
      </c>
      <c r="V627" s="1">
        <v>0</v>
      </c>
    </row>
    <row r="628" spans="2:22" x14ac:dyDescent="0.15">
      <c r="B628" s="1" t="str">
        <f>"157****4678"</f>
        <v>157****4678</v>
      </c>
      <c r="C628" s="1" t="s">
        <v>23</v>
      </c>
      <c r="D628" s="1" t="str">
        <f t="shared" si="67"/>
        <v>89177328</v>
      </c>
      <c r="E628" s="1" t="s">
        <v>24</v>
      </c>
      <c r="F628" s="1" t="str">
        <f t="shared" si="68"/>
        <v>0010</v>
      </c>
      <c r="G628" s="1" t="str">
        <f>""</f>
        <v/>
      </c>
      <c r="H628" s="1" t="str">
        <f>"0031"</f>
        <v>0031</v>
      </c>
      <c r="I628" s="1" t="s">
        <v>95</v>
      </c>
      <c r="J628" s="1" t="str">
        <f>"01043977565"</f>
        <v>01043977565</v>
      </c>
      <c r="K628" s="1" t="str">
        <f>"2017-04-08 16:45:42"</f>
        <v>2017-04-08 16:45:42</v>
      </c>
      <c r="L628" s="1" t="str">
        <f>"-"</f>
        <v>-</v>
      </c>
      <c r="M628" s="2">
        <v>0</v>
      </c>
      <c r="N628" s="1" t="s">
        <v>33</v>
      </c>
      <c r="O628" s="1" t="s">
        <v>34</v>
      </c>
      <c r="P628" s="2">
        <v>6.9444444444444444E-5</v>
      </c>
      <c r="Q628" s="1" t="str">
        <f>""</f>
        <v/>
      </c>
      <c r="R628" s="1">
        <v>0</v>
      </c>
      <c r="S628" s="1" t="str">
        <f>""</f>
        <v/>
      </c>
      <c r="T628" s="1" t="s">
        <v>29</v>
      </c>
      <c r="U628" s="1" t="s">
        <v>30</v>
      </c>
      <c r="V628" s="1">
        <v>0</v>
      </c>
    </row>
    <row r="629" spans="2:22" x14ac:dyDescent="0.15">
      <c r="B629" s="1" t="str">
        <f>"133****9597"</f>
        <v>133****9597</v>
      </c>
      <c r="C629" s="1" t="s">
        <v>23</v>
      </c>
      <c r="D629" s="1" t="str">
        <f t="shared" si="67"/>
        <v>89177328</v>
      </c>
      <c r="E629" s="1" t="s">
        <v>24</v>
      </c>
      <c r="F629" s="1" t="str">
        <f t="shared" si="68"/>
        <v>0010</v>
      </c>
      <c r="G629" s="1" t="str">
        <f>""</f>
        <v/>
      </c>
      <c r="H629" s="1" t="str">
        <f>"0031"</f>
        <v>0031</v>
      </c>
      <c r="I629" s="1" t="s">
        <v>95</v>
      </c>
      <c r="J629" s="1" t="str">
        <f>"01043977565"</f>
        <v>01043977565</v>
      </c>
      <c r="K629" s="1" t="str">
        <f>"2017-04-08 16:44:30"</f>
        <v>2017-04-08 16:44:30</v>
      </c>
      <c r="L629" s="1" t="str">
        <f>"-"</f>
        <v>-</v>
      </c>
      <c r="M629" s="2">
        <v>0</v>
      </c>
      <c r="N629" s="1" t="s">
        <v>33</v>
      </c>
      <c r="O629" s="1" t="s">
        <v>34</v>
      </c>
      <c r="P629" s="2">
        <v>5.7870370370370366E-5</v>
      </c>
      <c r="Q629" s="1" t="str">
        <f>""</f>
        <v/>
      </c>
      <c r="R629" s="1">
        <v>0</v>
      </c>
      <c r="S629" s="1" t="str">
        <f>""</f>
        <v/>
      </c>
      <c r="T629" s="1" t="s">
        <v>29</v>
      </c>
      <c r="U629" s="1" t="s">
        <v>30</v>
      </c>
      <c r="V629" s="1">
        <v>0</v>
      </c>
    </row>
    <row r="630" spans="2:22" x14ac:dyDescent="0.15">
      <c r="B630" s="1" t="str">
        <f>"189****8260"</f>
        <v>189****8260</v>
      </c>
      <c r="C630" s="1" t="s">
        <v>23</v>
      </c>
      <c r="D630" s="1" t="str">
        <f t="shared" si="67"/>
        <v>89177328</v>
      </c>
      <c r="E630" s="1" t="s">
        <v>24</v>
      </c>
      <c r="F630" s="1" t="str">
        <f t="shared" si="68"/>
        <v>0010</v>
      </c>
      <c r="G630" s="1" t="str">
        <f>""</f>
        <v/>
      </c>
      <c r="H630" s="1" t="str">
        <f>"0036"</f>
        <v>0036</v>
      </c>
      <c r="I630" s="1" t="s">
        <v>143</v>
      </c>
      <c r="J630" s="1" t="str">
        <f>"01043977573"</f>
        <v>01043977573</v>
      </c>
      <c r="K630" s="1" t="str">
        <f>"2017-04-08 16:43:38"</f>
        <v>2017-04-08 16:43:38</v>
      </c>
      <c r="L630" s="1" t="str">
        <f>"2017-04-08 16:43:48"</f>
        <v>2017-04-08 16:43:48</v>
      </c>
      <c r="M630" s="2">
        <v>7.5231481481481477E-3</v>
      </c>
      <c r="N630" s="1" t="s">
        <v>26</v>
      </c>
      <c r="O630" s="1" t="s">
        <v>34</v>
      </c>
      <c r="P630" s="2">
        <v>7.6388888888888886E-3</v>
      </c>
      <c r="Q630" s="1" t="s">
        <v>567</v>
      </c>
      <c r="R630" s="1">
        <v>0</v>
      </c>
      <c r="S630" s="1" t="str">
        <f>""</f>
        <v/>
      </c>
      <c r="T630" s="1" t="s">
        <v>29</v>
      </c>
      <c r="U630" s="1" t="s">
        <v>30</v>
      </c>
      <c r="V630" s="1">
        <v>0</v>
      </c>
    </row>
    <row r="631" spans="2:22" x14ac:dyDescent="0.15">
      <c r="B631" s="1" t="str">
        <f>"186****0604"</f>
        <v>186****0604</v>
      </c>
      <c r="C631" s="1" t="s">
        <v>23</v>
      </c>
      <c r="D631" s="1" t="str">
        <f t="shared" si="67"/>
        <v>89177328</v>
      </c>
      <c r="E631" s="1" t="s">
        <v>24</v>
      </c>
      <c r="F631" s="1" t="str">
        <f t="shared" si="68"/>
        <v>0010</v>
      </c>
      <c r="G631" s="1" t="str">
        <f>""</f>
        <v/>
      </c>
      <c r="H631" s="1" t="str">
        <f>"0036"</f>
        <v>0036</v>
      </c>
      <c r="I631" s="1" t="s">
        <v>143</v>
      </c>
      <c r="J631" s="1" t="str">
        <f>"01043977573"</f>
        <v>01043977573</v>
      </c>
      <c r="K631" s="1" t="str">
        <f>"2017-04-08 16:41:19"</f>
        <v>2017-04-08 16:41:19</v>
      </c>
      <c r="L631" s="1" t="str">
        <f>"-"</f>
        <v>-</v>
      </c>
      <c r="M631" s="2">
        <v>0</v>
      </c>
      <c r="N631" s="1" t="s">
        <v>33</v>
      </c>
      <c r="O631" s="1" t="s">
        <v>34</v>
      </c>
      <c r="P631" s="2">
        <v>9.2592592592592588E-5</v>
      </c>
      <c r="Q631" s="1" t="str">
        <f>""</f>
        <v/>
      </c>
      <c r="R631" s="1">
        <v>0</v>
      </c>
      <c r="S631" s="1" t="str">
        <f>""</f>
        <v/>
      </c>
      <c r="T631" s="1" t="s">
        <v>29</v>
      </c>
      <c r="U631" s="1" t="s">
        <v>30</v>
      </c>
      <c r="V631" s="1">
        <v>0</v>
      </c>
    </row>
    <row r="632" spans="2:22" x14ac:dyDescent="0.15">
      <c r="B632" s="1" t="str">
        <f>"133****9597"</f>
        <v>133****9597</v>
      </c>
      <c r="C632" s="1" t="s">
        <v>23</v>
      </c>
      <c r="D632" s="1" t="str">
        <f t="shared" si="67"/>
        <v>89177328</v>
      </c>
      <c r="E632" s="1" t="s">
        <v>24</v>
      </c>
      <c r="F632" s="1" t="str">
        <f t="shared" si="68"/>
        <v>0010</v>
      </c>
      <c r="G632" s="1" t="str">
        <f>""</f>
        <v/>
      </c>
      <c r="H632" s="1" t="str">
        <f>"0031"</f>
        <v>0031</v>
      </c>
      <c r="I632" s="1" t="s">
        <v>95</v>
      </c>
      <c r="J632" s="1" t="str">
        <f>"01043977565"</f>
        <v>01043977565</v>
      </c>
      <c r="K632" s="1" t="str">
        <f>"2017-04-08 16:41:03"</f>
        <v>2017-04-08 16:41:03</v>
      </c>
      <c r="L632" s="1" t="str">
        <f>"-"</f>
        <v>-</v>
      </c>
      <c r="M632" s="2">
        <v>0</v>
      </c>
      <c r="N632" s="1" t="s">
        <v>33</v>
      </c>
      <c r="O632" s="1" t="s">
        <v>34</v>
      </c>
      <c r="P632" s="2">
        <v>5.7870370370370366E-5</v>
      </c>
      <c r="Q632" s="1" t="str">
        <f>""</f>
        <v/>
      </c>
      <c r="R632" s="1">
        <v>0</v>
      </c>
      <c r="S632" s="1" t="str">
        <f>""</f>
        <v/>
      </c>
      <c r="T632" s="1" t="s">
        <v>29</v>
      </c>
      <c r="U632" s="1" t="s">
        <v>30</v>
      </c>
      <c r="V632" s="1">
        <v>0</v>
      </c>
    </row>
    <row r="633" spans="2:22" x14ac:dyDescent="0.15">
      <c r="B633" s="1" t="str">
        <f>"137****9259"</f>
        <v>137****9259</v>
      </c>
      <c r="C633" s="1" t="s">
        <v>568</v>
      </c>
      <c r="D633" s="1" t="str">
        <f>"4000108333"</f>
        <v>4000108333</v>
      </c>
      <c r="E633" s="1" t="s">
        <v>53</v>
      </c>
      <c r="F633" s="1" t="str">
        <f>""</f>
        <v/>
      </c>
      <c r="G633" s="1" t="str">
        <f>""</f>
        <v/>
      </c>
      <c r="H633" s="1" t="str">
        <f>""</f>
        <v/>
      </c>
      <c r="I633" s="1" t="str">
        <f>""</f>
        <v/>
      </c>
      <c r="J633" s="1" t="str">
        <f>""</f>
        <v/>
      </c>
      <c r="K633" s="1" t="str">
        <f>"2017-04-08 16:36:17"</f>
        <v>2017-04-08 16:36:17</v>
      </c>
      <c r="L633" s="1" t="str">
        <f>"-"</f>
        <v>-</v>
      </c>
      <c r="M633" s="2">
        <v>0</v>
      </c>
      <c r="N633" s="1" t="s">
        <v>55</v>
      </c>
      <c r="O633" s="1" t="s">
        <v>34</v>
      </c>
      <c r="P633" s="2">
        <v>2.5462962962962961E-4</v>
      </c>
      <c r="Q633" s="1" t="str">
        <f>""</f>
        <v/>
      </c>
      <c r="R633" s="1">
        <v>0.12</v>
      </c>
      <c r="S633" s="1" t="str">
        <f>""</f>
        <v/>
      </c>
      <c r="T633" s="1" t="s">
        <v>29</v>
      </c>
      <c r="U633" s="1" t="s">
        <v>30</v>
      </c>
      <c r="V633" s="1">
        <v>0</v>
      </c>
    </row>
    <row r="634" spans="2:22" x14ac:dyDescent="0.15">
      <c r="B634" s="1" t="str">
        <f>"137****9259"</f>
        <v>137****9259</v>
      </c>
      <c r="C634" s="1" t="s">
        <v>568</v>
      </c>
      <c r="D634" s="1" t="str">
        <f>"4000108333"</f>
        <v>4000108333</v>
      </c>
      <c r="E634" s="1" t="s">
        <v>53</v>
      </c>
      <c r="F634" s="1" t="str">
        <f>""</f>
        <v/>
      </c>
      <c r="G634" s="1" t="str">
        <f>""</f>
        <v/>
      </c>
      <c r="H634" s="1" t="str">
        <f>""</f>
        <v/>
      </c>
      <c r="I634" s="1" t="str">
        <f>""</f>
        <v/>
      </c>
      <c r="J634" s="1" t="str">
        <f>""</f>
        <v/>
      </c>
      <c r="K634" s="1" t="str">
        <f>"2017-04-08 16:36:05"</f>
        <v>2017-04-08 16:36:05</v>
      </c>
      <c r="L634" s="1" t="str">
        <f>"-"</f>
        <v>-</v>
      </c>
      <c r="M634" s="2">
        <v>0</v>
      </c>
      <c r="N634" s="1" t="s">
        <v>55</v>
      </c>
      <c r="O634" s="1" t="s">
        <v>34</v>
      </c>
      <c r="P634" s="2">
        <v>3.4722222222222222E-5</v>
      </c>
      <c r="Q634" s="1" t="str">
        <f>""</f>
        <v/>
      </c>
      <c r="R634" s="1">
        <v>0.12</v>
      </c>
      <c r="S634" s="1" t="str">
        <f>""</f>
        <v/>
      </c>
      <c r="T634" s="1" t="s">
        <v>29</v>
      </c>
      <c r="U634" s="1" t="s">
        <v>30</v>
      </c>
      <c r="V634" s="1">
        <v>0</v>
      </c>
    </row>
    <row r="635" spans="2:22" x14ac:dyDescent="0.15">
      <c r="B635" s="1" t="str">
        <f>"137****9259"</f>
        <v>137****9259</v>
      </c>
      <c r="C635" s="1" t="s">
        <v>568</v>
      </c>
      <c r="D635" s="1" t="str">
        <f>"4000108333"</f>
        <v>4000108333</v>
      </c>
      <c r="E635" s="1" t="s">
        <v>53</v>
      </c>
      <c r="F635" s="1" t="str">
        <f>""</f>
        <v/>
      </c>
      <c r="G635" s="1" t="str">
        <f>""</f>
        <v/>
      </c>
      <c r="H635" s="1" t="str">
        <f>""</f>
        <v/>
      </c>
      <c r="I635" s="1" t="str">
        <f>""</f>
        <v/>
      </c>
      <c r="J635" s="1" t="str">
        <f>""</f>
        <v/>
      </c>
      <c r="K635" s="1" t="str">
        <f>"2017-04-08 16:35:16"</f>
        <v>2017-04-08 16:35:16</v>
      </c>
      <c r="L635" s="1" t="str">
        <f>"-"</f>
        <v>-</v>
      </c>
      <c r="M635" s="2">
        <v>0</v>
      </c>
      <c r="N635" s="1" t="s">
        <v>55</v>
      </c>
      <c r="O635" s="1" t="s">
        <v>34</v>
      </c>
      <c r="P635" s="2">
        <v>2.7777777777777778E-4</v>
      </c>
      <c r="Q635" s="1" t="str">
        <f>""</f>
        <v/>
      </c>
      <c r="R635" s="1">
        <v>0.12</v>
      </c>
      <c r="S635" s="1" t="str">
        <f>""</f>
        <v/>
      </c>
      <c r="T635" s="1" t="s">
        <v>29</v>
      </c>
      <c r="U635" s="1" t="s">
        <v>30</v>
      </c>
      <c r="V635" s="1">
        <v>0</v>
      </c>
    </row>
    <row r="636" spans="2:22" x14ac:dyDescent="0.15">
      <c r="B636" s="1" t="str">
        <f>"186****0604"</f>
        <v>186****0604</v>
      </c>
      <c r="C636" s="1" t="s">
        <v>23</v>
      </c>
      <c r="D636" s="1" t="str">
        <f t="shared" ref="D636:D677" si="69">"89177328"</f>
        <v>89177328</v>
      </c>
      <c r="E636" s="1" t="s">
        <v>24</v>
      </c>
      <c r="F636" s="1" t="str">
        <f t="shared" ref="F636:F677" si="70">"0010"</f>
        <v>0010</v>
      </c>
      <c r="G636" s="1" t="str">
        <f>""</f>
        <v/>
      </c>
      <c r="H636" s="1" t="str">
        <f>"0036"</f>
        <v>0036</v>
      </c>
      <c r="I636" s="1" t="s">
        <v>143</v>
      </c>
      <c r="J636" s="1" t="str">
        <f>"01043977573"</f>
        <v>01043977573</v>
      </c>
      <c r="K636" s="1" t="str">
        <f>"2017-04-08 16:33:58"</f>
        <v>2017-04-08 16:33:58</v>
      </c>
      <c r="L636" s="1" t="str">
        <f>"2017-04-08 16:34:04"</f>
        <v>2017-04-08 16:34:04</v>
      </c>
      <c r="M636" s="2">
        <v>1.1574074074074073E-5</v>
      </c>
      <c r="N636" s="1" t="s">
        <v>26</v>
      </c>
      <c r="O636" s="1" t="s">
        <v>34</v>
      </c>
      <c r="P636" s="2">
        <v>8.1018518518518516E-5</v>
      </c>
      <c r="Q636" s="1" t="str">
        <f>""</f>
        <v/>
      </c>
      <c r="R636" s="1">
        <v>0</v>
      </c>
      <c r="S636" s="1" t="str">
        <f>""</f>
        <v/>
      </c>
      <c r="T636" s="1" t="s">
        <v>29</v>
      </c>
      <c r="U636" s="1" t="s">
        <v>30</v>
      </c>
      <c r="V636" s="1">
        <v>0</v>
      </c>
    </row>
    <row r="637" spans="2:22" x14ac:dyDescent="0.15">
      <c r="B637" s="1" t="str">
        <f>"187****8895"</f>
        <v>187****8895</v>
      </c>
      <c r="C637" s="1" t="s">
        <v>23</v>
      </c>
      <c r="D637" s="1" t="str">
        <f t="shared" si="69"/>
        <v>89177328</v>
      </c>
      <c r="E637" s="1" t="s">
        <v>24</v>
      </c>
      <c r="F637" s="1" t="str">
        <f t="shared" si="70"/>
        <v>0010</v>
      </c>
      <c r="G637" s="1" t="str">
        <f>""</f>
        <v/>
      </c>
      <c r="H637" s="1" t="str">
        <f>"0031"</f>
        <v>0031</v>
      </c>
      <c r="I637" s="1" t="s">
        <v>95</v>
      </c>
      <c r="J637" s="1" t="str">
        <f>"01043977565"</f>
        <v>01043977565</v>
      </c>
      <c r="K637" s="1" t="str">
        <f>"2017-04-08 16:24:35"</f>
        <v>2017-04-08 16:24:35</v>
      </c>
      <c r="L637" s="1" t="str">
        <f>"-"</f>
        <v>-</v>
      </c>
      <c r="M637" s="2">
        <v>0</v>
      </c>
      <c r="N637" s="1" t="s">
        <v>33</v>
      </c>
      <c r="O637" s="1" t="s">
        <v>34</v>
      </c>
      <c r="P637" s="2">
        <v>5.7870370370370366E-5</v>
      </c>
      <c r="Q637" s="1" t="str">
        <f>""</f>
        <v/>
      </c>
      <c r="R637" s="1">
        <v>0</v>
      </c>
      <c r="S637" s="1" t="str">
        <f>""</f>
        <v/>
      </c>
      <c r="T637" s="1" t="s">
        <v>29</v>
      </c>
      <c r="U637" s="1" t="s">
        <v>30</v>
      </c>
      <c r="V637" s="1">
        <v>0</v>
      </c>
    </row>
    <row r="638" spans="2:22" x14ac:dyDescent="0.15">
      <c r="B638" s="1" t="str">
        <f>"156****2934"</f>
        <v>156****2934</v>
      </c>
      <c r="C638" s="1" t="s">
        <v>23</v>
      </c>
      <c r="D638" s="1" t="str">
        <f t="shared" si="69"/>
        <v>89177328</v>
      </c>
      <c r="E638" s="1" t="s">
        <v>24</v>
      </c>
      <c r="F638" s="1" t="str">
        <f t="shared" si="70"/>
        <v>0010</v>
      </c>
      <c r="G638" s="1" t="str">
        <f>""</f>
        <v/>
      </c>
      <c r="H638" s="1" t="str">
        <f>"0033"</f>
        <v>0033</v>
      </c>
      <c r="I638" s="1" t="s">
        <v>106</v>
      </c>
      <c r="J638" s="1" t="str">
        <f>"01043977568"</f>
        <v>01043977568</v>
      </c>
      <c r="K638" s="1" t="str">
        <f>"2017-04-08 16:21:53"</f>
        <v>2017-04-08 16:21:53</v>
      </c>
      <c r="L638" s="1" t="str">
        <f>"2017-04-08 16:22:05"</f>
        <v>2017-04-08 16:22:05</v>
      </c>
      <c r="M638" s="2">
        <v>3.6805555555555554E-3</v>
      </c>
      <c r="N638" s="1" t="s">
        <v>26</v>
      </c>
      <c r="O638" s="1" t="s">
        <v>27</v>
      </c>
      <c r="P638" s="2">
        <v>3.8194444444444443E-3</v>
      </c>
      <c r="Q638" s="1" t="s">
        <v>569</v>
      </c>
      <c r="R638" s="1">
        <v>0</v>
      </c>
      <c r="S638" s="1" t="str">
        <f>""</f>
        <v/>
      </c>
      <c r="T638" s="1" t="s">
        <v>29</v>
      </c>
      <c r="U638" s="1" t="s">
        <v>30</v>
      </c>
      <c r="V638" s="1">
        <v>0</v>
      </c>
    </row>
    <row r="639" spans="2:22" x14ac:dyDescent="0.15">
      <c r="B639" s="1" t="str">
        <f>"187****8895"</f>
        <v>187****8895</v>
      </c>
      <c r="C639" s="1" t="s">
        <v>23</v>
      </c>
      <c r="D639" s="1" t="str">
        <f t="shared" si="69"/>
        <v>89177328</v>
      </c>
      <c r="E639" s="1" t="s">
        <v>24</v>
      </c>
      <c r="F639" s="1" t="str">
        <f t="shared" si="70"/>
        <v>0010</v>
      </c>
      <c r="G639" s="1" t="str">
        <f>""</f>
        <v/>
      </c>
      <c r="H639" s="1" t="str">
        <f>"0033"</f>
        <v>0033</v>
      </c>
      <c r="I639" s="1" t="s">
        <v>106</v>
      </c>
      <c r="J639" s="1" t="str">
        <f>"01043977568"</f>
        <v>01043977568</v>
      </c>
      <c r="K639" s="1" t="str">
        <f>"2017-04-08 16:21:24"</f>
        <v>2017-04-08 16:21:24</v>
      </c>
      <c r="L639" s="1" t="str">
        <f>"-"</f>
        <v>-</v>
      </c>
      <c r="M639" s="2">
        <v>0</v>
      </c>
      <c r="N639" s="1" t="s">
        <v>33</v>
      </c>
      <c r="O639" s="1" t="s">
        <v>34</v>
      </c>
      <c r="P639" s="2">
        <v>3.4722222222222222E-5</v>
      </c>
      <c r="Q639" s="1" t="str">
        <f>""</f>
        <v/>
      </c>
      <c r="R639" s="1">
        <v>0</v>
      </c>
      <c r="S639" s="1" t="str">
        <f>""</f>
        <v/>
      </c>
      <c r="T639" s="1" t="s">
        <v>29</v>
      </c>
      <c r="U639" s="1" t="s">
        <v>30</v>
      </c>
      <c r="V639" s="1">
        <v>0</v>
      </c>
    </row>
    <row r="640" spans="2:22" x14ac:dyDescent="0.15">
      <c r="B640" s="1" t="str">
        <f>"04750475"</f>
        <v>04750475</v>
      </c>
      <c r="C640" s="1" t="s">
        <v>226</v>
      </c>
      <c r="D640" s="1" t="str">
        <f t="shared" si="69"/>
        <v>89177328</v>
      </c>
      <c r="E640" s="1" t="s">
        <v>24</v>
      </c>
      <c r="F640" s="1" t="str">
        <f t="shared" si="70"/>
        <v>0010</v>
      </c>
      <c r="G640" s="1" t="str">
        <f>""</f>
        <v/>
      </c>
      <c r="H640" s="1" t="str">
        <f>"0036"</f>
        <v>0036</v>
      </c>
      <c r="I640" s="1" t="s">
        <v>143</v>
      </c>
      <c r="J640" s="1" t="str">
        <f>"01043977573"</f>
        <v>01043977573</v>
      </c>
      <c r="K640" s="1" t="str">
        <f>"2017-04-08 16:12:39"</f>
        <v>2017-04-08 16:12:39</v>
      </c>
      <c r="L640" s="1" t="str">
        <f>"2017-04-08 16:12:50"</f>
        <v>2017-04-08 16:12:50</v>
      </c>
      <c r="M640" s="2">
        <v>1.2280092592592592E-2</v>
      </c>
      <c r="N640" s="1" t="s">
        <v>26</v>
      </c>
      <c r="O640" s="1" t="s">
        <v>27</v>
      </c>
      <c r="P640" s="2">
        <v>1.2407407407407409E-2</v>
      </c>
      <c r="Q640" s="1" t="s">
        <v>570</v>
      </c>
      <c r="R640" s="1">
        <v>0</v>
      </c>
      <c r="S640" s="1" t="str">
        <f>""</f>
        <v/>
      </c>
      <c r="T640" s="1" t="s">
        <v>29</v>
      </c>
      <c r="U640" s="1" t="s">
        <v>30</v>
      </c>
      <c r="V640" s="1">
        <v>0</v>
      </c>
    </row>
    <row r="641" spans="2:22" x14ac:dyDescent="0.15">
      <c r="B641" s="1" t="str">
        <f>"137****3680"</f>
        <v>137****3680</v>
      </c>
      <c r="C641" s="1" t="s">
        <v>188</v>
      </c>
      <c r="D641" s="1" t="str">
        <f t="shared" si="69"/>
        <v>89177328</v>
      </c>
      <c r="E641" s="1" t="s">
        <v>24</v>
      </c>
      <c r="F641" s="1" t="str">
        <f t="shared" si="70"/>
        <v>0010</v>
      </c>
      <c r="G641" s="1" t="str">
        <f>""</f>
        <v/>
      </c>
      <c r="H641" s="1" t="str">
        <f>"0036"</f>
        <v>0036</v>
      </c>
      <c r="I641" s="1" t="s">
        <v>143</v>
      </c>
      <c r="J641" s="1" t="str">
        <f>"01043977573"</f>
        <v>01043977573</v>
      </c>
      <c r="K641" s="1" t="str">
        <f>"2017-04-08 16:01:27"</f>
        <v>2017-04-08 16:01:27</v>
      </c>
      <c r="L641" s="1" t="str">
        <f>"2017-04-08 16:01:35"</f>
        <v>2017-04-08 16:01:35</v>
      </c>
      <c r="M641" s="2">
        <v>1.1574074074074073E-5</v>
      </c>
      <c r="N641" s="1" t="s">
        <v>26</v>
      </c>
      <c r="O641" s="1" t="s">
        <v>34</v>
      </c>
      <c r="P641" s="2">
        <v>1.0416666666666667E-4</v>
      </c>
      <c r="Q641" s="1" t="str">
        <f>""</f>
        <v/>
      </c>
      <c r="R641" s="1">
        <v>0</v>
      </c>
      <c r="S641" s="1" t="str">
        <f>""</f>
        <v/>
      </c>
      <c r="T641" s="1" t="s">
        <v>29</v>
      </c>
      <c r="U641" s="1" t="s">
        <v>30</v>
      </c>
      <c r="V641" s="1">
        <v>0</v>
      </c>
    </row>
    <row r="642" spans="2:22" x14ac:dyDescent="0.15">
      <c r="B642" s="1" t="str">
        <f>"185****3105"</f>
        <v>185****3105</v>
      </c>
      <c r="C642" s="1" t="s">
        <v>23</v>
      </c>
      <c r="D642" s="1" t="str">
        <f t="shared" si="69"/>
        <v>89177328</v>
      </c>
      <c r="E642" s="1" t="s">
        <v>24</v>
      </c>
      <c r="F642" s="1" t="str">
        <f t="shared" si="70"/>
        <v>0010</v>
      </c>
      <c r="G642" s="1" t="str">
        <f>""</f>
        <v/>
      </c>
      <c r="H642" s="1" t="str">
        <f>"0033"</f>
        <v>0033</v>
      </c>
      <c r="I642" s="1" t="s">
        <v>106</v>
      </c>
      <c r="J642" s="1" t="str">
        <f>"01043977568"</f>
        <v>01043977568</v>
      </c>
      <c r="K642" s="1" t="str">
        <f>"2017-04-08 15:25:54"</f>
        <v>2017-04-08 15:25:54</v>
      </c>
      <c r="L642" s="1" t="str">
        <f>"2017-04-08 15:26:07"</f>
        <v>2017-04-08 15:26:07</v>
      </c>
      <c r="M642" s="2">
        <v>2.4768518518518516E-3</v>
      </c>
      <c r="N642" s="1" t="s">
        <v>26</v>
      </c>
      <c r="O642" s="1" t="s">
        <v>27</v>
      </c>
      <c r="P642" s="2">
        <v>2.627314814814815E-3</v>
      </c>
      <c r="Q642" s="1" t="s">
        <v>571</v>
      </c>
      <c r="R642" s="1">
        <v>0</v>
      </c>
      <c r="S642" s="1" t="str">
        <f>""</f>
        <v/>
      </c>
      <c r="T642" s="1" t="s">
        <v>29</v>
      </c>
      <c r="U642" s="1" t="s">
        <v>30</v>
      </c>
      <c r="V642" s="1">
        <v>0</v>
      </c>
    </row>
    <row r="643" spans="2:22" x14ac:dyDescent="0.15">
      <c r="B643" s="1" t="str">
        <f>"0312134****8844"</f>
        <v>0312134****8844</v>
      </c>
      <c r="C643" s="1" t="s">
        <v>99</v>
      </c>
      <c r="D643" s="1" t="str">
        <f t="shared" si="69"/>
        <v>89177328</v>
      </c>
      <c r="E643" s="1" t="s">
        <v>24</v>
      </c>
      <c r="F643" s="1" t="str">
        <f t="shared" si="70"/>
        <v>0010</v>
      </c>
      <c r="G643" s="1" t="str">
        <f>""</f>
        <v/>
      </c>
      <c r="H643" s="1" t="str">
        <f>"0033"</f>
        <v>0033</v>
      </c>
      <c r="I643" s="1" t="s">
        <v>106</v>
      </c>
      <c r="J643" s="1" t="str">
        <f>"01043977568"</f>
        <v>01043977568</v>
      </c>
      <c r="K643" s="1" t="str">
        <f>"2017-04-08 14:52:44"</f>
        <v>2017-04-08 14:52:44</v>
      </c>
      <c r="L643" s="1" t="str">
        <f>"2017-04-08 14:52:52"</f>
        <v>2017-04-08 14:52:52</v>
      </c>
      <c r="M643" s="2">
        <v>7.858796296296296E-3</v>
      </c>
      <c r="N643" s="1" t="s">
        <v>26</v>
      </c>
      <c r="O643" s="1" t="s">
        <v>27</v>
      </c>
      <c r="P643" s="2">
        <v>7.951388888888888E-3</v>
      </c>
      <c r="Q643" s="1" t="s">
        <v>572</v>
      </c>
      <c r="R643" s="1">
        <v>0</v>
      </c>
      <c r="S643" s="1" t="str">
        <f>""</f>
        <v/>
      </c>
      <c r="T643" s="1" t="s">
        <v>29</v>
      </c>
      <c r="U643" s="1" t="s">
        <v>30</v>
      </c>
      <c r="V643" s="1">
        <v>0</v>
      </c>
    </row>
    <row r="644" spans="2:22" x14ac:dyDescent="0.15">
      <c r="B644" s="1" t="str">
        <f>"131****5802"</f>
        <v>131****5802</v>
      </c>
      <c r="C644" s="1" t="s">
        <v>23</v>
      </c>
      <c r="D644" s="1" t="str">
        <f t="shared" si="69"/>
        <v>89177328</v>
      </c>
      <c r="E644" s="1" t="s">
        <v>24</v>
      </c>
      <c r="F644" s="1" t="str">
        <f t="shared" si="70"/>
        <v>0010</v>
      </c>
      <c r="G644" s="1" t="str">
        <f>""</f>
        <v/>
      </c>
      <c r="H644" s="1" t="str">
        <f>"0033"</f>
        <v>0033</v>
      </c>
      <c r="I644" s="1" t="s">
        <v>106</v>
      </c>
      <c r="J644" s="1" t="str">
        <f>"01043977568"</f>
        <v>01043977568</v>
      </c>
      <c r="K644" s="1" t="str">
        <f>"2017-04-08 14:44:58"</f>
        <v>2017-04-08 14:44:58</v>
      </c>
      <c r="L644" s="1" t="str">
        <f>"-"</f>
        <v>-</v>
      </c>
      <c r="M644" s="2">
        <v>0</v>
      </c>
      <c r="N644" s="1" t="s">
        <v>33</v>
      </c>
      <c r="O644" s="1" t="s">
        <v>34</v>
      </c>
      <c r="P644" s="2">
        <v>2.3148148148148147E-5</v>
      </c>
      <c r="Q644" s="1" t="str">
        <f>""</f>
        <v/>
      </c>
      <c r="R644" s="1">
        <v>0</v>
      </c>
      <c r="S644" s="1" t="str">
        <f>""</f>
        <v/>
      </c>
      <c r="T644" s="1" t="s">
        <v>29</v>
      </c>
      <c r="U644" s="1" t="s">
        <v>30</v>
      </c>
      <c r="V644" s="1">
        <v>0</v>
      </c>
    </row>
    <row r="645" spans="2:22" x14ac:dyDescent="0.15">
      <c r="B645" s="1" t="str">
        <f>"136****2387"</f>
        <v>136****2387</v>
      </c>
      <c r="C645" s="1" t="s">
        <v>23</v>
      </c>
      <c r="D645" s="1" t="str">
        <f t="shared" si="69"/>
        <v>89177328</v>
      </c>
      <c r="E645" s="1" t="s">
        <v>24</v>
      </c>
      <c r="F645" s="1" t="str">
        <f t="shared" si="70"/>
        <v>0010</v>
      </c>
      <c r="G645" s="1" t="str">
        <f>""</f>
        <v/>
      </c>
      <c r="H645" s="1" t="str">
        <f>"0032"</f>
        <v>0032</v>
      </c>
      <c r="I645" s="1" t="s">
        <v>119</v>
      </c>
      <c r="J645" s="1" t="str">
        <f>"01043977566"</f>
        <v>01043977566</v>
      </c>
      <c r="K645" s="1" t="str">
        <f>"2017-04-08 14:29:15"</f>
        <v>2017-04-08 14:29:15</v>
      </c>
      <c r="L645" s="1" t="str">
        <f>"2017-04-08 14:29:28"</f>
        <v>2017-04-08 14:29:28</v>
      </c>
      <c r="M645" s="2">
        <v>4.31712962962963E-3</v>
      </c>
      <c r="N645" s="1" t="s">
        <v>26</v>
      </c>
      <c r="O645" s="1" t="s">
        <v>34</v>
      </c>
      <c r="P645" s="2">
        <v>4.4675925925925933E-3</v>
      </c>
      <c r="Q645" s="1" t="s">
        <v>573</v>
      </c>
      <c r="R645" s="1">
        <v>0</v>
      </c>
      <c r="S645" s="1" t="str">
        <f>""</f>
        <v/>
      </c>
      <c r="T645" s="1" t="s">
        <v>29</v>
      </c>
      <c r="U645" s="1" t="s">
        <v>30</v>
      </c>
      <c r="V645" s="1">
        <v>0</v>
      </c>
    </row>
    <row r="646" spans="2:22" x14ac:dyDescent="0.15">
      <c r="B646" s="1" t="str">
        <f>"156****4405"</f>
        <v>156****4405</v>
      </c>
      <c r="C646" s="1" t="s">
        <v>23</v>
      </c>
      <c r="D646" s="1" t="str">
        <f t="shared" si="69"/>
        <v>89177328</v>
      </c>
      <c r="E646" s="1" t="s">
        <v>24</v>
      </c>
      <c r="F646" s="1" t="str">
        <f t="shared" si="70"/>
        <v>0010</v>
      </c>
      <c r="G646" s="1" t="str">
        <f>""</f>
        <v/>
      </c>
      <c r="H646" s="1" t="str">
        <f>"0032"</f>
        <v>0032</v>
      </c>
      <c r="I646" s="1" t="s">
        <v>119</v>
      </c>
      <c r="J646" s="1" t="str">
        <f>"01043977566"</f>
        <v>01043977566</v>
      </c>
      <c r="K646" s="1" t="str">
        <f>"2017-04-08 14:05:39"</f>
        <v>2017-04-08 14:05:39</v>
      </c>
      <c r="L646" s="1" t="str">
        <f>"2017-04-08 14:05:49"</f>
        <v>2017-04-08 14:05:49</v>
      </c>
      <c r="M646" s="2">
        <v>5.8333333333333336E-3</v>
      </c>
      <c r="N646" s="1" t="s">
        <v>26</v>
      </c>
      <c r="O646" s="1" t="s">
        <v>27</v>
      </c>
      <c r="P646" s="2">
        <v>5.9490740740740745E-3</v>
      </c>
      <c r="Q646" s="1" t="s">
        <v>574</v>
      </c>
      <c r="R646" s="1">
        <v>0</v>
      </c>
      <c r="S646" s="1" t="str">
        <f>""</f>
        <v/>
      </c>
      <c r="T646" s="1" t="s">
        <v>575</v>
      </c>
      <c r="U646" s="1" t="s">
        <v>30</v>
      </c>
      <c r="V646" s="1">
        <v>0</v>
      </c>
    </row>
    <row r="647" spans="2:22" x14ac:dyDescent="0.15">
      <c r="B647" s="1" t="str">
        <f>"133****2600"</f>
        <v>133****2600</v>
      </c>
      <c r="C647" s="1" t="s">
        <v>23</v>
      </c>
      <c r="D647" s="1" t="str">
        <f t="shared" si="69"/>
        <v>89177328</v>
      </c>
      <c r="E647" s="1" t="s">
        <v>24</v>
      </c>
      <c r="F647" s="1" t="str">
        <f t="shared" si="70"/>
        <v>0010</v>
      </c>
      <c r="G647" s="1" t="str">
        <f>""</f>
        <v/>
      </c>
      <c r="H647" s="1" t="str">
        <f t="shared" ref="H647:H656" si="71">"0036"</f>
        <v>0036</v>
      </c>
      <c r="I647" s="1" t="s">
        <v>143</v>
      </c>
      <c r="J647" s="1" t="str">
        <f t="shared" ref="J647:J656" si="72">"01043977573"</f>
        <v>01043977573</v>
      </c>
      <c r="K647" s="1" t="str">
        <f>"2017-04-08 14:00:11"</f>
        <v>2017-04-08 14:00:11</v>
      </c>
      <c r="L647" s="1" t="str">
        <f>"2017-04-08 14:00:20"</f>
        <v>2017-04-08 14:00:20</v>
      </c>
      <c r="M647" s="2">
        <v>1.6597222222222222E-2</v>
      </c>
      <c r="N647" s="1" t="s">
        <v>26</v>
      </c>
      <c r="O647" s="1" t="s">
        <v>34</v>
      </c>
      <c r="P647" s="2">
        <v>1.6701388888888887E-2</v>
      </c>
      <c r="Q647" s="1" t="s">
        <v>576</v>
      </c>
      <c r="R647" s="1">
        <v>0</v>
      </c>
      <c r="S647" s="1" t="str">
        <f>""</f>
        <v/>
      </c>
      <c r="T647" s="1" t="s">
        <v>29</v>
      </c>
      <c r="U647" s="1" t="s">
        <v>30</v>
      </c>
      <c r="V647" s="1">
        <v>0</v>
      </c>
    </row>
    <row r="648" spans="2:22" x14ac:dyDescent="0.15">
      <c r="B648" s="1" t="str">
        <f>"185****0807"</f>
        <v>185****0807</v>
      </c>
      <c r="C648" s="1" t="s">
        <v>23</v>
      </c>
      <c r="D648" s="1" t="str">
        <f t="shared" si="69"/>
        <v>89177328</v>
      </c>
      <c r="E648" s="1" t="s">
        <v>24</v>
      </c>
      <c r="F648" s="1" t="str">
        <f t="shared" si="70"/>
        <v>0010</v>
      </c>
      <c r="G648" s="1" t="str">
        <f>""</f>
        <v/>
      </c>
      <c r="H648" s="1" t="str">
        <f t="shared" si="71"/>
        <v>0036</v>
      </c>
      <c r="I648" s="1" t="s">
        <v>143</v>
      </c>
      <c r="J648" s="1" t="str">
        <f t="shared" si="72"/>
        <v>01043977573</v>
      </c>
      <c r="K648" s="1" t="str">
        <f>"2017-04-08 14:00:01"</f>
        <v>2017-04-08 14:00:01</v>
      </c>
      <c r="L648" s="1" t="str">
        <f>"-"</f>
        <v>-</v>
      </c>
      <c r="M648" s="2">
        <v>0</v>
      </c>
      <c r="N648" s="1" t="s">
        <v>33</v>
      </c>
      <c r="O648" s="1" t="s">
        <v>34</v>
      </c>
      <c r="P648" s="2">
        <v>4.6296296296296294E-5</v>
      </c>
      <c r="Q648" s="1" t="str">
        <f>""</f>
        <v/>
      </c>
      <c r="R648" s="1">
        <v>0</v>
      </c>
      <c r="S648" s="1" t="str">
        <f>""</f>
        <v/>
      </c>
      <c r="T648" s="1" t="s">
        <v>29</v>
      </c>
      <c r="U648" s="1" t="s">
        <v>30</v>
      </c>
      <c r="V648" s="1">
        <v>0</v>
      </c>
    </row>
    <row r="649" spans="2:22" x14ac:dyDescent="0.15">
      <c r="B649" s="1" t="str">
        <f>"156****4405"</f>
        <v>156****4405</v>
      </c>
      <c r="C649" s="1" t="s">
        <v>23</v>
      </c>
      <c r="D649" s="1" t="str">
        <f t="shared" si="69"/>
        <v>89177328</v>
      </c>
      <c r="E649" s="1" t="s">
        <v>24</v>
      </c>
      <c r="F649" s="1" t="str">
        <f t="shared" si="70"/>
        <v>0010</v>
      </c>
      <c r="G649" s="1" t="str">
        <f>""</f>
        <v/>
      </c>
      <c r="H649" s="1" t="str">
        <f t="shared" si="71"/>
        <v>0036</v>
      </c>
      <c r="I649" s="1" t="s">
        <v>143</v>
      </c>
      <c r="J649" s="1" t="str">
        <f t="shared" si="72"/>
        <v>01043977573</v>
      </c>
      <c r="K649" s="1" t="str">
        <f>"2017-04-08 13:58:35"</f>
        <v>2017-04-08 13:58:35</v>
      </c>
      <c r="L649" s="1" t="str">
        <f>"2017-04-08 13:58:47"</f>
        <v>2017-04-08 13:58:47</v>
      </c>
      <c r="M649" s="2">
        <v>5.5555555555555556E-4</v>
      </c>
      <c r="N649" s="1" t="s">
        <v>26</v>
      </c>
      <c r="O649" s="1" t="s">
        <v>27</v>
      </c>
      <c r="P649" s="2">
        <v>6.9444444444444447E-4</v>
      </c>
      <c r="Q649" s="1" t="s">
        <v>577</v>
      </c>
      <c r="R649" s="1">
        <v>0</v>
      </c>
      <c r="S649" s="1" t="str">
        <f>""</f>
        <v/>
      </c>
      <c r="T649" s="1" t="s">
        <v>29</v>
      </c>
      <c r="U649" s="1" t="s">
        <v>30</v>
      </c>
      <c r="V649" s="1">
        <v>0</v>
      </c>
    </row>
    <row r="650" spans="2:22" x14ac:dyDescent="0.15">
      <c r="B650" s="1" t="str">
        <f>"139****5720"</f>
        <v>139****5720</v>
      </c>
      <c r="C650" s="1" t="s">
        <v>23</v>
      </c>
      <c r="D650" s="1" t="str">
        <f t="shared" si="69"/>
        <v>89177328</v>
      </c>
      <c r="E650" s="1" t="s">
        <v>24</v>
      </c>
      <c r="F650" s="1" t="str">
        <f t="shared" si="70"/>
        <v>0010</v>
      </c>
      <c r="G650" s="1" t="str">
        <f>""</f>
        <v/>
      </c>
      <c r="H650" s="1" t="str">
        <f t="shared" si="71"/>
        <v>0036</v>
      </c>
      <c r="I650" s="1" t="s">
        <v>143</v>
      </c>
      <c r="J650" s="1" t="str">
        <f t="shared" si="72"/>
        <v>01043977573</v>
      </c>
      <c r="K650" s="1" t="str">
        <f>"2017-04-08 13:53:11"</f>
        <v>2017-04-08 13:53:11</v>
      </c>
      <c r="L650" s="1" t="str">
        <f t="shared" ref="L650:L660" si="73">"-"</f>
        <v>-</v>
      </c>
      <c r="M650" s="2">
        <v>0</v>
      </c>
      <c r="N650" s="1" t="s">
        <v>33</v>
      </c>
      <c r="O650" s="1" t="s">
        <v>34</v>
      </c>
      <c r="P650" s="2">
        <v>2.3148148148148147E-5</v>
      </c>
      <c r="Q650" s="1" t="str">
        <f>""</f>
        <v/>
      </c>
      <c r="R650" s="1">
        <v>0</v>
      </c>
      <c r="S650" s="1" t="str">
        <f>""</f>
        <v/>
      </c>
      <c r="T650" s="1" t="s">
        <v>29</v>
      </c>
      <c r="U650" s="1" t="s">
        <v>30</v>
      </c>
      <c r="V650" s="1">
        <v>0</v>
      </c>
    </row>
    <row r="651" spans="2:22" x14ac:dyDescent="0.15">
      <c r="B651" s="1" t="str">
        <f>"139****5720"</f>
        <v>139****5720</v>
      </c>
      <c r="C651" s="1" t="s">
        <v>23</v>
      </c>
      <c r="D651" s="1" t="str">
        <f t="shared" si="69"/>
        <v>89177328</v>
      </c>
      <c r="E651" s="1" t="s">
        <v>24</v>
      </c>
      <c r="F651" s="1" t="str">
        <f t="shared" si="70"/>
        <v>0010</v>
      </c>
      <c r="G651" s="1" t="str">
        <f>""</f>
        <v/>
      </c>
      <c r="H651" s="1" t="str">
        <f t="shared" si="71"/>
        <v>0036</v>
      </c>
      <c r="I651" s="1" t="s">
        <v>143</v>
      </c>
      <c r="J651" s="1" t="str">
        <f t="shared" si="72"/>
        <v>01043977573</v>
      </c>
      <c r="K651" s="1" t="str">
        <f>"2017-04-08 13:51:29"</f>
        <v>2017-04-08 13:51:29</v>
      </c>
      <c r="L651" s="1" t="str">
        <f t="shared" si="73"/>
        <v>-</v>
      </c>
      <c r="M651" s="2">
        <v>0</v>
      </c>
      <c r="N651" s="1" t="s">
        <v>33</v>
      </c>
      <c r="O651" s="1" t="s">
        <v>34</v>
      </c>
      <c r="P651" s="2">
        <v>2.3148148148148147E-5</v>
      </c>
      <c r="Q651" s="1" t="str">
        <f>""</f>
        <v/>
      </c>
      <c r="R651" s="1">
        <v>0</v>
      </c>
      <c r="S651" s="1" t="str">
        <f>""</f>
        <v/>
      </c>
      <c r="T651" s="1" t="s">
        <v>29</v>
      </c>
      <c r="U651" s="1" t="s">
        <v>30</v>
      </c>
      <c r="V651" s="1">
        <v>0</v>
      </c>
    </row>
    <row r="652" spans="2:22" x14ac:dyDescent="0.15">
      <c r="B652" s="1" t="str">
        <f>"139****5720"</f>
        <v>139****5720</v>
      </c>
      <c r="C652" s="1" t="s">
        <v>23</v>
      </c>
      <c r="D652" s="1" t="str">
        <f t="shared" si="69"/>
        <v>89177328</v>
      </c>
      <c r="E652" s="1" t="s">
        <v>24</v>
      </c>
      <c r="F652" s="1" t="str">
        <f t="shared" si="70"/>
        <v>0010</v>
      </c>
      <c r="G652" s="1" t="str">
        <f>""</f>
        <v/>
      </c>
      <c r="H652" s="1" t="str">
        <f t="shared" si="71"/>
        <v>0036</v>
      </c>
      <c r="I652" s="1" t="s">
        <v>143</v>
      </c>
      <c r="J652" s="1" t="str">
        <f t="shared" si="72"/>
        <v>01043977573</v>
      </c>
      <c r="K652" s="1" t="str">
        <f>"2017-04-08 13:50:10"</f>
        <v>2017-04-08 13:50:10</v>
      </c>
      <c r="L652" s="1" t="str">
        <f t="shared" si="73"/>
        <v>-</v>
      </c>
      <c r="M652" s="2">
        <v>0</v>
      </c>
      <c r="N652" s="1" t="s">
        <v>33</v>
      </c>
      <c r="O652" s="1" t="s">
        <v>34</v>
      </c>
      <c r="P652" s="2">
        <v>2.3148148148148147E-5</v>
      </c>
      <c r="Q652" s="1" t="str">
        <f>""</f>
        <v/>
      </c>
      <c r="R652" s="1">
        <v>0</v>
      </c>
      <c r="S652" s="1" t="str">
        <f>""</f>
        <v/>
      </c>
      <c r="T652" s="1" t="s">
        <v>29</v>
      </c>
      <c r="U652" s="1" t="s">
        <v>30</v>
      </c>
      <c r="V652" s="1">
        <v>0</v>
      </c>
    </row>
    <row r="653" spans="2:22" x14ac:dyDescent="0.15">
      <c r="B653" s="1" t="str">
        <f>"133****9597"</f>
        <v>133****9597</v>
      </c>
      <c r="C653" s="1" t="s">
        <v>23</v>
      </c>
      <c r="D653" s="1" t="str">
        <f t="shared" si="69"/>
        <v>89177328</v>
      </c>
      <c r="E653" s="1" t="s">
        <v>24</v>
      </c>
      <c r="F653" s="1" t="str">
        <f t="shared" si="70"/>
        <v>0010</v>
      </c>
      <c r="G653" s="1" t="str">
        <f>""</f>
        <v/>
      </c>
      <c r="H653" s="1" t="str">
        <f t="shared" si="71"/>
        <v>0036</v>
      </c>
      <c r="I653" s="1" t="s">
        <v>143</v>
      </c>
      <c r="J653" s="1" t="str">
        <f t="shared" si="72"/>
        <v>01043977573</v>
      </c>
      <c r="K653" s="1" t="str">
        <f>"2017-04-08 13:45:48"</f>
        <v>2017-04-08 13:45:48</v>
      </c>
      <c r="L653" s="1" t="str">
        <f t="shared" si="73"/>
        <v>-</v>
      </c>
      <c r="M653" s="2">
        <v>0</v>
      </c>
      <c r="N653" s="1" t="s">
        <v>33</v>
      </c>
      <c r="O653" s="1" t="s">
        <v>34</v>
      </c>
      <c r="P653" s="2">
        <v>6.9444444444444444E-5</v>
      </c>
      <c r="Q653" s="1" t="str">
        <f>""</f>
        <v/>
      </c>
      <c r="R653" s="1">
        <v>0</v>
      </c>
      <c r="S653" s="1" t="str">
        <f>""</f>
        <v/>
      </c>
      <c r="T653" s="1" t="s">
        <v>29</v>
      </c>
      <c r="U653" s="1" t="s">
        <v>30</v>
      </c>
      <c r="V653" s="1">
        <v>0</v>
      </c>
    </row>
    <row r="654" spans="2:22" x14ac:dyDescent="0.15">
      <c r="B654" s="1" t="str">
        <f>"157****4678"</f>
        <v>157****4678</v>
      </c>
      <c r="C654" s="1" t="s">
        <v>23</v>
      </c>
      <c r="D654" s="1" t="str">
        <f t="shared" si="69"/>
        <v>89177328</v>
      </c>
      <c r="E654" s="1" t="s">
        <v>24</v>
      </c>
      <c r="F654" s="1" t="str">
        <f t="shared" si="70"/>
        <v>0010</v>
      </c>
      <c r="G654" s="1" t="str">
        <f>""</f>
        <v/>
      </c>
      <c r="H654" s="1" t="str">
        <f t="shared" si="71"/>
        <v>0036</v>
      </c>
      <c r="I654" s="1" t="s">
        <v>143</v>
      </c>
      <c r="J654" s="1" t="str">
        <f t="shared" si="72"/>
        <v>01043977573</v>
      </c>
      <c r="K654" s="1" t="str">
        <f>"2017-04-08 13:44:48"</f>
        <v>2017-04-08 13:44:48</v>
      </c>
      <c r="L654" s="1" t="str">
        <f t="shared" si="73"/>
        <v>-</v>
      </c>
      <c r="M654" s="2">
        <v>0</v>
      </c>
      <c r="N654" s="1" t="s">
        <v>33</v>
      </c>
      <c r="O654" s="1" t="s">
        <v>34</v>
      </c>
      <c r="P654" s="2">
        <v>4.6296296296296294E-5</v>
      </c>
      <c r="Q654" s="1" t="str">
        <f>""</f>
        <v/>
      </c>
      <c r="R654" s="1">
        <v>0</v>
      </c>
      <c r="S654" s="1" t="str">
        <f>""</f>
        <v/>
      </c>
      <c r="T654" s="1" t="s">
        <v>29</v>
      </c>
      <c r="U654" s="1" t="s">
        <v>30</v>
      </c>
      <c r="V654" s="1">
        <v>0</v>
      </c>
    </row>
    <row r="655" spans="2:22" x14ac:dyDescent="0.15">
      <c r="B655" s="1" t="str">
        <f>"133****9597"</f>
        <v>133****9597</v>
      </c>
      <c r="C655" s="1" t="s">
        <v>23</v>
      </c>
      <c r="D655" s="1" t="str">
        <f t="shared" si="69"/>
        <v>89177328</v>
      </c>
      <c r="E655" s="1" t="s">
        <v>24</v>
      </c>
      <c r="F655" s="1" t="str">
        <f t="shared" si="70"/>
        <v>0010</v>
      </c>
      <c r="G655" s="1" t="str">
        <f>""</f>
        <v/>
      </c>
      <c r="H655" s="1" t="str">
        <f t="shared" si="71"/>
        <v>0036</v>
      </c>
      <c r="I655" s="1" t="s">
        <v>143</v>
      </c>
      <c r="J655" s="1" t="str">
        <f t="shared" si="72"/>
        <v>01043977573</v>
      </c>
      <c r="K655" s="1" t="str">
        <f>"2017-04-08 13:43:34"</f>
        <v>2017-04-08 13:43:34</v>
      </c>
      <c r="L655" s="1" t="str">
        <f t="shared" si="73"/>
        <v>-</v>
      </c>
      <c r="M655" s="2">
        <v>0</v>
      </c>
      <c r="N655" s="1" t="s">
        <v>33</v>
      </c>
      <c r="O655" s="1" t="s">
        <v>34</v>
      </c>
      <c r="P655" s="2">
        <v>4.6296296296296294E-5</v>
      </c>
      <c r="Q655" s="1" t="str">
        <f>""</f>
        <v/>
      </c>
      <c r="R655" s="1">
        <v>0</v>
      </c>
      <c r="S655" s="1" t="str">
        <f>""</f>
        <v/>
      </c>
      <c r="T655" s="1" t="s">
        <v>29</v>
      </c>
      <c r="U655" s="1" t="s">
        <v>30</v>
      </c>
      <c r="V655" s="1">
        <v>0</v>
      </c>
    </row>
    <row r="656" spans="2:22" x14ac:dyDescent="0.15">
      <c r="B656" s="1" t="str">
        <f>"157****4678"</f>
        <v>157****4678</v>
      </c>
      <c r="C656" s="1" t="s">
        <v>23</v>
      </c>
      <c r="D656" s="1" t="str">
        <f t="shared" si="69"/>
        <v>89177328</v>
      </c>
      <c r="E656" s="1" t="s">
        <v>24</v>
      </c>
      <c r="F656" s="1" t="str">
        <f t="shared" si="70"/>
        <v>0010</v>
      </c>
      <c r="G656" s="1" t="str">
        <f>""</f>
        <v/>
      </c>
      <c r="H656" s="1" t="str">
        <f t="shared" si="71"/>
        <v>0036</v>
      </c>
      <c r="I656" s="1" t="s">
        <v>143</v>
      </c>
      <c r="J656" s="1" t="str">
        <f t="shared" si="72"/>
        <v>01043977573</v>
      </c>
      <c r="K656" s="1" t="str">
        <f>"2017-04-08 13:41:29"</f>
        <v>2017-04-08 13:41:29</v>
      </c>
      <c r="L656" s="1" t="str">
        <f t="shared" si="73"/>
        <v>-</v>
      </c>
      <c r="M656" s="2">
        <v>0</v>
      </c>
      <c r="N656" s="1" t="s">
        <v>33</v>
      </c>
      <c r="O656" s="1" t="s">
        <v>34</v>
      </c>
      <c r="P656" s="2">
        <v>5.7870370370370366E-5</v>
      </c>
      <c r="Q656" s="1" t="str">
        <f>""</f>
        <v/>
      </c>
      <c r="R656" s="1">
        <v>0</v>
      </c>
      <c r="S656" s="1" t="str">
        <f>""</f>
        <v/>
      </c>
      <c r="T656" s="1" t="s">
        <v>29</v>
      </c>
      <c r="U656" s="1" t="s">
        <v>30</v>
      </c>
      <c r="V656" s="1">
        <v>0</v>
      </c>
    </row>
    <row r="657" spans="2:22" x14ac:dyDescent="0.15">
      <c r="B657" s="1" t="str">
        <f>"157****4678"</f>
        <v>157****4678</v>
      </c>
      <c r="C657" s="1" t="s">
        <v>23</v>
      </c>
      <c r="D657" s="1" t="str">
        <f t="shared" si="69"/>
        <v>89177328</v>
      </c>
      <c r="E657" s="1" t="s">
        <v>24</v>
      </c>
      <c r="F657" s="1" t="str">
        <f t="shared" si="70"/>
        <v>0010</v>
      </c>
      <c r="G657" s="1" t="str">
        <f>""</f>
        <v/>
      </c>
      <c r="H657" s="1" t="str">
        <f>"0033"</f>
        <v>0033</v>
      </c>
      <c r="I657" s="1" t="s">
        <v>106</v>
      </c>
      <c r="J657" s="1" t="str">
        <f>"01043977568"</f>
        <v>01043977568</v>
      </c>
      <c r="K657" s="1" t="str">
        <f>"2017-04-08 13:38:27"</f>
        <v>2017-04-08 13:38:27</v>
      </c>
      <c r="L657" s="1" t="str">
        <f t="shared" si="73"/>
        <v>-</v>
      </c>
      <c r="M657" s="2">
        <v>0</v>
      </c>
      <c r="N657" s="1" t="s">
        <v>33</v>
      </c>
      <c r="O657" s="1" t="s">
        <v>34</v>
      </c>
      <c r="P657" s="2">
        <v>5.7870370370370366E-5</v>
      </c>
      <c r="Q657" s="1" t="str">
        <f>""</f>
        <v/>
      </c>
      <c r="R657" s="1">
        <v>0</v>
      </c>
      <c r="S657" s="1" t="str">
        <f>""</f>
        <v/>
      </c>
      <c r="T657" s="1" t="s">
        <v>29</v>
      </c>
      <c r="U657" s="1" t="s">
        <v>30</v>
      </c>
      <c r="V657" s="1">
        <v>0</v>
      </c>
    </row>
    <row r="658" spans="2:22" x14ac:dyDescent="0.15">
      <c r="B658" s="1" t="str">
        <f>"186****0604"</f>
        <v>186****0604</v>
      </c>
      <c r="C658" s="1" t="s">
        <v>23</v>
      </c>
      <c r="D658" s="1" t="str">
        <f t="shared" si="69"/>
        <v>89177328</v>
      </c>
      <c r="E658" s="1" t="s">
        <v>24</v>
      </c>
      <c r="F658" s="1" t="str">
        <f t="shared" si="70"/>
        <v>0010</v>
      </c>
      <c r="G658" s="1" t="str">
        <f>""</f>
        <v/>
      </c>
      <c r="H658" s="1" t="str">
        <f>"0033"</f>
        <v>0033</v>
      </c>
      <c r="I658" s="1" t="s">
        <v>106</v>
      </c>
      <c r="J658" s="1" t="str">
        <f>"01043977568"</f>
        <v>01043977568</v>
      </c>
      <c r="K658" s="1" t="str">
        <f>"2017-04-08 13:33:12"</f>
        <v>2017-04-08 13:33:12</v>
      </c>
      <c r="L658" s="1" t="str">
        <f t="shared" si="73"/>
        <v>-</v>
      </c>
      <c r="M658" s="2">
        <v>0</v>
      </c>
      <c r="N658" s="1" t="s">
        <v>33</v>
      </c>
      <c r="O658" s="1" t="s">
        <v>34</v>
      </c>
      <c r="P658" s="2">
        <v>4.6296296296296294E-5</v>
      </c>
      <c r="Q658" s="1" t="str">
        <f>""</f>
        <v/>
      </c>
      <c r="R658" s="1">
        <v>0</v>
      </c>
      <c r="S658" s="1" t="str">
        <f>""</f>
        <v/>
      </c>
      <c r="T658" s="1" t="s">
        <v>29</v>
      </c>
      <c r="U658" s="1" t="s">
        <v>30</v>
      </c>
      <c r="V658" s="1">
        <v>0</v>
      </c>
    </row>
    <row r="659" spans="2:22" x14ac:dyDescent="0.15">
      <c r="B659" s="1" t="str">
        <f>"186****0604"</f>
        <v>186****0604</v>
      </c>
      <c r="C659" s="1" t="s">
        <v>23</v>
      </c>
      <c r="D659" s="1" t="str">
        <f t="shared" si="69"/>
        <v>89177328</v>
      </c>
      <c r="E659" s="1" t="s">
        <v>24</v>
      </c>
      <c r="F659" s="1" t="str">
        <f t="shared" si="70"/>
        <v>0010</v>
      </c>
      <c r="G659" s="1" t="str">
        <f>""</f>
        <v/>
      </c>
      <c r="H659" s="1" t="str">
        <f>"0033"</f>
        <v>0033</v>
      </c>
      <c r="I659" s="1" t="s">
        <v>106</v>
      </c>
      <c r="J659" s="1" t="str">
        <f>"01043977568"</f>
        <v>01043977568</v>
      </c>
      <c r="K659" s="1" t="str">
        <f>"2017-04-08 13:28:02"</f>
        <v>2017-04-08 13:28:02</v>
      </c>
      <c r="L659" s="1" t="str">
        <f t="shared" si="73"/>
        <v>-</v>
      </c>
      <c r="M659" s="2">
        <v>0</v>
      </c>
      <c r="N659" s="1" t="s">
        <v>33</v>
      </c>
      <c r="O659" s="1" t="s">
        <v>34</v>
      </c>
      <c r="P659" s="2">
        <v>6.9444444444444444E-5</v>
      </c>
      <c r="Q659" s="1" t="str">
        <f>""</f>
        <v/>
      </c>
      <c r="R659" s="1">
        <v>0</v>
      </c>
      <c r="S659" s="1" t="str">
        <f>""</f>
        <v/>
      </c>
      <c r="T659" s="1" t="s">
        <v>29</v>
      </c>
      <c r="U659" s="1" t="s">
        <v>30</v>
      </c>
      <c r="V659" s="1">
        <v>0</v>
      </c>
    </row>
    <row r="660" spans="2:22" x14ac:dyDescent="0.15">
      <c r="B660" s="1" t="str">
        <f>"152****9938"</f>
        <v>152****9938</v>
      </c>
      <c r="C660" s="1" t="s">
        <v>23</v>
      </c>
      <c r="D660" s="1" t="str">
        <f t="shared" si="69"/>
        <v>89177328</v>
      </c>
      <c r="E660" s="1" t="s">
        <v>24</v>
      </c>
      <c r="F660" s="1" t="str">
        <f t="shared" si="70"/>
        <v>0010</v>
      </c>
      <c r="G660" s="1" t="str">
        <f>""</f>
        <v/>
      </c>
      <c r="H660" s="1" t="str">
        <f>""</f>
        <v/>
      </c>
      <c r="I660" s="1" t="str">
        <f>""</f>
        <v/>
      </c>
      <c r="J660" s="1" t="str">
        <f>""</f>
        <v/>
      </c>
      <c r="K660" s="1" t="str">
        <f>"2017-04-08 13:18:40"</f>
        <v>2017-04-08 13:18:40</v>
      </c>
      <c r="L660" s="1" t="str">
        <f t="shared" si="73"/>
        <v>-</v>
      </c>
      <c r="M660" s="2">
        <v>0</v>
      </c>
      <c r="N660" s="1" t="s">
        <v>55</v>
      </c>
      <c r="O660" s="1" t="s">
        <v>34</v>
      </c>
      <c r="P660" s="2">
        <v>5.3240740740740744E-4</v>
      </c>
      <c r="Q660" s="1" t="str">
        <f>""</f>
        <v/>
      </c>
      <c r="R660" s="1">
        <v>0</v>
      </c>
      <c r="S660" s="1" t="str">
        <f>""</f>
        <v/>
      </c>
      <c r="T660" s="1" t="s">
        <v>29</v>
      </c>
      <c r="U660" s="1" t="s">
        <v>30</v>
      </c>
      <c r="V660" s="1">
        <v>0</v>
      </c>
    </row>
    <row r="661" spans="2:22" x14ac:dyDescent="0.15">
      <c r="B661" s="1" t="str">
        <f>"133****3731"</f>
        <v>133****3731</v>
      </c>
      <c r="C661" s="1" t="s">
        <v>81</v>
      </c>
      <c r="D661" s="1" t="str">
        <f t="shared" si="69"/>
        <v>89177328</v>
      </c>
      <c r="E661" s="1" t="s">
        <v>24</v>
      </c>
      <c r="F661" s="1" t="str">
        <f t="shared" si="70"/>
        <v>0010</v>
      </c>
      <c r="G661" s="1" t="str">
        <f>""</f>
        <v/>
      </c>
      <c r="H661" s="1" t="str">
        <f>"0032"</f>
        <v>0032</v>
      </c>
      <c r="I661" s="1" t="s">
        <v>119</v>
      </c>
      <c r="J661" s="1" t="str">
        <f>"01043977566"</f>
        <v>01043977566</v>
      </c>
      <c r="K661" s="1" t="str">
        <f>"2017-04-08 13:18:23"</f>
        <v>2017-04-08 13:18:23</v>
      </c>
      <c r="L661" s="1" t="str">
        <f>"2017-04-08 13:18:33"</f>
        <v>2017-04-08 13:18:33</v>
      </c>
      <c r="M661" s="2">
        <v>8.2754629629629619E-3</v>
      </c>
      <c r="N661" s="1" t="s">
        <v>26</v>
      </c>
      <c r="O661" s="1" t="s">
        <v>34</v>
      </c>
      <c r="P661" s="2">
        <v>8.3912037037037045E-3</v>
      </c>
      <c r="Q661" s="1" t="s">
        <v>578</v>
      </c>
      <c r="R661" s="1">
        <v>0</v>
      </c>
      <c r="S661" s="1" t="str">
        <f>""</f>
        <v/>
      </c>
      <c r="T661" s="1" t="s">
        <v>29</v>
      </c>
      <c r="U661" s="1" t="s">
        <v>30</v>
      </c>
      <c r="V661" s="1">
        <v>0</v>
      </c>
    </row>
    <row r="662" spans="2:22" x14ac:dyDescent="0.15">
      <c r="B662" s="1" t="str">
        <f>"134****9169"</f>
        <v>134****9169</v>
      </c>
      <c r="C662" s="1" t="s">
        <v>23</v>
      </c>
      <c r="D662" s="1" t="str">
        <f t="shared" si="69"/>
        <v>89177328</v>
      </c>
      <c r="E662" s="1" t="s">
        <v>24</v>
      </c>
      <c r="F662" s="1" t="str">
        <f t="shared" si="70"/>
        <v>0010</v>
      </c>
      <c r="G662" s="1" t="str">
        <f>""</f>
        <v/>
      </c>
      <c r="H662" s="1" t="str">
        <f>"0033"</f>
        <v>0033</v>
      </c>
      <c r="I662" s="1" t="s">
        <v>106</v>
      </c>
      <c r="J662" s="1" t="str">
        <f>"01043977568"</f>
        <v>01043977568</v>
      </c>
      <c r="K662" s="1" t="str">
        <f>"2017-04-08 13:14:57"</f>
        <v>2017-04-08 13:14:57</v>
      </c>
      <c r="L662" s="1" t="str">
        <f>"2017-04-08 13:15:06"</f>
        <v>2017-04-08 13:15:06</v>
      </c>
      <c r="M662" s="2">
        <v>1.2384259259259258E-3</v>
      </c>
      <c r="N662" s="1" t="s">
        <v>26</v>
      </c>
      <c r="O662" s="1" t="s">
        <v>27</v>
      </c>
      <c r="P662" s="2">
        <v>1.3425925925925925E-3</v>
      </c>
      <c r="Q662" s="1" t="s">
        <v>579</v>
      </c>
      <c r="R662" s="1">
        <v>0</v>
      </c>
      <c r="S662" s="1" t="str">
        <f>""</f>
        <v/>
      </c>
      <c r="T662" s="1" t="s">
        <v>29</v>
      </c>
      <c r="U662" s="1" t="s">
        <v>30</v>
      </c>
      <c r="V662" s="1">
        <v>0</v>
      </c>
    </row>
    <row r="663" spans="2:22" x14ac:dyDescent="0.15">
      <c r="B663" s="1" t="str">
        <f>"131****8671"</f>
        <v>131****8671</v>
      </c>
      <c r="C663" s="1" t="s">
        <v>69</v>
      </c>
      <c r="D663" s="1" t="str">
        <f t="shared" si="69"/>
        <v>89177328</v>
      </c>
      <c r="E663" s="1" t="s">
        <v>24</v>
      </c>
      <c r="F663" s="1" t="str">
        <f t="shared" si="70"/>
        <v>0010</v>
      </c>
      <c r="G663" s="1" t="str">
        <f>""</f>
        <v/>
      </c>
      <c r="H663" s="1" t="str">
        <f>"0031"</f>
        <v>0031</v>
      </c>
      <c r="I663" s="1" t="s">
        <v>95</v>
      </c>
      <c r="J663" s="1" t="str">
        <f>"01043977565"</f>
        <v>01043977565</v>
      </c>
      <c r="K663" s="1" t="str">
        <f>"2017-04-08 13:12:07"</f>
        <v>2017-04-08 13:12:07</v>
      </c>
      <c r="L663" s="1" t="str">
        <f>"2017-04-08 13:12:15"</f>
        <v>2017-04-08 13:12:15</v>
      </c>
      <c r="M663" s="2">
        <v>1.5706018518518518E-2</v>
      </c>
      <c r="N663" s="1" t="s">
        <v>26</v>
      </c>
      <c r="O663" s="1" t="s">
        <v>34</v>
      </c>
      <c r="P663" s="2">
        <v>1.579861111111111E-2</v>
      </c>
      <c r="Q663" s="1" t="s">
        <v>580</v>
      </c>
      <c r="R663" s="1">
        <v>0</v>
      </c>
      <c r="S663" s="1" t="str">
        <f>""</f>
        <v/>
      </c>
      <c r="T663" s="1" t="s">
        <v>29</v>
      </c>
      <c r="U663" s="1" t="s">
        <v>30</v>
      </c>
      <c r="V663" s="1">
        <v>0</v>
      </c>
    </row>
    <row r="664" spans="2:22" x14ac:dyDescent="0.15">
      <c r="B664" s="1" t="str">
        <f>"156****7126"</f>
        <v>156****7126</v>
      </c>
      <c r="C664" s="1" t="s">
        <v>23</v>
      </c>
      <c r="D664" s="1" t="str">
        <f t="shared" si="69"/>
        <v>89177328</v>
      </c>
      <c r="E664" s="1" t="s">
        <v>24</v>
      </c>
      <c r="F664" s="1" t="str">
        <f t="shared" si="70"/>
        <v>0010</v>
      </c>
      <c r="G664" s="1" t="str">
        <f>""</f>
        <v/>
      </c>
      <c r="H664" s="1" t="str">
        <f>"0031"</f>
        <v>0031</v>
      </c>
      <c r="I664" s="1" t="s">
        <v>95</v>
      </c>
      <c r="J664" s="1" t="str">
        <f>"01043977565"</f>
        <v>01043977565</v>
      </c>
      <c r="K664" s="1" t="str">
        <f>"2017-04-08 13:09:24"</f>
        <v>2017-04-08 13:09:24</v>
      </c>
      <c r="L664" s="1" t="str">
        <f>"-"</f>
        <v>-</v>
      </c>
      <c r="M664" s="2">
        <v>0</v>
      </c>
      <c r="N664" s="1" t="s">
        <v>33</v>
      </c>
      <c r="O664" s="1" t="s">
        <v>34</v>
      </c>
      <c r="P664" s="2">
        <v>1.1574074074074073E-5</v>
      </c>
      <c r="Q664" s="1" t="str">
        <f>""</f>
        <v/>
      </c>
      <c r="R664" s="1">
        <v>0</v>
      </c>
      <c r="S664" s="1" t="str">
        <f>""</f>
        <v/>
      </c>
      <c r="T664" s="1" t="s">
        <v>29</v>
      </c>
      <c r="U664" s="1" t="s">
        <v>30</v>
      </c>
      <c r="V664" s="1">
        <v>0</v>
      </c>
    </row>
    <row r="665" spans="2:22" x14ac:dyDescent="0.15">
      <c r="B665" s="1" t="str">
        <f>"0315151****9444"</f>
        <v>0315151****9444</v>
      </c>
      <c r="C665" s="1" t="s">
        <v>76</v>
      </c>
      <c r="D665" s="1" t="str">
        <f t="shared" si="69"/>
        <v>89177328</v>
      </c>
      <c r="E665" s="1" t="s">
        <v>24</v>
      </c>
      <c r="F665" s="1" t="str">
        <f t="shared" si="70"/>
        <v>0010</v>
      </c>
      <c r="G665" s="1" t="str">
        <f>""</f>
        <v/>
      </c>
      <c r="H665" s="1" t="str">
        <f>"0036"</f>
        <v>0036</v>
      </c>
      <c r="I665" s="1" t="s">
        <v>143</v>
      </c>
      <c r="J665" s="1" t="str">
        <f>"01043977573"</f>
        <v>01043977573</v>
      </c>
      <c r="K665" s="1" t="str">
        <f>"2017-04-08 13:05:22"</f>
        <v>2017-04-08 13:05:22</v>
      </c>
      <c r="L665" s="1" t="str">
        <f>"2017-04-08 13:05:30"</f>
        <v>2017-04-08 13:05:30</v>
      </c>
      <c r="M665" s="2">
        <v>1.0439814814814813E-2</v>
      </c>
      <c r="N665" s="1" t="s">
        <v>26</v>
      </c>
      <c r="O665" s="1" t="s">
        <v>34</v>
      </c>
      <c r="P665" s="2">
        <v>1.0532407407407407E-2</v>
      </c>
      <c r="Q665" s="1" t="s">
        <v>581</v>
      </c>
      <c r="R665" s="1">
        <v>0</v>
      </c>
      <c r="S665" s="1" t="str">
        <f>""</f>
        <v/>
      </c>
      <c r="T665" s="1" t="s">
        <v>29</v>
      </c>
      <c r="U665" s="1" t="s">
        <v>30</v>
      </c>
      <c r="V665" s="1">
        <v>0</v>
      </c>
    </row>
    <row r="666" spans="2:22" x14ac:dyDescent="0.15">
      <c r="B666" s="1" t="str">
        <f>"156****4405"</f>
        <v>156****4405</v>
      </c>
      <c r="C666" s="1" t="s">
        <v>23</v>
      </c>
      <c r="D666" s="1" t="str">
        <f t="shared" si="69"/>
        <v>89177328</v>
      </c>
      <c r="E666" s="1" t="s">
        <v>24</v>
      </c>
      <c r="F666" s="1" t="str">
        <f t="shared" si="70"/>
        <v>0010</v>
      </c>
      <c r="G666" s="1" t="str">
        <f>""</f>
        <v/>
      </c>
      <c r="H666" s="1" t="str">
        <f>"0033"</f>
        <v>0033</v>
      </c>
      <c r="I666" s="1" t="s">
        <v>106</v>
      </c>
      <c r="J666" s="1" t="str">
        <f>"01043977568"</f>
        <v>01043977568</v>
      </c>
      <c r="K666" s="1" t="str">
        <f>"2017-04-08 13:02:40"</f>
        <v>2017-04-08 13:02:40</v>
      </c>
      <c r="L666" s="1" t="str">
        <f>"2017-04-08 13:02:48"</f>
        <v>2017-04-08 13:02:48</v>
      </c>
      <c r="M666" s="2">
        <v>6.4814814814814813E-3</v>
      </c>
      <c r="N666" s="1" t="s">
        <v>26</v>
      </c>
      <c r="O666" s="1" t="s">
        <v>27</v>
      </c>
      <c r="P666" s="2">
        <v>6.5740740740740733E-3</v>
      </c>
      <c r="Q666" s="1" t="s">
        <v>582</v>
      </c>
      <c r="R666" s="1">
        <v>0</v>
      </c>
      <c r="S666" s="1" t="str">
        <f>""</f>
        <v/>
      </c>
      <c r="T666" s="1" t="s">
        <v>29</v>
      </c>
      <c r="U666" s="1" t="s">
        <v>30</v>
      </c>
      <c r="V666" s="1">
        <v>0</v>
      </c>
    </row>
    <row r="667" spans="2:22" x14ac:dyDescent="0.15">
      <c r="B667" s="1" t="str">
        <f>"156****4405"</f>
        <v>156****4405</v>
      </c>
      <c r="C667" s="1" t="s">
        <v>23</v>
      </c>
      <c r="D667" s="1" t="str">
        <f t="shared" si="69"/>
        <v>89177328</v>
      </c>
      <c r="E667" s="1" t="s">
        <v>24</v>
      </c>
      <c r="F667" s="1" t="str">
        <f t="shared" si="70"/>
        <v>0010</v>
      </c>
      <c r="G667" s="1" t="str">
        <f>""</f>
        <v/>
      </c>
      <c r="H667" s="1" t="str">
        <f>"0033"</f>
        <v>0033</v>
      </c>
      <c r="I667" s="1" t="s">
        <v>106</v>
      </c>
      <c r="J667" s="1" t="str">
        <f>"01043977568"</f>
        <v>01043977568</v>
      </c>
      <c r="K667" s="1" t="str">
        <f>"2017-04-08 12:52:43"</f>
        <v>2017-04-08 12:52:43</v>
      </c>
      <c r="L667" s="1" t="str">
        <f>"2017-04-08 12:52:54"</f>
        <v>2017-04-08 12:52:54</v>
      </c>
      <c r="M667" s="2">
        <v>4.9768518518518521E-3</v>
      </c>
      <c r="N667" s="1" t="s">
        <v>26</v>
      </c>
      <c r="O667" s="1" t="s">
        <v>27</v>
      </c>
      <c r="P667" s="2">
        <v>5.1041666666666666E-3</v>
      </c>
      <c r="Q667" s="1" t="s">
        <v>583</v>
      </c>
      <c r="R667" s="1">
        <v>0</v>
      </c>
      <c r="S667" s="1" t="str">
        <f>""</f>
        <v/>
      </c>
      <c r="T667" s="1" t="s">
        <v>29</v>
      </c>
      <c r="U667" s="1" t="s">
        <v>30</v>
      </c>
      <c r="V667" s="1">
        <v>0</v>
      </c>
    </row>
    <row r="668" spans="2:22" x14ac:dyDescent="0.15">
      <c r="B668" s="1" t="str">
        <f>"138****3157"</f>
        <v>138****3157</v>
      </c>
      <c r="C668" s="1" t="s">
        <v>99</v>
      </c>
      <c r="D668" s="1" t="str">
        <f t="shared" si="69"/>
        <v>89177328</v>
      </c>
      <c r="E668" s="1" t="s">
        <v>24</v>
      </c>
      <c r="F668" s="1" t="str">
        <f t="shared" si="70"/>
        <v>0010</v>
      </c>
      <c r="G668" s="1" t="str">
        <f>""</f>
        <v/>
      </c>
      <c r="H668" s="1" t="str">
        <f>"0033"</f>
        <v>0033</v>
      </c>
      <c r="I668" s="1" t="s">
        <v>106</v>
      </c>
      <c r="J668" s="1" t="str">
        <f>"01043977568"</f>
        <v>01043977568</v>
      </c>
      <c r="K668" s="1" t="str">
        <f>"2017-04-08 12:26:34"</f>
        <v>2017-04-08 12:26:34</v>
      </c>
      <c r="L668" s="1" t="str">
        <f>"2017-04-08 12:26:45"</f>
        <v>2017-04-08 12:26:45</v>
      </c>
      <c r="M668" s="2">
        <v>4.8611111111111112E-3</v>
      </c>
      <c r="N668" s="1" t="s">
        <v>26</v>
      </c>
      <c r="O668" s="1" t="s">
        <v>27</v>
      </c>
      <c r="P668" s="2">
        <v>4.9884259259259265E-3</v>
      </c>
      <c r="Q668" s="1" t="s">
        <v>584</v>
      </c>
      <c r="R668" s="1">
        <v>0</v>
      </c>
      <c r="S668" s="1" t="str">
        <f>""</f>
        <v/>
      </c>
      <c r="T668" s="1" t="s">
        <v>29</v>
      </c>
      <c r="U668" s="1" t="s">
        <v>30</v>
      </c>
      <c r="V668" s="1">
        <v>0</v>
      </c>
    </row>
    <row r="669" spans="2:22" x14ac:dyDescent="0.15">
      <c r="B669" s="1" t="str">
        <f>"187****8818"</f>
        <v>187****8818</v>
      </c>
      <c r="C669" s="1" t="s">
        <v>51</v>
      </c>
      <c r="D669" s="1" t="str">
        <f t="shared" si="69"/>
        <v>89177328</v>
      </c>
      <c r="E669" s="1" t="s">
        <v>24</v>
      </c>
      <c r="F669" s="1" t="str">
        <f t="shared" si="70"/>
        <v>0010</v>
      </c>
      <c r="G669" s="1" t="str">
        <f>""</f>
        <v/>
      </c>
      <c r="H669" s="1" t="str">
        <f>"0036"</f>
        <v>0036</v>
      </c>
      <c r="I669" s="1" t="s">
        <v>143</v>
      </c>
      <c r="J669" s="1" t="str">
        <f>"01043977573"</f>
        <v>01043977573</v>
      </c>
      <c r="K669" s="1" t="str">
        <f>"2017-04-08 12:04:50"</f>
        <v>2017-04-08 12:04:50</v>
      </c>
      <c r="L669" s="1" t="str">
        <f>"2017-04-08 12:04:54"</f>
        <v>2017-04-08 12:04:54</v>
      </c>
      <c r="M669" s="2">
        <v>3.8541666666666668E-3</v>
      </c>
      <c r="N669" s="1" t="s">
        <v>26</v>
      </c>
      <c r="O669" s="1" t="s">
        <v>34</v>
      </c>
      <c r="P669" s="2">
        <v>3.9004629629629632E-3</v>
      </c>
      <c r="Q669" s="1" t="s">
        <v>585</v>
      </c>
      <c r="R669" s="1">
        <v>0</v>
      </c>
      <c r="S669" s="1" t="str">
        <f>""</f>
        <v/>
      </c>
      <c r="T669" s="1" t="s">
        <v>29</v>
      </c>
      <c r="U669" s="1" t="s">
        <v>30</v>
      </c>
      <c r="V669" s="1">
        <v>0</v>
      </c>
    </row>
    <row r="670" spans="2:22" x14ac:dyDescent="0.15">
      <c r="B670" s="1" t="str">
        <f>"186****5492"</f>
        <v>186****5492</v>
      </c>
      <c r="C670" s="1" t="s">
        <v>23</v>
      </c>
      <c r="D670" s="1" t="str">
        <f t="shared" si="69"/>
        <v>89177328</v>
      </c>
      <c r="E670" s="1" t="s">
        <v>24</v>
      </c>
      <c r="F670" s="1" t="str">
        <f t="shared" si="70"/>
        <v>0010</v>
      </c>
      <c r="G670" s="1" t="str">
        <f>""</f>
        <v/>
      </c>
      <c r="H670" s="1" t="str">
        <f>""</f>
        <v/>
      </c>
      <c r="I670" s="1" t="str">
        <f>""</f>
        <v/>
      </c>
      <c r="J670" s="1" t="str">
        <f>""</f>
        <v/>
      </c>
      <c r="K670" s="1" t="str">
        <f>"2017-04-08 11:44:27"</f>
        <v>2017-04-08 11:44:27</v>
      </c>
      <c r="L670" s="1" t="str">
        <f>"-"</f>
        <v>-</v>
      </c>
      <c r="M670" s="2">
        <v>0</v>
      </c>
      <c r="N670" s="1" t="s">
        <v>55</v>
      </c>
      <c r="O670" s="1" t="s">
        <v>34</v>
      </c>
      <c r="P670" s="2">
        <v>2.3148148148148147E-5</v>
      </c>
      <c r="Q670" s="1" t="str">
        <f>""</f>
        <v/>
      </c>
      <c r="R670" s="1">
        <v>0</v>
      </c>
      <c r="S670" s="1" t="str">
        <f>""</f>
        <v/>
      </c>
      <c r="T670" s="1" t="s">
        <v>29</v>
      </c>
      <c r="U670" s="1" t="s">
        <v>30</v>
      </c>
      <c r="V670" s="1">
        <v>0</v>
      </c>
    </row>
    <row r="671" spans="2:22" x14ac:dyDescent="0.15">
      <c r="B671" s="1" t="str">
        <f>"116114"</f>
        <v>116114</v>
      </c>
      <c r="C671" s="1" t="s">
        <v>159</v>
      </c>
      <c r="D671" s="1" t="str">
        <f t="shared" si="69"/>
        <v>89177328</v>
      </c>
      <c r="E671" s="1" t="s">
        <v>24</v>
      </c>
      <c r="F671" s="1" t="str">
        <f t="shared" si="70"/>
        <v>0010</v>
      </c>
      <c r="G671" s="1" t="str">
        <f>""</f>
        <v/>
      </c>
      <c r="H671" s="1" t="str">
        <f>"0031"</f>
        <v>0031</v>
      </c>
      <c r="I671" s="1" t="s">
        <v>95</v>
      </c>
      <c r="J671" s="1" t="str">
        <f>"01043977565"</f>
        <v>01043977565</v>
      </c>
      <c r="K671" s="1" t="str">
        <f>"2017-04-08 11:42:12"</f>
        <v>2017-04-08 11:42:12</v>
      </c>
      <c r="L671" s="1" t="str">
        <f>"2017-04-08 11:44:22"</f>
        <v>2017-04-08 11:44:22</v>
      </c>
      <c r="M671" s="2">
        <v>1.8888888888888889E-2</v>
      </c>
      <c r="N671" s="1" t="s">
        <v>26</v>
      </c>
      <c r="O671" s="1" t="s">
        <v>27</v>
      </c>
      <c r="P671" s="2">
        <v>2.0393518518518519E-2</v>
      </c>
      <c r="Q671" s="1" t="s">
        <v>586</v>
      </c>
      <c r="R671" s="1">
        <v>0</v>
      </c>
      <c r="S671" s="1" t="str">
        <f>""</f>
        <v/>
      </c>
      <c r="T671" s="1" t="s">
        <v>29</v>
      </c>
      <c r="U671" s="1" t="s">
        <v>30</v>
      </c>
      <c r="V671" s="1">
        <v>0</v>
      </c>
    </row>
    <row r="672" spans="2:22" x14ac:dyDescent="0.15">
      <c r="B672" s="1" t="str">
        <f>"187****0127"</f>
        <v>187****0127</v>
      </c>
      <c r="C672" s="1" t="s">
        <v>23</v>
      </c>
      <c r="D672" s="1" t="str">
        <f t="shared" si="69"/>
        <v>89177328</v>
      </c>
      <c r="E672" s="1" t="s">
        <v>24</v>
      </c>
      <c r="F672" s="1" t="str">
        <f t="shared" si="70"/>
        <v>0010</v>
      </c>
      <c r="G672" s="1" t="str">
        <f>""</f>
        <v/>
      </c>
      <c r="H672" s="1" t="str">
        <f>"0031"</f>
        <v>0031</v>
      </c>
      <c r="I672" s="1" t="s">
        <v>95</v>
      </c>
      <c r="J672" s="1" t="str">
        <f>"01043977565"</f>
        <v>01043977565</v>
      </c>
      <c r="K672" s="1" t="str">
        <f>"2017-04-08 11:41:24"</f>
        <v>2017-04-08 11:41:24</v>
      </c>
      <c r="L672" s="1" t="str">
        <f>"2017-04-08 11:41:30"</f>
        <v>2017-04-08 11:41:30</v>
      </c>
      <c r="M672" s="2">
        <v>1.7245370370370372E-3</v>
      </c>
      <c r="N672" s="1" t="s">
        <v>26</v>
      </c>
      <c r="O672" s="1" t="s">
        <v>34</v>
      </c>
      <c r="P672" s="2">
        <v>1.7939814814814815E-3</v>
      </c>
      <c r="Q672" s="1" t="s">
        <v>587</v>
      </c>
      <c r="R672" s="1">
        <v>0</v>
      </c>
      <c r="S672" s="1" t="str">
        <f>""</f>
        <v/>
      </c>
      <c r="T672" s="1" t="s">
        <v>29</v>
      </c>
      <c r="U672" s="1" t="s">
        <v>30</v>
      </c>
      <c r="V672" s="1">
        <v>0</v>
      </c>
    </row>
    <row r="673" spans="2:22" x14ac:dyDescent="0.15">
      <c r="B673" s="1" t="str">
        <f>"153****7966"</f>
        <v>153****7966</v>
      </c>
      <c r="C673" s="1" t="s">
        <v>38</v>
      </c>
      <c r="D673" s="1" t="str">
        <f t="shared" si="69"/>
        <v>89177328</v>
      </c>
      <c r="E673" s="1" t="s">
        <v>24</v>
      </c>
      <c r="F673" s="1" t="str">
        <f t="shared" si="70"/>
        <v>0010</v>
      </c>
      <c r="G673" s="1" t="str">
        <f>""</f>
        <v/>
      </c>
      <c r="H673" s="1" t="str">
        <f>"0031"</f>
        <v>0031</v>
      </c>
      <c r="I673" s="1" t="s">
        <v>95</v>
      </c>
      <c r="J673" s="1" t="str">
        <f>"01043977565"</f>
        <v>01043977565</v>
      </c>
      <c r="K673" s="1" t="str">
        <f>"2017-04-08 11:39:23"</f>
        <v>2017-04-08 11:39:23</v>
      </c>
      <c r="L673" s="1" t="str">
        <f>"2017-04-08 11:39:58"</f>
        <v>2017-04-08 11:39:58</v>
      </c>
      <c r="M673" s="2">
        <v>5.6712962962962956E-4</v>
      </c>
      <c r="N673" s="1" t="s">
        <v>26</v>
      </c>
      <c r="O673" s="1" t="s">
        <v>34</v>
      </c>
      <c r="P673" s="2">
        <v>9.7222222222222209E-4</v>
      </c>
      <c r="Q673" s="1" t="s">
        <v>588</v>
      </c>
      <c r="R673" s="1">
        <v>0</v>
      </c>
      <c r="S673" s="1" t="str">
        <f>""</f>
        <v/>
      </c>
      <c r="T673" s="1" t="s">
        <v>29</v>
      </c>
      <c r="U673" s="1" t="s">
        <v>30</v>
      </c>
      <c r="V673" s="1">
        <v>0</v>
      </c>
    </row>
    <row r="674" spans="2:22" x14ac:dyDescent="0.15">
      <c r="B674" s="1" t="str">
        <f>"133****7112"</f>
        <v>133****7112</v>
      </c>
      <c r="C674" s="1" t="s">
        <v>23</v>
      </c>
      <c r="D674" s="1" t="str">
        <f t="shared" si="69"/>
        <v>89177328</v>
      </c>
      <c r="E674" s="1" t="s">
        <v>24</v>
      </c>
      <c r="F674" s="1" t="str">
        <f t="shared" si="70"/>
        <v>0010</v>
      </c>
      <c r="G674" s="1" t="str">
        <f>""</f>
        <v/>
      </c>
      <c r="H674" s="1" t="str">
        <f>"0033"</f>
        <v>0033</v>
      </c>
      <c r="I674" s="1" t="s">
        <v>106</v>
      </c>
      <c r="J674" s="1" t="str">
        <f>"01043977568"</f>
        <v>01043977568</v>
      </c>
      <c r="K674" s="1" t="str">
        <f>"2017-04-08 11:36:32"</f>
        <v>2017-04-08 11:36:32</v>
      </c>
      <c r="L674" s="1" t="str">
        <f>"2017-04-08 11:36:41"</f>
        <v>2017-04-08 11:36:41</v>
      </c>
      <c r="M674" s="2">
        <v>7.9745370370370369E-3</v>
      </c>
      <c r="N674" s="1" t="s">
        <v>26</v>
      </c>
      <c r="O674" s="1" t="s">
        <v>27</v>
      </c>
      <c r="P674" s="2">
        <v>8.0787037037037043E-3</v>
      </c>
      <c r="Q674" s="1" t="s">
        <v>589</v>
      </c>
      <c r="R674" s="1">
        <v>0</v>
      </c>
      <c r="S674" s="1" t="str">
        <f>""</f>
        <v/>
      </c>
      <c r="T674" s="1" t="s">
        <v>29</v>
      </c>
      <c r="U674" s="1" t="s">
        <v>30</v>
      </c>
      <c r="V674" s="1">
        <v>0</v>
      </c>
    </row>
    <row r="675" spans="2:22" x14ac:dyDescent="0.15">
      <c r="B675" s="1" t="str">
        <f>"134****5797"</f>
        <v>134****5797</v>
      </c>
      <c r="C675" s="1" t="s">
        <v>23</v>
      </c>
      <c r="D675" s="1" t="str">
        <f t="shared" si="69"/>
        <v>89177328</v>
      </c>
      <c r="E675" s="1" t="s">
        <v>24</v>
      </c>
      <c r="F675" s="1" t="str">
        <f t="shared" si="70"/>
        <v>0010</v>
      </c>
      <c r="G675" s="1" t="str">
        <f>""</f>
        <v/>
      </c>
      <c r="H675" s="1" t="str">
        <f>"0031"</f>
        <v>0031</v>
      </c>
      <c r="I675" s="1" t="s">
        <v>95</v>
      </c>
      <c r="J675" s="1" t="str">
        <f>"01043977565"</f>
        <v>01043977565</v>
      </c>
      <c r="K675" s="1" t="str">
        <f>"2017-04-08 11:34:57"</f>
        <v>2017-04-08 11:34:57</v>
      </c>
      <c r="L675" s="1" t="str">
        <f>"2017-04-08 11:35:06"</f>
        <v>2017-04-08 11:35:06</v>
      </c>
      <c r="M675" s="2">
        <v>3.2291666666666666E-3</v>
      </c>
      <c r="N675" s="1" t="s">
        <v>26</v>
      </c>
      <c r="O675" s="1" t="s">
        <v>27</v>
      </c>
      <c r="P675" s="2">
        <v>3.3333333333333335E-3</v>
      </c>
      <c r="Q675" s="1" t="s">
        <v>590</v>
      </c>
      <c r="R675" s="1">
        <v>0</v>
      </c>
      <c r="S675" s="1" t="str">
        <f>""</f>
        <v/>
      </c>
      <c r="T675" s="1" t="s">
        <v>29</v>
      </c>
      <c r="U675" s="1" t="s">
        <v>30</v>
      </c>
      <c r="V675" s="1">
        <v>0</v>
      </c>
    </row>
    <row r="676" spans="2:22" x14ac:dyDescent="0.15">
      <c r="B676" s="1" t="str">
        <f>"152****7661"</f>
        <v>152****7661</v>
      </c>
      <c r="C676" s="1" t="s">
        <v>23</v>
      </c>
      <c r="D676" s="1" t="str">
        <f t="shared" si="69"/>
        <v>89177328</v>
      </c>
      <c r="E676" s="1" t="s">
        <v>24</v>
      </c>
      <c r="F676" s="1" t="str">
        <f t="shared" si="70"/>
        <v>0010</v>
      </c>
      <c r="G676" s="1" t="str">
        <f>""</f>
        <v/>
      </c>
      <c r="H676" s="1" t="str">
        <f>"0036"</f>
        <v>0036</v>
      </c>
      <c r="I676" s="1" t="s">
        <v>143</v>
      </c>
      <c r="J676" s="1" t="str">
        <f>"01043977573"</f>
        <v>01043977573</v>
      </c>
      <c r="K676" s="1" t="str">
        <f>"2017-04-08 11:30:17"</f>
        <v>2017-04-08 11:30:17</v>
      </c>
      <c r="L676" s="1" t="str">
        <f>"2017-04-08 11:30:24"</f>
        <v>2017-04-08 11:30:24</v>
      </c>
      <c r="M676" s="2">
        <v>1.9918981481481482E-2</v>
      </c>
      <c r="N676" s="1" t="s">
        <v>26</v>
      </c>
      <c r="O676" s="1" t="s">
        <v>34</v>
      </c>
      <c r="P676" s="2">
        <v>0.02</v>
      </c>
      <c r="Q676" s="1" t="s">
        <v>591</v>
      </c>
      <c r="R676" s="1">
        <v>0</v>
      </c>
      <c r="S676" s="1" t="str">
        <f>""</f>
        <v/>
      </c>
      <c r="T676" s="1" t="s">
        <v>29</v>
      </c>
      <c r="U676" s="1" t="s">
        <v>30</v>
      </c>
      <c r="V676" s="1">
        <v>0</v>
      </c>
    </row>
    <row r="677" spans="2:22" x14ac:dyDescent="0.15">
      <c r="B677" s="1" t="str">
        <f>"150****7855"</f>
        <v>150****7855</v>
      </c>
      <c r="C677" s="1" t="s">
        <v>592</v>
      </c>
      <c r="D677" s="1" t="str">
        <f t="shared" si="69"/>
        <v>89177328</v>
      </c>
      <c r="E677" s="1" t="s">
        <v>24</v>
      </c>
      <c r="F677" s="1" t="str">
        <f t="shared" si="70"/>
        <v>0010</v>
      </c>
      <c r="G677" s="1" t="str">
        <f>""</f>
        <v/>
      </c>
      <c r="H677" s="1" t="str">
        <f>"0033"</f>
        <v>0033</v>
      </c>
      <c r="I677" s="1" t="s">
        <v>106</v>
      </c>
      <c r="J677" s="1" t="str">
        <f>"01043977568"</f>
        <v>01043977568</v>
      </c>
      <c r="K677" s="1" t="str">
        <f>"2017-04-08 10:51:53"</f>
        <v>2017-04-08 10:51:53</v>
      </c>
      <c r="L677" s="1" t="str">
        <f>"2017-04-08 10:52:02"</f>
        <v>2017-04-08 10:52:02</v>
      </c>
      <c r="M677" s="2">
        <v>1.712962962962963E-2</v>
      </c>
      <c r="N677" s="1" t="s">
        <v>26</v>
      </c>
      <c r="O677" s="1" t="s">
        <v>27</v>
      </c>
      <c r="P677" s="2">
        <v>1.7233796296296296E-2</v>
      </c>
      <c r="Q677" s="1" t="s">
        <v>593</v>
      </c>
      <c r="R677" s="1">
        <v>0</v>
      </c>
      <c r="S677" s="1" t="str">
        <f>""</f>
        <v/>
      </c>
      <c r="T677" s="1" t="s">
        <v>29</v>
      </c>
      <c r="U677" s="1" t="s">
        <v>30</v>
      </c>
      <c r="V677" s="1">
        <v>0</v>
      </c>
    </row>
    <row r="678" spans="2:22" x14ac:dyDescent="0.15">
      <c r="B678" s="1" t="str">
        <f>"188****5191"</f>
        <v>188****5191</v>
      </c>
      <c r="C678" s="1" t="s">
        <v>594</v>
      </c>
      <c r="D678" s="1" t="str">
        <f>"4000108333"</f>
        <v>4000108333</v>
      </c>
      <c r="E678" s="1" t="s">
        <v>53</v>
      </c>
      <c r="F678" s="1" t="str">
        <f>"0000"</f>
        <v>0000</v>
      </c>
      <c r="G678" s="1" t="str">
        <f>""</f>
        <v/>
      </c>
      <c r="H678" s="1" t="str">
        <f>"1010"</f>
        <v>1010</v>
      </c>
      <c r="I678" s="1" t="s">
        <v>148</v>
      </c>
      <c r="J678" s="1" t="str">
        <f>"13718091869"</f>
        <v>13718091869</v>
      </c>
      <c r="K678" s="1" t="str">
        <f>"2017-04-08 10:51:40"</f>
        <v>2017-04-08 10:51:40</v>
      </c>
      <c r="L678" s="1" t="str">
        <f>"2017-04-08 10:52:26"</f>
        <v>2017-04-08 10:52:26</v>
      </c>
      <c r="M678" s="2">
        <v>4.2824074074074075E-4</v>
      </c>
      <c r="N678" s="1" t="s">
        <v>26</v>
      </c>
      <c r="O678" s="1" t="s">
        <v>27</v>
      </c>
      <c r="P678" s="2">
        <v>9.6064814814814808E-4</v>
      </c>
      <c r="Q678" s="1" t="s">
        <v>595</v>
      </c>
      <c r="R678" s="1">
        <v>0.24</v>
      </c>
      <c r="S678" s="1" t="str">
        <f>""</f>
        <v/>
      </c>
      <c r="T678" s="1" t="s">
        <v>29</v>
      </c>
      <c r="U678" s="1" t="s">
        <v>30</v>
      </c>
      <c r="V678" s="1">
        <v>0</v>
      </c>
    </row>
    <row r="679" spans="2:22" x14ac:dyDescent="0.15">
      <c r="B679" s="1" t="str">
        <f>"152****9290"</f>
        <v>152****9290</v>
      </c>
      <c r="C679" s="1" t="s">
        <v>44</v>
      </c>
      <c r="D679" s="1" t="str">
        <f t="shared" ref="D679:D702" si="74">"89177328"</f>
        <v>89177328</v>
      </c>
      <c r="E679" s="1" t="s">
        <v>24</v>
      </c>
      <c r="F679" s="1" t="str">
        <f t="shared" ref="F679:F693" si="75">"0010"</f>
        <v>0010</v>
      </c>
      <c r="G679" s="1" t="str">
        <f>""</f>
        <v/>
      </c>
      <c r="H679" s="1" t="str">
        <f>"0031"</f>
        <v>0031</v>
      </c>
      <c r="I679" s="1" t="s">
        <v>95</v>
      </c>
      <c r="J679" s="1" t="str">
        <f>"01043977565"</f>
        <v>01043977565</v>
      </c>
      <c r="K679" s="1" t="str">
        <f>"2017-04-08 10:42:40"</f>
        <v>2017-04-08 10:42:40</v>
      </c>
      <c r="L679" s="1" t="str">
        <f>"2017-04-08 10:42:48"</f>
        <v>2017-04-08 10:42:48</v>
      </c>
      <c r="M679" s="2">
        <v>1.1122685185185185E-2</v>
      </c>
      <c r="N679" s="1" t="s">
        <v>26</v>
      </c>
      <c r="O679" s="1" t="s">
        <v>27</v>
      </c>
      <c r="P679" s="2">
        <v>1.1215277777777777E-2</v>
      </c>
      <c r="Q679" s="1" t="s">
        <v>596</v>
      </c>
      <c r="R679" s="1">
        <v>0</v>
      </c>
      <c r="S679" s="1" t="str">
        <f>""</f>
        <v/>
      </c>
      <c r="T679" s="1" t="s">
        <v>29</v>
      </c>
      <c r="U679" s="1" t="s">
        <v>30</v>
      </c>
      <c r="V679" s="1">
        <v>0</v>
      </c>
    </row>
    <row r="680" spans="2:22" x14ac:dyDescent="0.15">
      <c r="B680" s="1" t="str">
        <f>"170****1849"</f>
        <v>170****1849</v>
      </c>
      <c r="C680" s="1" t="s">
        <v>23</v>
      </c>
      <c r="D680" s="1" t="str">
        <f t="shared" si="74"/>
        <v>89177328</v>
      </c>
      <c r="E680" s="1" t="s">
        <v>24</v>
      </c>
      <c r="F680" s="1" t="str">
        <f t="shared" si="75"/>
        <v>0010</v>
      </c>
      <c r="G680" s="1" t="str">
        <f>""</f>
        <v/>
      </c>
      <c r="H680" s="1" t="str">
        <f>"0036"</f>
        <v>0036</v>
      </c>
      <c r="I680" s="1" t="s">
        <v>143</v>
      </c>
      <c r="J680" s="1" t="str">
        <f>"01043977573"</f>
        <v>01043977573</v>
      </c>
      <c r="K680" s="1" t="str">
        <f>"2017-04-08 10:36:49"</f>
        <v>2017-04-08 10:36:49</v>
      </c>
      <c r="L680" s="1" t="str">
        <f>"2017-04-08 10:36:55"</f>
        <v>2017-04-08 10:36:55</v>
      </c>
      <c r="M680" s="2">
        <v>1.6342592592592593E-2</v>
      </c>
      <c r="N680" s="1" t="s">
        <v>26</v>
      </c>
      <c r="O680" s="1" t="s">
        <v>34</v>
      </c>
      <c r="P680" s="2">
        <v>1.6412037037037037E-2</v>
      </c>
      <c r="Q680" s="1" t="s">
        <v>597</v>
      </c>
      <c r="R680" s="1">
        <v>0</v>
      </c>
      <c r="S680" s="1" t="str">
        <f>""</f>
        <v/>
      </c>
      <c r="T680" s="1" t="s">
        <v>29</v>
      </c>
      <c r="U680" s="1" t="s">
        <v>30</v>
      </c>
      <c r="V680" s="1">
        <v>0</v>
      </c>
    </row>
    <row r="681" spans="2:22" x14ac:dyDescent="0.15">
      <c r="B681" s="1" t="str">
        <f>"185****7649"</f>
        <v>185****7649</v>
      </c>
      <c r="C681" s="1" t="s">
        <v>23</v>
      </c>
      <c r="D681" s="1" t="str">
        <f t="shared" si="74"/>
        <v>89177328</v>
      </c>
      <c r="E681" s="1" t="s">
        <v>24</v>
      </c>
      <c r="F681" s="1" t="str">
        <f t="shared" si="75"/>
        <v>0010</v>
      </c>
      <c r="G681" s="1" t="str">
        <f>""</f>
        <v/>
      </c>
      <c r="H681" s="1" t="str">
        <f>"0036"</f>
        <v>0036</v>
      </c>
      <c r="I681" s="1" t="s">
        <v>143</v>
      </c>
      <c r="J681" s="1" t="str">
        <f>"01043977573"</f>
        <v>01043977573</v>
      </c>
      <c r="K681" s="1" t="str">
        <f>"2017-04-08 10:23:35"</f>
        <v>2017-04-08 10:23:35</v>
      </c>
      <c r="L681" s="1" t="str">
        <f>"2017-04-08 10:23:40"</f>
        <v>2017-04-08 10:23:40</v>
      </c>
      <c r="M681" s="2">
        <v>7.4421296296296293E-3</v>
      </c>
      <c r="N681" s="1" t="s">
        <v>26</v>
      </c>
      <c r="O681" s="1" t="s">
        <v>34</v>
      </c>
      <c r="P681" s="2">
        <v>7.5000000000000006E-3</v>
      </c>
      <c r="Q681" s="1" t="s">
        <v>598</v>
      </c>
      <c r="R681" s="1">
        <v>0</v>
      </c>
      <c r="S681" s="1" t="str">
        <f>""</f>
        <v/>
      </c>
      <c r="T681" s="1" t="s">
        <v>29</v>
      </c>
      <c r="U681" s="1" t="s">
        <v>30</v>
      </c>
      <c r="V681" s="1">
        <v>0</v>
      </c>
    </row>
    <row r="682" spans="2:22" x14ac:dyDescent="0.15">
      <c r="B682" s="1" t="str">
        <f>"180****3034"</f>
        <v>180****3034</v>
      </c>
      <c r="C682" s="1" t="s">
        <v>568</v>
      </c>
      <c r="D682" s="1" t="str">
        <f t="shared" si="74"/>
        <v>89177328</v>
      </c>
      <c r="E682" s="1" t="s">
        <v>24</v>
      </c>
      <c r="F682" s="1" t="str">
        <f t="shared" si="75"/>
        <v>0010</v>
      </c>
      <c r="G682" s="1" t="str">
        <f>""</f>
        <v/>
      </c>
      <c r="H682" s="1" t="str">
        <f>"0033"</f>
        <v>0033</v>
      </c>
      <c r="I682" s="1" t="s">
        <v>106</v>
      </c>
      <c r="J682" s="1" t="str">
        <f>"01043977568"</f>
        <v>01043977568</v>
      </c>
      <c r="K682" s="1" t="str">
        <f>"2017-04-08 10:08:56"</f>
        <v>2017-04-08 10:08:56</v>
      </c>
      <c r="L682" s="1" t="str">
        <f>"2017-04-08 10:09:04"</f>
        <v>2017-04-08 10:09:04</v>
      </c>
      <c r="M682" s="2">
        <v>3.425925925925926E-3</v>
      </c>
      <c r="N682" s="1" t="s">
        <v>26</v>
      </c>
      <c r="O682" s="1" t="s">
        <v>27</v>
      </c>
      <c r="P682" s="2">
        <v>3.5185185185185185E-3</v>
      </c>
      <c r="Q682" s="1" t="s">
        <v>599</v>
      </c>
      <c r="R682" s="1">
        <v>0</v>
      </c>
      <c r="S682" s="1" t="str">
        <f>""</f>
        <v/>
      </c>
      <c r="T682" s="1" t="s">
        <v>29</v>
      </c>
      <c r="U682" s="1" t="s">
        <v>30</v>
      </c>
      <c r="V682" s="1">
        <v>0</v>
      </c>
    </row>
    <row r="683" spans="2:22" x14ac:dyDescent="0.15">
      <c r="B683" s="1" t="str">
        <f>"135****9478"</f>
        <v>135****9478</v>
      </c>
      <c r="C683" s="1" t="s">
        <v>23</v>
      </c>
      <c r="D683" s="1" t="str">
        <f t="shared" si="74"/>
        <v>89177328</v>
      </c>
      <c r="E683" s="1" t="s">
        <v>24</v>
      </c>
      <c r="F683" s="1" t="str">
        <f t="shared" si="75"/>
        <v>0010</v>
      </c>
      <c r="G683" s="1" t="str">
        <f>""</f>
        <v/>
      </c>
      <c r="H683" s="1" t="str">
        <f>"0036"</f>
        <v>0036</v>
      </c>
      <c r="I683" s="1" t="s">
        <v>143</v>
      </c>
      <c r="J683" s="1" t="str">
        <f>"01043977573"</f>
        <v>01043977573</v>
      </c>
      <c r="K683" s="1" t="str">
        <f>"2017-04-08 09:50:59"</f>
        <v>2017-04-08 09:50:59</v>
      </c>
      <c r="L683" s="1" t="str">
        <f>"2017-04-08 09:51:04"</f>
        <v>2017-04-08 09:51:04</v>
      </c>
      <c r="M683" s="2">
        <v>1.7638888888888888E-2</v>
      </c>
      <c r="N683" s="1" t="s">
        <v>26</v>
      </c>
      <c r="O683" s="1" t="s">
        <v>27</v>
      </c>
      <c r="P683" s="2">
        <v>1.7696759259259259E-2</v>
      </c>
      <c r="Q683" s="1" t="s">
        <v>600</v>
      </c>
      <c r="R683" s="1">
        <v>0</v>
      </c>
      <c r="S683" s="1" t="str">
        <f>""</f>
        <v/>
      </c>
      <c r="T683" s="1" t="s">
        <v>29</v>
      </c>
      <c r="U683" s="1" t="s">
        <v>30</v>
      </c>
      <c r="V683" s="1">
        <v>0</v>
      </c>
    </row>
    <row r="684" spans="2:22" x14ac:dyDescent="0.15">
      <c r="B684" s="1" t="str">
        <f>"189****9965"</f>
        <v>189****9965</v>
      </c>
      <c r="C684" s="1" t="s">
        <v>137</v>
      </c>
      <c r="D684" s="1" t="str">
        <f t="shared" si="74"/>
        <v>89177328</v>
      </c>
      <c r="E684" s="1" t="s">
        <v>24</v>
      </c>
      <c r="F684" s="1" t="str">
        <f t="shared" si="75"/>
        <v>0010</v>
      </c>
      <c r="G684" s="1" t="str">
        <f>""</f>
        <v/>
      </c>
      <c r="H684" s="1" t="str">
        <f>"0031"</f>
        <v>0031</v>
      </c>
      <c r="I684" s="1" t="s">
        <v>95</v>
      </c>
      <c r="J684" s="1" t="str">
        <f>"01043977565"</f>
        <v>01043977565</v>
      </c>
      <c r="K684" s="1" t="str">
        <f>"2017-04-08 09:46:29"</f>
        <v>2017-04-08 09:46:29</v>
      </c>
      <c r="L684" s="1" t="str">
        <f>"2017-04-08 09:46:35"</f>
        <v>2017-04-08 09:46:35</v>
      </c>
      <c r="M684" s="2">
        <v>1.7407407407407406E-2</v>
      </c>
      <c r="N684" s="1" t="s">
        <v>26</v>
      </c>
      <c r="O684" s="1" t="s">
        <v>27</v>
      </c>
      <c r="P684" s="2">
        <v>1.7476851851851851E-2</v>
      </c>
      <c r="Q684" s="1" t="s">
        <v>601</v>
      </c>
      <c r="R684" s="1">
        <v>0</v>
      </c>
      <c r="S684" s="1" t="str">
        <f>""</f>
        <v/>
      </c>
      <c r="T684" s="1" t="s">
        <v>29</v>
      </c>
      <c r="U684" s="1" t="s">
        <v>30</v>
      </c>
      <c r="V684" s="1">
        <v>0</v>
      </c>
    </row>
    <row r="685" spans="2:22" x14ac:dyDescent="0.15">
      <c r="B685" s="1" t="str">
        <f>"137****1347"</f>
        <v>137****1347</v>
      </c>
      <c r="C685" s="1" t="s">
        <v>23</v>
      </c>
      <c r="D685" s="1" t="str">
        <f t="shared" si="74"/>
        <v>89177328</v>
      </c>
      <c r="E685" s="1" t="s">
        <v>24</v>
      </c>
      <c r="F685" s="1" t="str">
        <f t="shared" si="75"/>
        <v>0010</v>
      </c>
      <c r="G685" s="1" t="str">
        <f>""</f>
        <v/>
      </c>
      <c r="H685" s="1" t="str">
        <f>""</f>
        <v/>
      </c>
      <c r="I685" s="1" t="str">
        <f>""</f>
        <v/>
      </c>
      <c r="J685" s="1" t="str">
        <f>""</f>
        <v/>
      </c>
      <c r="K685" s="1" t="str">
        <f>"2017-04-08 09:33:46"</f>
        <v>2017-04-08 09:33:46</v>
      </c>
      <c r="L685" s="1" t="str">
        <f>"-"</f>
        <v>-</v>
      </c>
      <c r="M685" s="2">
        <v>0</v>
      </c>
      <c r="N685" s="1" t="s">
        <v>55</v>
      </c>
      <c r="O685" s="1" t="s">
        <v>27</v>
      </c>
      <c r="P685" s="2">
        <v>3.5185185185185185E-3</v>
      </c>
      <c r="Q685" s="1" t="str">
        <f>""</f>
        <v/>
      </c>
      <c r="R685" s="1">
        <v>0</v>
      </c>
      <c r="S685" s="1" t="str">
        <f>""</f>
        <v/>
      </c>
      <c r="T685" s="1" t="s">
        <v>29</v>
      </c>
      <c r="U685" s="1" t="s">
        <v>30</v>
      </c>
      <c r="V685" s="1">
        <v>0</v>
      </c>
    </row>
    <row r="686" spans="2:22" x14ac:dyDescent="0.15">
      <c r="B686" s="1" t="str">
        <f>"155****8010"</f>
        <v>155****8010</v>
      </c>
      <c r="C686" s="1" t="s">
        <v>157</v>
      </c>
      <c r="D686" s="1" t="str">
        <f t="shared" si="74"/>
        <v>89177328</v>
      </c>
      <c r="E686" s="1" t="s">
        <v>24</v>
      </c>
      <c r="F686" s="1" t="str">
        <f t="shared" si="75"/>
        <v>0010</v>
      </c>
      <c r="G686" s="1" t="str">
        <f>""</f>
        <v/>
      </c>
      <c r="H686" s="1" t="str">
        <f>"0031"</f>
        <v>0031</v>
      </c>
      <c r="I686" s="1" t="s">
        <v>95</v>
      </c>
      <c r="J686" s="1" t="str">
        <f>"01043977565"</f>
        <v>01043977565</v>
      </c>
      <c r="K686" s="1" t="str">
        <f>"2017-04-08 09:32:55"</f>
        <v>2017-04-08 09:32:55</v>
      </c>
      <c r="L686" s="1" t="str">
        <f>"2017-04-08 09:33:01"</f>
        <v>2017-04-08 09:33:01</v>
      </c>
      <c r="M686" s="2">
        <v>7.8240740740740753E-3</v>
      </c>
      <c r="N686" s="1" t="s">
        <v>26</v>
      </c>
      <c r="O686" s="1" t="s">
        <v>27</v>
      </c>
      <c r="P686" s="2">
        <v>7.8935185185185185E-3</v>
      </c>
      <c r="Q686" s="1" t="s">
        <v>602</v>
      </c>
      <c r="R686" s="1">
        <v>0</v>
      </c>
      <c r="S686" s="1" t="str">
        <f>""</f>
        <v/>
      </c>
      <c r="T686" s="1" t="s">
        <v>29</v>
      </c>
      <c r="U686" s="1" t="s">
        <v>30</v>
      </c>
      <c r="V686" s="1">
        <v>0</v>
      </c>
    </row>
    <row r="687" spans="2:22" x14ac:dyDescent="0.15">
      <c r="B687" s="1" t="str">
        <f>"180****1667"</f>
        <v>180****1667</v>
      </c>
      <c r="C687" s="1" t="s">
        <v>487</v>
      </c>
      <c r="D687" s="1" t="str">
        <f t="shared" si="74"/>
        <v>89177328</v>
      </c>
      <c r="E687" s="1" t="s">
        <v>24</v>
      </c>
      <c r="F687" s="1" t="str">
        <f t="shared" si="75"/>
        <v>0010</v>
      </c>
      <c r="G687" s="1" t="str">
        <f>""</f>
        <v/>
      </c>
      <c r="H687" s="1" t="str">
        <f>"0033"</f>
        <v>0033</v>
      </c>
      <c r="I687" s="1" t="s">
        <v>106</v>
      </c>
      <c r="J687" s="1" t="str">
        <f>"01043977568"</f>
        <v>01043977568</v>
      </c>
      <c r="K687" s="1" t="str">
        <f>"2017-04-08 09:27:25"</f>
        <v>2017-04-08 09:27:25</v>
      </c>
      <c r="L687" s="1" t="str">
        <f>"2017-04-08 09:27:35"</f>
        <v>2017-04-08 09:27:35</v>
      </c>
      <c r="M687" s="2">
        <v>1.230324074074074E-2</v>
      </c>
      <c r="N687" s="1" t="s">
        <v>26</v>
      </c>
      <c r="O687" s="1" t="s">
        <v>27</v>
      </c>
      <c r="P687" s="2">
        <v>1.2418981481481482E-2</v>
      </c>
      <c r="Q687" s="1" t="s">
        <v>603</v>
      </c>
      <c r="R687" s="1">
        <v>0</v>
      </c>
      <c r="S687" s="1" t="str">
        <f>""</f>
        <v/>
      </c>
      <c r="T687" s="1" t="s">
        <v>29</v>
      </c>
      <c r="U687" s="1" t="s">
        <v>30</v>
      </c>
      <c r="V687" s="1">
        <v>0</v>
      </c>
    </row>
    <row r="688" spans="2:22" x14ac:dyDescent="0.15">
      <c r="B688" s="1" t="str">
        <f>"185****8038"</f>
        <v>185****8038</v>
      </c>
      <c r="C688" s="1" t="s">
        <v>44</v>
      </c>
      <c r="D688" s="1" t="str">
        <f t="shared" si="74"/>
        <v>89177328</v>
      </c>
      <c r="E688" s="1" t="s">
        <v>24</v>
      </c>
      <c r="F688" s="1" t="str">
        <f t="shared" si="75"/>
        <v>0010</v>
      </c>
      <c r="G688" s="1" t="str">
        <f>""</f>
        <v/>
      </c>
      <c r="H688" s="1" t="str">
        <f>"0036"</f>
        <v>0036</v>
      </c>
      <c r="I688" s="1" t="s">
        <v>143</v>
      </c>
      <c r="J688" s="1" t="str">
        <f>"01043977573"</f>
        <v>01043977573</v>
      </c>
      <c r="K688" s="1" t="str">
        <f>"2017-04-08 09:24:26"</f>
        <v>2017-04-08 09:24:26</v>
      </c>
      <c r="L688" s="1" t="str">
        <f>"2017-04-08 09:24:33"</f>
        <v>2017-04-08 09:24:33</v>
      </c>
      <c r="M688" s="2">
        <v>1.2719907407407407E-2</v>
      </c>
      <c r="N688" s="1" t="s">
        <v>26</v>
      </c>
      <c r="O688" s="1" t="s">
        <v>27</v>
      </c>
      <c r="P688" s="2">
        <v>1.2800925925925926E-2</v>
      </c>
      <c r="Q688" s="1" t="s">
        <v>604</v>
      </c>
      <c r="R688" s="1">
        <v>0</v>
      </c>
      <c r="S688" s="1" t="str">
        <f>""</f>
        <v/>
      </c>
      <c r="T688" s="1" t="s">
        <v>29</v>
      </c>
      <c r="U688" s="1" t="s">
        <v>30</v>
      </c>
      <c r="V688" s="1">
        <v>0</v>
      </c>
    </row>
    <row r="689" spans="2:22" x14ac:dyDescent="0.15">
      <c r="B689" s="1" t="str">
        <f>"116114"</f>
        <v>116114</v>
      </c>
      <c r="C689" s="1" t="s">
        <v>159</v>
      </c>
      <c r="D689" s="1" t="str">
        <f t="shared" si="74"/>
        <v>89177328</v>
      </c>
      <c r="E689" s="1" t="s">
        <v>24</v>
      </c>
      <c r="F689" s="1" t="str">
        <f t="shared" si="75"/>
        <v>0010</v>
      </c>
      <c r="G689" s="1" t="str">
        <f>""</f>
        <v/>
      </c>
      <c r="H689" s="1" t="str">
        <f>"0033"</f>
        <v>0033</v>
      </c>
      <c r="I689" s="1" t="s">
        <v>106</v>
      </c>
      <c r="J689" s="1" t="str">
        <f>"01043977568"</f>
        <v>01043977568</v>
      </c>
      <c r="K689" s="1" t="str">
        <f>"2017-04-08 08:53:27"</f>
        <v>2017-04-08 08:53:27</v>
      </c>
      <c r="L689" s="1" t="str">
        <f>"2017-04-08 08:53:39"</f>
        <v>2017-04-08 08:53:39</v>
      </c>
      <c r="M689" s="2">
        <v>3.8194444444444446E-4</v>
      </c>
      <c r="N689" s="1" t="s">
        <v>26</v>
      </c>
      <c r="O689" s="1" t="s">
        <v>27</v>
      </c>
      <c r="P689" s="2">
        <v>5.2083333333333333E-4</v>
      </c>
      <c r="Q689" s="1" t="s">
        <v>605</v>
      </c>
      <c r="R689" s="1">
        <v>0</v>
      </c>
      <c r="S689" s="1" t="str">
        <f>""</f>
        <v/>
      </c>
      <c r="T689" s="1" t="s">
        <v>29</v>
      </c>
      <c r="U689" s="1" t="s">
        <v>30</v>
      </c>
      <c r="V689" s="1">
        <v>0</v>
      </c>
    </row>
    <row r="690" spans="2:22" x14ac:dyDescent="0.15">
      <c r="B690" s="1" t="str">
        <f>"130****7745"</f>
        <v>130****7745</v>
      </c>
      <c r="C690" s="1" t="s">
        <v>23</v>
      </c>
      <c r="D690" s="1" t="str">
        <f t="shared" si="74"/>
        <v>89177328</v>
      </c>
      <c r="E690" s="1" t="s">
        <v>24</v>
      </c>
      <c r="F690" s="1" t="str">
        <f t="shared" si="75"/>
        <v>0010</v>
      </c>
      <c r="G690" s="1" t="str">
        <f>""</f>
        <v/>
      </c>
      <c r="H690" s="1" t="str">
        <f>"0036"</f>
        <v>0036</v>
      </c>
      <c r="I690" s="1" t="s">
        <v>143</v>
      </c>
      <c r="J690" s="1" t="str">
        <f>"01043977573"</f>
        <v>01043977573</v>
      </c>
      <c r="K690" s="1" t="str">
        <f>"2017-04-08 08:48:41"</f>
        <v>2017-04-08 08:48:41</v>
      </c>
      <c r="L690" s="1" t="str">
        <f>"2017-04-08 08:48:48"</f>
        <v>2017-04-08 08:48:48</v>
      </c>
      <c r="M690" s="2">
        <v>9.1782407407407403E-3</v>
      </c>
      <c r="N690" s="1" t="s">
        <v>26</v>
      </c>
      <c r="O690" s="1" t="s">
        <v>27</v>
      </c>
      <c r="P690" s="2">
        <v>9.2592592592592605E-3</v>
      </c>
      <c r="Q690" s="1" t="s">
        <v>606</v>
      </c>
      <c r="R690" s="1">
        <v>0</v>
      </c>
      <c r="S690" s="1" t="str">
        <f>""</f>
        <v/>
      </c>
      <c r="T690" s="1" t="s">
        <v>29</v>
      </c>
      <c r="U690" s="1" t="s">
        <v>30</v>
      </c>
      <c r="V690" s="1">
        <v>0</v>
      </c>
    </row>
    <row r="691" spans="2:22" x14ac:dyDescent="0.15">
      <c r="B691" s="1" t="str">
        <f>"159****8626"</f>
        <v>159****8626</v>
      </c>
      <c r="C691" s="1" t="s">
        <v>78</v>
      </c>
      <c r="D691" s="1" t="str">
        <f t="shared" si="74"/>
        <v>89177328</v>
      </c>
      <c r="E691" s="1" t="s">
        <v>24</v>
      </c>
      <c r="F691" s="1" t="str">
        <f t="shared" si="75"/>
        <v>0010</v>
      </c>
      <c r="G691" s="1" t="str">
        <f>""</f>
        <v/>
      </c>
      <c r="H691" s="1" t="str">
        <f>"0033"</f>
        <v>0033</v>
      </c>
      <c r="I691" s="1" t="s">
        <v>106</v>
      </c>
      <c r="J691" s="1" t="str">
        <f>"01043977567"</f>
        <v>01043977567</v>
      </c>
      <c r="K691" s="1" t="str">
        <f>"2017-04-08 08:29:26"</f>
        <v>2017-04-08 08:29:26</v>
      </c>
      <c r="L691" s="1" t="str">
        <f>"2017-04-08 08:29:36"</f>
        <v>2017-04-08 08:29:36</v>
      </c>
      <c r="M691" s="2">
        <v>1.2418981481481482E-2</v>
      </c>
      <c r="N691" s="1" t="s">
        <v>26</v>
      </c>
      <c r="O691" s="1" t="s">
        <v>27</v>
      </c>
      <c r="P691" s="2">
        <v>1.2534722222222223E-2</v>
      </c>
      <c r="Q691" s="1" t="s">
        <v>607</v>
      </c>
      <c r="R691" s="1">
        <v>0</v>
      </c>
      <c r="S691" s="1" t="str">
        <f>""</f>
        <v/>
      </c>
      <c r="T691" s="1" t="s">
        <v>29</v>
      </c>
      <c r="U691" s="1" t="s">
        <v>30</v>
      </c>
      <c r="V691" s="1">
        <v>0</v>
      </c>
    </row>
    <row r="692" spans="2:22" x14ac:dyDescent="0.15">
      <c r="B692" s="1" t="str">
        <f>"130****2489"</f>
        <v>130****2489</v>
      </c>
      <c r="C692" s="1" t="s">
        <v>23</v>
      </c>
      <c r="D692" s="1" t="str">
        <f t="shared" si="74"/>
        <v>89177328</v>
      </c>
      <c r="E692" s="1" t="s">
        <v>24</v>
      </c>
      <c r="F692" s="1" t="str">
        <f t="shared" si="75"/>
        <v>0010</v>
      </c>
      <c r="G692" s="1" t="str">
        <f>""</f>
        <v/>
      </c>
      <c r="H692" s="1" t="str">
        <f>"0033"</f>
        <v>0033</v>
      </c>
      <c r="I692" s="1" t="s">
        <v>106</v>
      </c>
      <c r="J692" s="1" t="str">
        <f>"01043977567"</f>
        <v>01043977567</v>
      </c>
      <c r="K692" s="1" t="str">
        <f>"2017-04-08 08:24:39"</f>
        <v>2017-04-08 08:24:39</v>
      </c>
      <c r="L692" s="1" t="str">
        <f>"-"</f>
        <v>-</v>
      </c>
      <c r="M692" s="2">
        <v>0</v>
      </c>
      <c r="N692" s="1" t="s">
        <v>33</v>
      </c>
      <c r="O692" s="1" t="s">
        <v>34</v>
      </c>
      <c r="P692" s="2">
        <v>1.1574074074074073E-5</v>
      </c>
      <c r="Q692" s="1" t="str">
        <f>""</f>
        <v/>
      </c>
      <c r="R692" s="1">
        <v>0</v>
      </c>
      <c r="S692" s="1" t="str">
        <f>""</f>
        <v/>
      </c>
      <c r="T692" s="1" t="s">
        <v>29</v>
      </c>
      <c r="U692" s="1" t="s">
        <v>30</v>
      </c>
      <c r="V692" s="1">
        <v>0</v>
      </c>
    </row>
    <row r="693" spans="2:22" x14ac:dyDescent="0.15">
      <c r="B693" s="1" t="str">
        <f>"185****6618"</f>
        <v>185****6618</v>
      </c>
      <c r="C693" s="1" t="s">
        <v>23</v>
      </c>
      <c r="D693" s="1" t="str">
        <f t="shared" si="74"/>
        <v>89177328</v>
      </c>
      <c r="E693" s="1" t="s">
        <v>24</v>
      </c>
      <c r="F693" s="1" t="str">
        <f t="shared" si="75"/>
        <v>0010</v>
      </c>
      <c r="G693" s="1" t="str">
        <f>""</f>
        <v/>
      </c>
      <c r="H693" s="1" t="str">
        <f>"0036"</f>
        <v>0036</v>
      </c>
      <c r="I693" s="1" t="s">
        <v>143</v>
      </c>
      <c r="J693" s="1" t="str">
        <f>"01043977573"</f>
        <v>01043977573</v>
      </c>
      <c r="K693" s="1" t="str">
        <f>"2017-04-08 08:14:18"</f>
        <v>2017-04-08 08:14:18</v>
      </c>
      <c r="L693" s="1" t="str">
        <f>"2017-04-08 08:14:25"</f>
        <v>2017-04-08 08:14:25</v>
      </c>
      <c r="M693" s="2">
        <v>1.2685185185185183E-2</v>
      </c>
      <c r="N693" s="1" t="s">
        <v>26</v>
      </c>
      <c r="O693" s="1" t="s">
        <v>34</v>
      </c>
      <c r="P693" s="2">
        <v>1.2766203703703703E-2</v>
      </c>
      <c r="Q693" s="1" t="s">
        <v>608</v>
      </c>
      <c r="R693" s="1">
        <v>0</v>
      </c>
      <c r="S693" s="1" t="str">
        <f>""</f>
        <v/>
      </c>
      <c r="T693" s="1" t="s">
        <v>29</v>
      </c>
      <c r="U693" s="1" t="s">
        <v>30</v>
      </c>
      <c r="V693" s="1">
        <v>0</v>
      </c>
    </row>
    <row r="694" spans="2:22" x14ac:dyDescent="0.15">
      <c r="B694" s="1" t="str">
        <f>"186****1106"</f>
        <v>186****1106</v>
      </c>
      <c r="C694" s="1" t="s">
        <v>609</v>
      </c>
      <c r="D694" s="1" t="str">
        <f t="shared" si="74"/>
        <v>89177328</v>
      </c>
      <c r="E694" s="1" t="s">
        <v>181</v>
      </c>
      <c r="F694" s="1" t="str">
        <f>""</f>
        <v/>
      </c>
      <c r="G694" s="1" t="str">
        <f>""</f>
        <v/>
      </c>
      <c r="H694" s="1" t="str">
        <f>""</f>
        <v/>
      </c>
      <c r="I694" s="1" t="str">
        <f>""</f>
        <v/>
      </c>
      <c r="J694" s="1" t="str">
        <f>""</f>
        <v/>
      </c>
      <c r="K694" s="1" t="str">
        <f>"2017-04-08 07:04:29"</f>
        <v>2017-04-08 07:04:29</v>
      </c>
      <c r="L694" s="1" t="str">
        <f>"2017-04-08 07:04:39"</f>
        <v>2017-04-08 07:04:39</v>
      </c>
      <c r="M694" s="2">
        <v>0</v>
      </c>
      <c r="N694" s="1" t="s">
        <v>55</v>
      </c>
      <c r="O694" s="1" t="s">
        <v>27</v>
      </c>
      <c r="P694" s="2">
        <v>1.8518518518518518E-4</v>
      </c>
      <c r="Q694" s="1" t="str">
        <f>""</f>
        <v/>
      </c>
      <c r="R694" s="1">
        <v>0</v>
      </c>
      <c r="S694" s="1" t="str">
        <f>""</f>
        <v/>
      </c>
      <c r="T694" s="1" t="s">
        <v>183</v>
      </c>
      <c r="U694" s="1" t="s">
        <v>30</v>
      </c>
      <c r="V694" s="1">
        <v>0</v>
      </c>
    </row>
    <row r="695" spans="2:22" x14ac:dyDescent="0.15">
      <c r="B695" s="1" t="str">
        <f>"136****3927"</f>
        <v>136****3927</v>
      </c>
      <c r="C695" s="1" t="s">
        <v>23</v>
      </c>
      <c r="D695" s="1" t="str">
        <f t="shared" si="74"/>
        <v>89177328</v>
      </c>
      <c r="E695" s="1" t="s">
        <v>24</v>
      </c>
      <c r="F695" s="1" t="str">
        <f t="shared" ref="F695:F702" si="76">"0010"</f>
        <v>0010</v>
      </c>
      <c r="G695" s="1" t="str">
        <f>""</f>
        <v/>
      </c>
      <c r="H695" s="1" t="str">
        <f>"0010"</f>
        <v>0010</v>
      </c>
      <c r="I695" s="1" t="s">
        <v>71</v>
      </c>
      <c r="J695" s="1" t="str">
        <f>"01043977571"</f>
        <v>01043977571</v>
      </c>
      <c r="K695" s="1" t="str">
        <f>"2017-04-07 19:59:07"</f>
        <v>2017-04-07 19:59:07</v>
      </c>
      <c r="L695" s="1" t="str">
        <f>"2017-04-07 19:59:20"</f>
        <v>2017-04-07 19:59:20</v>
      </c>
      <c r="M695" s="2">
        <v>1.621527777777778E-2</v>
      </c>
      <c r="N695" s="1" t="s">
        <v>26</v>
      </c>
      <c r="O695" s="1" t="s">
        <v>34</v>
      </c>
      <c r="P695" s="2">
        <v>1.636574074074074E-2</v>
      </c>
      <c r="Q695" s="1" t="s">
        <v>610</v>
      </c>
      <c r="R695" s="1">
        <v>0</v>
      </c>
      <c r="S695" s="1" t="str">
        <f>""</f>
        <v/>
      </c>
      <c r="T695" s="1" t="s">
        <v>29</v>
      </c>
      <c r="U695" s="1" t="s">
        <v>30</v>
      </c>
      <c r="V695" s="1">
        <v>0</v>
      </c>
    </row>
    <row r="696" spans="2:22" x14ac:dyDescent="0.15">
      <c r="B696" s="1" t="str">
        <f>"135****0057"</f>
        <v>135****0057</v>
      </c>
      <c r="C696" s="1" t="s">
        <v>23</v>
      </c>
      <c r="D696" s="1" t="str">
        <f t="shared" si="74"/>
        <v>89177328</v>
      </c>
      <c r="E696" s="1" t="s">
        <v>24</v>
      </c>
      <c r="F696" s="1" t="str">
        <f t="shared" si="76"/>
        <v>0010</v>
      </c>
      <c r="G696" s="1" t="str">
        <f>""</f>
        <v/>
      </c>
      <c r="H696" s="1" t="str">
        <f>"0010"</f>
        <v>0010</v>
      </c>
      <c r="I696" s="1" t="s">
        <v>71</v>
      </c>
      <c r="J696" s="1" t="str">
        <f>"01043977571"</f>
        <v>01043977571</v>
      </c>
      <c r="K696" s="1" t="str">
        <f>"2017-04-07 19:50:48"</f>
        <v>2017-04-07 19:50:48</v>
      </c>
      <c r="L696" s="1" t="str">
        <f>"-"</f>
        <v>-</v>
      </c>
      <c r="M696" s="2">
        <v>0</v>
      </c>
      <c r="N696" s="1" t="s">
        <v>33</v>
      </c>
      <c r="O696" s="1" t="s">
        <v>34</v>
      </c>
      <c r="P696" s="2">
        <v>2.3148148148148147E-5</v>
      </c>
      <c r="Q696" s="1" t="str">
        <f>""</f>
        <v/>
      </c>
      <c r="R696" s="1">
        <v>0</v>
      </c>
      <c r="S696" s="1" t="str">
        <f>""</f>
        <v/>
      </c>
      <c r="T696" s="1" t="s">
        <v>29</v>
      </c>
      <c r="U696" s="1" t="s">
        <v>30</v>
      </c>
      <c r="V696" s="1">
        <v>0</v>
      </c>
    </row>
    <row r="697" spans="2:22" x14ac:dyDescent="0.15">
      <c r="B697" s="1" t="str">
        <f>"183****6031"</f>
        <v>183****6031</v>
      </c>
      <c r="C697" s="1" t="s">
        <v>23</v>
      </c>
      <c r="D697" s="1" t="str">
        <f t="shared" si="74"/>
        <v>89177328</v>
      </c>
      <c r="E697" s="1" t="s">
        <v>24</v>
      </c>
      <c r="F697" s="1" t="str">
        <f t="shared" si="76"/>
        <v>0010</v>
      </c>
      <c r="G697" s="1" t="str">
        <f>""</f>
        <v/>
      </c>
      <c r="H697" s="1" t="str">
        <f>"0018"</f>
        <v>0018</v>
      </c>
      <c r="I697" s="1" t="s">
        <v>36</v>
      </c>
      <c r="J697" s="1" t="str">
        <f>"01043977572"</f>
        <v>01043977572</v>
      </c>
      <c r="K697" s="1" t="str">
        <f>"2017-04-07 19:42:53"</f>
        <v>2017-04-07 19:42:53</v>
      </c>
      <c r="L697" s="1" t="str">
        <f>"2017-04-07 19:43:00"</f>
        <v>2017-04-07 19:43:00</v>
      </c>
      <c r="M697" s="2">
        <v>5.138888888888889E-3</v>
      </c>
      <c r="N697" s="1" t="s">
        <v>26</v>
      </c>
      <c r="O697" s="1" t="s">
        <v>34</v>
      </c>
      <c r="P697" s="2">
        <v>5.2199074074074066E-3</v>
      </c>
      <c r="Q697" s="1" t="s">
        <v>611</v>
      </c>
      <c r="R697" s="1">
        <v>0</v>
      </c>
      <c r="S697" s="1" t="str">
        <f>""</f>
        <v/>
      </c>
      <c r="T697" s="1" t="s">
        <v>29</v>
      </c>
      <c r="U697" s="1" t="s">
        <v>30</v>
      </c>
      <c r="V697" s="1">
        <v>0</v>
      </c>
    </row>
    <row r="698" spans="2:22" x14ac:dyDescent="0.15">
      <c r="B698" s="1" t="str">
        <f>"139****5212"</f>
        <v>139****5212</v>
      </c>
      <c r="C698" s="1" t="s">
        <v>23</v>
      </c>
      <c r="D698" s="1" t="str">
        <f t="shared" si="74"/>
        <v>89177328</v>
      </c>
      <c r="E698" s="1" t="s">
        <v>24</v>
      </c>
      <c r="F698" s="1" t="str">
        <f t="shared" si="76"/>
        <v>0010</v>
      </c>
      <c r="G698" s="1" t="str">
        <f>""</f>
        <v/>
      </c>
      <c r="H698" s="1" t="str">
        <f>"0012"</f>
        <v>0012</v>
      </c>
      <c r="I698" s="1" t="s">
        <v>612</v>
      </c>
      <c r="J698" s="1" t="str">
        <f>"01043989720"</f>
        <v>01043989720</v>
      </c>
      <c r="K698" s="1" t="str">
        <f>"2017-04-07 19:39:02"</f>
        <v>2017-04-07 19:39:02</v>
      </c>
      <c r="L698" s="1" t="str">
        <f>"2017-04-07 19:39:15"</f>
        <v>2017-04-07 19:39:15</v>
      </c>
      <c r="M698" s="2">
        <v>1.4444444444444446E-2</v>
      </c>
      <c r="N698" s="1" t="s">
        <v>26</v>
      </c>
      <c r="O698" s="1" t="s">
        <v>34</v>
      </c>
      <c r="P698" s="2">
        <v>1.4594907407407405E-2</v>
      </c>
      <c r="Q698" s="1" t="s">
        <v>613</v>
      </c>
      <c r="R698" s="1">
        <v>0</v>
      </c>
      <c r="S698" s="1" t="str">
        <f>""</f>
        <v/>
      </c>
      <c r="T698" s="1" t="s">
        <v>29</v>
      </c>
      <c r="U698" s="1" t="s">
        <v>30</v>
      </c>
      <c r="V698" s="1">
        <v>0</v>
      </c>
    </row>
    <row r="699" spans="2:22" x14ac:dyDescent="0.15">
      <c r="B699" s="1" t="str">
        <f>"137****6892"</f>
        <v>137****6892</v>
      </c>
      <c r="C699" s="1" t="s">
        <v>23</v>
      </c>
      <c r="D699" s="1" t="str">
        <f t="shared" si="74"/>
        <v>89177328</v>
      </c>
      <c r="E699" s="1" t="s">
        <v>24</v>
      </c>
      <c r="F699" s="1" t="str">
        <f t="shared" si="76"/>
        <v>0010</v>
      </c>
      <c r="G699" s="1" t="str">
        <f>""</f>
        <v/>
      </c>
      <c r="H699" s="1" t="str">
        <f>"0018"</f>
        <v>0018</v>
      </c>
      <c r="I699" s="1" t="s">
        <v>36</v>
      </c>
      <c r="J699" s="1" t="str">
        <f>"01043977572"</f>
        <v>01043977572</v>
      </c>
      <c r="K699" s="1" t="str">
        <f>"2017-04-07 19:26:03"</f>
        <v>2017-04-07 19:26:03</v>
      </c>
      <c r="L699" s="1" t="str">
        <f>"-"</f>
        <v>-</v>
      </c>
      <c r="M699" s="2">
        <v>0</v>
      </c>
      <c r="N699" s="1" t="s">
        <v>33</v>
      </c>
      <c r="O699" s="1" t="s">
        <v>34</v>
      </c>
      <c r="P699" s="2">
        <v>2.3148148148148147E-5</v>
      </c>
      <c r="Q699" s="1" t="str">
        <f>""</f>
        <v/>
      </c>
      <c r="R699" s="1">
        <v>0</v>
      </c>
      <c r="S699" s="1" t="str">
        <f>""</f>
        <v/>
      </c>
      <c r="T699" s="1" t="s">
        <v>29</v>
      </c>
      <c r="U699" s="1" t="s">
        <v>30</v>
      </c>
      <c r="V699" s="1">
        <v>0</v>
      </c>
    </row>
    <row r="700" spans="2:22" x14ac:dyDescent="0.15">
      <c r="B700" s="1" t="str">
        <f>"188****5763"</f>
        <v>188****5763</v>
      </c>
      <c r="C700" s="1" t="s">
        <v>23</v>
      </c>
      <c r="D700" s="1" t="str">
        <f t="shared" si="74"/>
        <v>89177328</v>
      </c>
      <c r="E700" s="1" t="s">
        <v>24</v>
      </c>
      <c r="F700" s="1" t="str">
        <f t="shared" si="76"/>
        <v>0010</v>
      </c>
      <c r="G700" s="1" t="str">
        <f>""</f>
        <v/>
      </c>
      <c r="H700" s="1" t="str">
        <f>"0012"</f>
        <v>0012</v>
      </c>
      <c r="I700" s="1" t="s">
        <v>612</v>
      </c>
      <c r="J700" s="1" t="str">
        <f>"01043989720"</f>
        <v>01043989720</v>
      </c>
      <c r="K700" s="1" t="str">
        <f>"2017-04-07 19:11:22"</f>
        <v>2017-04-07 19:11:22</v>
      </c>
      <c r="L700" s="1" t="str">
        <f>"2017-04-07 19:11:33"</f>
        <v>2017-04-07 19:11:33</v>
      </c>
      <c r="M700" s="2">
        <v>3.37962962962963E-3</v>
      </c>
      <c r="N700" s="1" t="s">
        <v>26</v>
      </c>
      <c r="O700" s="1" t="s">
        <v>34</v>
      </c>
      <c r="P700" s="2">
        <v>3.5069444444444445E-3</v>
      </c>
      <c r="Q700" s="1" t="s">
        <v>614</v>
      </c>
      <c r="R700" s="1">
        <v>0</v>
      </c>
      <c r="S700" s="1" t="str">
        <f>""</f>
        <v/>
      </c>
      <c r="T700" s="1" t="s">
        <v>29</v>
      </c>
      <c r="U700" s="1" t="s">
        <v>30</v>
      </c>
      <c r="V700" s="1">
        <v>0</v>
      </c>
    </row>
    <row r="701" spans="2:22" x14ac:dyDescent="0.15">
      <c r="B701" s="1" t="str">
        <f>"186****5079"</f>
        <v>186****5079</v>
      </c>
      <c r="C701" s="1" t="s">
        <v>23</v>
      </c>
      <c r="D701" s="1" t="str">
        <f t="shared" si="74"/>
        <v>89177328</v>
      </c>
      <c r="E701" s="1" t="s">
        <v>24</v>
      </c>
      <c r="F701" s="1" t="str">
        <f t="shared" si="76"/>
        <v>0010</v>
      </c>
      <c r="G701" s="1" t="str">
        <f>""</f>
        <v/>
      </c>
      <c r="H701" s="1" t="str">
        <f>"0036"</f>
        <v>0036</v>
      </c>
      <c r="I701" s="1" t="s">
        <v>143</v>
      </c>
      <c r="J701" s="1" t="str">
        <f>"01043977573"</f>
        <v>01043977573</v>
      </c>
      <c r="K701" s="1" t="str">
        <f>"2017-04-07 18:49:05"</f>
        <v>2017-04-07 18:49:05</v>
      </c>
      <c r="L701" s="1" t="str">
        <f>"2017-04-07 18:49:10"</f>
        <v>2017-04-07 18:49:10</v>
      </c>
      <c r="M701" s="2">
        <v>2.0208333333333335E-2</v>
      </c>
      <c r="N701" s="1" t="s">
        <v>26</v>
      </c>
      <c r="O701" s="1" t="s">
        <v>34</v>
      </c>
      <c r="P701" s="2">
        <v>2.0266203703703703E-2</v>
      </c>
      <c r="Q701" s="1" t="s">
        <v>615</v>
      </c>
      <c r="R701" s="1">
        <v>0</v>
      </c>
      <c r="S701" s="1" t="str">
        <f>""</f>
        <v/>
      </c>
      <c r="T701" s="1" t="s">
        <v>29</v>
      </c>
      <c r="U701" s="1" t="s">
        <v>30</v>
      </c>
      <c r="V701" s="1">
        <v>0</v>
      </c>
    </row>
    <row r="702" spans="2:22" x14ac:dyDescent="0.15">
      <c r="B702" s="1" t="str">
        <f>"114"</f>
        <v>114</v>
      </c>
      <c r="C702" s="1" t="s">
        <v>159</v>
      </c>
      <c r="D702" s="1" t="str">
        <f t="shared" si="74"/>
        <v>89177328</v>
      </c>
      <c r="E702" s="1" t="s">
        <v>24</v>
      </c>
      <c r="F702" s="1" t="str">
        <f t="shared" si="76"/>
        <v>0010</v>
      </c>
      <c r="G702" s="1" t="str">
        <f>""</f>
        <v/>
      </c>
      <c r="H702" s="1" t="str">
        <f>"0018"</f>
        <v>0018</v>
      </c>
      <c r="I702" s="1" t="s">
        <v>36</v>
      </c>
      <c r="J702" s="1" t="str">
        <f>"01043977572"</f>
        <v>01043977572</v>
      </c>
      <c r="K702" s="1" t="str">
        <f>"2017-04-07 18:37:18"</f>
        <v>2017-04-07 18:37:18</v>
      </c>
      <c r="L702" s="1" t="str">
        <f>"2017-04-07 18:37:24"</f>
        <v>2017-04-07 18:37:24</v>
      </c>
      <c r="M702" s="2">
        <v>7.6736111111111111E-3</v>
      </c>
      <c r="N702" s="1" t="s">
        <v>26</v>
      </c>
      <c r="O702" s="1" t="s">
        <v>34</v>
      </c>
      <c r="P702" s="2">
        <v>7.743055555555556E-3</v>
      </c>
      <c r="Q702" s="1" t="s">
        <v>616</v>
      </c>
      <c r="R702" s="1">
        <v>0</v>
      </c>
      <c r="S702" s="1" t="str">
        <f>""</f>
        <v/>
      </c>
      <c r="T702" s="1" t="s">
        <v>29</v>
      </c>
      <c r="U702" s="1" t="s">
        <v>30</v>
      </c>
      <c r="V702" s="1">
        <v>0</v>
      </c>
    </row>
    <row r="703" spans="2:22" x14ac:dyDescent="0.15">
      <c r="B703" s="1" t="str">
        <f>"186****6999"</f>
        <v>186****6999</v>
      </c>
      <c r="C703" s="1" t="s">
        <v>23</v>
      </c>
      <c r="D703" s="1" t="str">
        <f>"4000108333"</f>
        <v>4000108333</v>
      </c>
      <c r="E703" s="1" t="s">
        <v>53</v>
      </c>
      <c r="F703" s="1" t="str">
        <f>"0001"</f>
        <v>0001</v>
      </c>
      <c r="G703" s="1" t="str">
        <f>""</f>
        <v/>
      </c>
      <c r="H703" s="1" t="str">
        <f>"0001"</f>
        <v>0001</v>
      </c>
      <c r="I703" s="1" t="s">
        <v>129</v>
      </c>
      <c r="J703" s="1" t="str">
        <f>"13699138136"</f>
        <v>13699138136</v>
      </c>
      <c r="K703" s="1" t="str">
        <f>"2017-04-07 18:28:16"</f>
        <v>2017-04-07 18:28:16</v>
      </c>
      <c r="L703" s="1" t="str">
        <f>"2017-04-07 18:30:50"</f>
        <v>2017-04-07 18:30:50</v>
      </c>
      <c r="M703" s="2">
        <v>6.1805555555555563E-3</v>
      </c>
      <c r="N703" s="1" t="s">
        <v>26</v>
      </c>
      <c r="O703" s="1" t="s">
        <v>27</v>
      </c>
      <c r="P703" s="2">
        <v>7.9629629629629634E-3</v>
      </c>
      <c r="Q703" s="1" t="s">
        <v>617</v>
      </c>
      <c r="R703" s="1">
        <v>1.44</v>
      </c>
      <c r="S703" s="1" t="str">
        <f>""</f>
        <v/>
      </c>
      <c r="T703" s="1" t="s">
        <v>29</v>
      </c>
      <c r="U703" s="1" t="s">
        <v>30</v>
      </c>
      <c r="V703" s="1">
        <v>0</v>
      </c>
    </row>
    <row r="704" spans="2:22" x14ac:dyDescent="0.15">
      <c r="B704" s="1" t="str">
        <f>"157****7901"</f>
        <v>157****7901</v>
      </c>
      <c r="C704" s="1" t="s">
        <v>44</v>
      </c>
      <c r="D704" s="1" t="str">
        <f t="shared" ref="D704:D716" si="77">"89177328"</f>
        <v>89177328</v>
      </c>
      <c r="E704" s="1" t="s">
        <v>24</v>
      </c>
      <c r="F704" s="1" t="str">
        <f t="shared" ref="F704:F716" si="78">"0010"</f>
        <v>0010</v>
      </c>
      <c r="G704" s="1" t="str">
        <f>""</f>
        <v/>
      </c>
      <c r="H704" s="1" t="str">
        <f>"0012"</f>
        <v>0012</v>
      </c>
      <c r="I704" s="1" t="s">
        <v>612</v>
      </c>
      <c r="J704" s="1" t="str">
        <f>"01043989720"</f>
        <v>01043989720</v>
      </c>
      <c r="K704" s="1" t="str">
        <f>"2017-04-07 18:27:37"</f>
        <v>2017-04-07 18:27:37</v>
      </c>
      <c r="L704" s="1" t="str">
        <f>"2017-04-07 18:27:49"</f>
        <v>2017-04-07 18:27:49</v>
      </c>
      <c r="M704" s="2">
        <v>1.2627314814814815E-2</v>
      </c>
      <c r="N704" s="1" t="s">
        <v>26</v>
      </c>
      <c r="O704" s="1" t="s">
        <v>34</v>
      </c>
      <c r="P704" s="2">
        <v>1.2766203703703703E-2</v>
      </c>
      <c r="Q704" s="1" t="s">
        <v>618</v>
      </c>
      <c r="R704" s="1">
        <v>0</v>
      </c>
      <c r="S704" s="1" t="str">
        <f>""</f>
        <v/>
      </c>
      <c r="T704" s="1" t="s">
        <v>29</v>
      </c>
      <c r="U704" s="1" t="s">
        <v>30</v>
      </c>
      <c r="V704" s="1">
        <v>0</v>
      </c>
    </row>
    <row r="705" spans="2:22" x14ac:dyDescent="0.15">
      <c r="B705" s="1" t="str">
        <f>"186****3283"</f>
        <v>186****3283</v>
      </c>
      <c r="C705" s="1" t="s">
        <v>44</v>
      </c>
      <c r="D705" s="1" t="str">
        <f t="shared" si="77"/>
        <v>89177328</v>
      </c>
      <c r="E705" s="1" t="s">
        <v>24</v>
      </c>
      <c r="F705" s="1" t="str">
        <f t="shared" si="78"/>
        <v>0010</v>
      </c>
      <c r="G705" s="1" t="str">
        <f>""</f>
        <v/>
      </c>
      <c r="H705" s="1" t="str">
        <f>"0018"</f>
        <v>0018</v>
      </c>
      <c r="I705" s="1" t="s">
        <v>36</v>
      </c>
      <c r="J705" s="1" t="str">
        <f>"01043977572"</f>
        <v>01043977572</v>
      </c>
      <c r="K705" s="1" t="str">
        <f>"2017-04-07 18:26:03"</f>
        <v>2017-04-07 18:26:03</v>
      </c>
      <c r="L705" s="1" t="str">
        <f>"2017-04-07 18:26:14"</f>
        <v>2017-04-07 18:26:14</v>
      </c>
      <c r="M705" s="2">
        <v>5.0925925925925921E-3</v>
      </c>
      <c r="N705" s="1" t="s">
        <v>26</v>
      </c>
      <c r="O705" s="1" t="s">
        <v>34</v>
      </c>
      <c r="P705" s="2">
        <v>5.2199074074074066E-3</v>
      </c>
      <c r="Q705" s="1" t="s">
        <v>619</v>
      </c>
      <c r="R705" s="1">
        <v>0</v>
      </c>
      <c r="S705" s="1" t="str">
        <f>""</f>
        <v/>
      </c>
      <c r="T705" s="1" t="s">
        <v>29</v>
      </c>
      <c r="U705" s="1" t="s">
        <v>30</v>
      </c>
      <c r="V705" s="1">
        <v>0</v>
      </c>
    </row>
    <row r="706" spans="2:22" x14ac:dyDescent="0.15">
      <c r="B706" s="1" t="str">
        <f>"182****0228"</f>
        <v>182****0228</v>
      </c>
      <c r="C706" s="1" t="s">
        <v>620</v>
      </c>
      <c r="D706" s="1" t="str">
        <f t="shared" si="77"/>
        <v>89177328</v>
      </c>
      <c r="E706" s="1" t="s">
        <v>24</v>
      </c>
      <c r="F706" s="1" t="str">
        <f t="shared" si="78"/>
        <v>0010</v>
      </c>
      <c r="G706" s="1" t="str">
        <f>""</f>
        <v/>
      </c>
      <c r="H706" s="1" t="str">
        <f>"0018"</f>
        <v>0018</v>
      </c>
      <c r="I706" s="1" t="s">
        <v>36</v>
      </c>
      <c r="J706" s="1" t="str">
        <f>"01043977572"</f>
        <v>01043977572</v>
      </c>
      <c r="K706" s="1" t="str">
        <f>"2017-04-07 17:41:25"</f>
        <v>2017-04-07 17:41:25</v>
      </c>
      <c r="L706" s="1" t="str">
        <f>"2017-04-07 17:41:35"</f>
        <v>2017-04-07 17:41:35</v>
      </c>
      <c r="M706" s="2">
        <v>1.2395833333333335E-2</v>
      </c>
      <c r="N706" s="1" t="s">
        <v>26</v>
      </c>
      <c r="O706" s="1" t="s">
        <v>34</v>
      </c>
      <c r="P706" s="2">
        <v>1.2511574074074073E-2</v>
      </c>
      <c r="Q706" s="1" t="s">
        <v>621</v>
      </c>
      <c r="R706" s="1">
        <v>0</v>
      </c>
      <c r="S706" s="1" t="str">
        <f>""</f>
        <v/>
      </c>
      <c r="T706" s="1" t="s">
        <v>29</v>
      </c>
      <c r="U706" s="1" t="s">
        <v>30</v>
      </c>
      <c r="V706" s="1">
        <v>0</v>
      </c>
    </row>
    <row r="707" spans="2:22" x14ac:dyDescent="0.15">
      <c r="B707" s="1" t="str">
        <f>"137****9730"</f>
        <v>137****9730</v>
      </c>
      <c r="C707" s="1" t="s">
        <v>23</v>
      </c>
      <c r="D707" s="1" t="str">
        <f t="shared" si="77"/>
        <v>89177328</v>
      </c>
      <c r="E707" s="1" t="s">
        <v>24</v>
      </c>
      <c r="F707" s="1" t="str">
        <f t="shared" si="78"/>
        <v>0010</v>
      </c>
      <c r="G707" s="1" t="str">
        <f>""</f>
        <v/>
      </c>
      <c r="H707" s="1" t="str">
        <f>"0012"</f>
        <v>0012</v>
      </c>
      <c r="I707" s="1" t="s">
        <v>612</v>
      </c>
      <c r="J707" s="1" t="str">
        <f>"01043989720"</f>
        <v>01043989720</v>
      </c>
      <c r="K707" s="1" t="str">
        <f>"2017-04-07 17:38:58"</f>
        <v>2017-04-07 17:38:58</v>
      </c>
      <c r="L707" s="1" t="str">
        <f>"2017-04-07 17:39:12"</f>
        <v>2017-04-07 17:39:12</v>
      </c>
      <c r="M707" s="2">
        <v>1.3449074074074073E-2</v>
      </c>
      <c r="N707" s="1" t="s">
        <v>26</v>
      </c>
      <c r="O707" s="1" t="s">
        <v>34</v>
      </c>
      <c r="P707" s="2">
        <v>1.3611111111111114E-2</v>
      </c>
      <c r="Q707" s="1" t="s">
        <v>622</v>
      </c>
      <c r="R707" s="1">
        <v>0</v>
      </c>
      <c r="S707" s="1" t="str">
        <f>""</f>
        <v/>
      </c>
      <c r="T707" s="1" t="s">
        <v>29</v>
      </c>
      <c r="U707" s="1" t="s">
        <v>30</v>
      </c>
      <c r="V707" s="1">
        <v>0</v>
      </c>
    </row>
    <row r="708" spans="2:22" x14ac:dyDescent="0.15">
      <c r="B708" s="1" t="str">
        <f>"152****0920"</f>
        <v>152****0920</v>
      </c>
      <c r="C708" s="1" t="s">
        <v>487</v>
      </c>
      <c r="D708" s="1" t="str">
        <f t="shared" si="77"/>
        <v>89177328</v>
      </c>
      <c r="E708" s="1" t="s">
        <v>24</v>
      </c>
      <c r="F708" s="1" t="str">
        <f t="shared" si="78"/>
        <v>0010</v>
      </c>
      <c r="G708" s="1" t="str">
        <f>""</f>
        <v/>
      </c>
      <c r="H708" s="1" t="str">
        <f>"0035"</f>
        <v>0035</v>
      </c>
      <c r="I708" s="1" t="s">
        <v>25</v>
      </c>
      <c r="J708" s="1" t="str">
        <f>"01043977569"</f>
        <v>01043977569</v>
      </c>
      <c r="K708" s="1" t="str">
        <f>"2017-04-07 17:04:39"</f>
        <v>2017-04-07 17:04:39</v>
      </c>
      <c r="L708" s="1" t="str">
        <f>"2017-04-07 17:04:48"</f>
        <v>2017-04-07 17:04:48</v>
      </c>
      <c r="M708" s="2">
        <v>5.37037037037037E-3</v>
      </c>
      <c r="N708" s="1" t="s">
        <v>26</v>
      </c>
      <c r="O708" s="1" t="s">
        <v>27</v>
      </c>
      <c r="P708" s="2">
        <v>5.4745370370370373E-3</v>
      </c>
      <c r="Q708" s="1" t="s">
        <v>623</v>
      </c>
      <c r="R708" s="1">
        <v>0</v>
      </c>
      <c r="S708" s="1" t="str">
        <f>""</f>
        <v/>
      </c>
      <c r="T708" s="1" t="s">
        <v>29</v>
      </c>
      <c r="U708" s="1" t="s">
        <v>30</v>
      </c>
      <c r="V708" s="1">
        <v>0</v>
      </c>
    </row>
    <row r="709" spans="2:22" x14ac:dyDescent="0.15">
      <c r="B709" s="1" t="str">
        <f>"136****7713"</f>
        <v>136****7713</v>
      </c>
      <c r="C709" s="1" t="s">
        <v>624</v>
      </c>
      <c r="D709" s="1" t="str">
        <f t="shared" si="77"/>
        <v>89177328</v>
      </c>
      <c r="E709" s="1" t="s">
        <v>24</v>
      </c>
      <c r="F709" s="1" t="str">
        <f t="shared" si="78"/>
        <v>0010</v>
      </c>
      <c r="G709" s="1" t="str">
        <f>""</f>
        <v/>
      </c>
      <c r="H709" s="1" t="str">
        <f>"0034"</f>
        <v>0034</v>
      </c>
      <c r="I709" s="1" t="s">
        <v>31</v>
      </c>
      <c r="J709" s="1" t="str">
        <f>"01043977568"</f>
        <v>01043977568</v>
      </c>
      <c r="K709" s="1" t="str">
        <f>"2017-04-07 16:42:51"</f>
        <v>2017-04-07 16:42:51</v>
      </c>
      <c r="L709" s="1" t="str">
        <f>"2017-04-07 16:42:59"</f>
        <v>2017-04-07 16:42:59</v>
      </c>
      <c r="M709" s="2">
        <v>5.8333333333333336E-3</v>
      </c>
      <c r="N709" s="1" t="s">
        <v>26</v>
      </c>
      <c r="O709" s="1" t="s">
        <v>27</v>
      </c>
      <c r="P709" s="2">
        <v>5.9259259259259256E-3</v>
      </c>
      <c r="Q709" s="1" t="s">
        <v>625</v>
      </c>
      <c r="R709" s="1">
        <v>0</v>
      </c>
      <c r="S709" s="1" t="str">
        <f>""</f>
        <v/>
      </c>
      <c r="T709" s="1" t="s">
        <v>29</v>
      </c>
      <c r="U709" s="1" t="s">
        <v>30</v>
      </c>
      <c r="V709" s="1">
        <v>0</v>
      </c>
    </row>
    <row r="710" spans="2:22" x14ac:dyDescent="0.15">
      <c r="B710" s="1" t="str">
        <f>"010****4200"</f>
        <v>010****4200</v>
      </c>
      <c r="C710" s="1" t="s">
        <v>23</v>
      </c>
      <c r="D710" s="1" t="str">
        <f t="shared" si="77"/>
        <v>89177328</v>
      </c>
      <c r="E710" s="1" t="s">
        <v>24</v>
      </c>
      <c r="F710" s="1" t="str">
        <f t="shared" si="78"/>
        <v>0010</v>
      </c>
      <c r="G710" s="1" t="str">
        <f>""</f>
        <v/>
      </c>
      <c r="H710" s="1" t="str">
        <f>"0034"</f>
        <v>0034</v>
      </c>
      <c r="I710" s="1" t="s">
        <v>31</v>
      </c>
      <c r="J710" s="1" t="str">
        <f>"01043977568"</f>
        <v>01043977568</v>
      </c>
      <c r="K710" s="1" t="str">
        <f>"2017-04-07 16:39:35"</f>
        <v>2017-04-07 16:39:35</v>
      </c>
      <c r="L710" s="1" t="str">
        <f>"2017-04-07 16:39:45"</f>
        <v>2017-04-07 16:39:45</v>
      </c>
      <c r="M710" s="2">
        <v>3.9351851851851852E-4</v>
      </c>
      <c r="N710" s="1" t="s">
        <v>26</v>
      </c>
      <c r="O710" s="1" t="s">
        <v>27</v>
      </c>
      <c r="P710" s="2">
        <v>5.0925925925925921E-4</v>
      </c>
      <c r="Q710" s="1" t="s">
        <v>626</v>
      </c>
      <c r="R710" s="1">
        <v>0</v>
      </c>
      <c r="S710" s="1" t="str">
        <f>""</f>
        <v/>
      </c>
      <c r="T710" s="1" t="s">
        <v>29</v>
      </c>
      <c r="U710" s="1" t="s">
        <v>30</v>
      </c>
      <c r="V710" s="1">
        <v>0</v>
      </c>
    </row>
    <row r="711" spans="2:22" x14ac:dyDescent="0.15">
      <c r="B711" s="1" t="str">
        <f>"151****0555"</f>
        <v>151****0555</v>
      </c>
      <c r="C711" s="1" t="s">
        <v>137</v>
      </c>
      <c r="D711" s="1" t="str">
        <f t="shared" si="77"/>
        <v>89177328</v>
      </c>
      <c r="E711" s="1" t="s">
        <v>24</v>
      </c>
      <c r="F711" s="1" t="str">
        <f t="shared" si="78"/>
        <v>0010</v>
      </c>
      <c r="G711" s="1" t="str">
        <f>""</f>
        <v/>
      </c>
      <c r="H711" s="1" t="str">
        <f>"0031"</f>
        <v>0031</v>
      </c>
      <c r="I711" s="1" t="s">
        <v>95</v>
      </c>
      <c r="J711" s="1" t="str">
        <f>"01043977565"</f>
        <v>01043977565</v>
      </c>
      <c r="K711" s="1" t="str">
        <f>"2017-04-07 16:32:25"</f>
        <v>2017-04-07 16:32:25</v>
      </c>
      <c r="L711" s="1" t="str">
        <f>"2017-04-07 16:32:34"</f>
        <v>2017-04-07 16:32:34</v>
      </c>
      <c r="M711" s="2">
        <v>1.3668981481481482E-2</v>
      </c>
      <c r="N711" s="1" t="s">
        <v>26</v>
      </c>
      <c r="O711" s="1" t="s">
        <v>34</v>
      </c>
      <c r="P711" s="2">
        <v>1.3773148148148147E-2</v>
      </c>
      <c r="Q711" s="1" t="s">
        <v>627</v>
      </c>
      <c r="R711" s="1">
        <v>0</v>
      </c>
      <c r="S711" s="1" t="str">
        <f>""</f>
        <v/>
      </c>
      <c r="T711" s="1" t="s">
        <v>29</v>
      </c>
      <c r="U711" s="1" t="s">
        <v>30</v>
      </c>
      <c r="V711" s="1">
        <v>0</v>
      </c>
    </row>
    <row r="712" spans="2:22" x14ac:dyDescent="0.15">
      <c r="B712" s="1" t="str">
        <f>"187****6018"</f>
        <v>187****6018</v>
      </c>
      <c r="C712" s="1" t="s">
        <v>51</v>
      </c>
      <c r="D712" s="1" t="str">
        <f t="shared" si="77"/>
        <v>89177328</v>
      </c>
      <c r="E712" s="1" t="s">
        <v>24</v>
      </c>
      <c r="F712" s="1" t="str">
        <f t="shared" si="78"/>
        <v>0010</v>
      </c>
      <c r="G712" s="1" t="str">
        <f>""</f>
        <v/>
      </c>
      <c r="H712" s="1" t="str">
        <f>"0032"</f>
        <v>0032</v>
      </c>
      <c r="I712" s="1" t="s">
        <v>119</v>
      </c>
      <c r="J712" s="1" t="str">
        <f>"01043977566"</f>
        <v>01043977566</v>
      </c>
      <c r="K712" s="1" t="str">
        <f>"2017-04-07 16:30:13"</f>
        <v>2017-04-07 16:30:13</v>
      </c>
      <c r="L712" s="1" t="str">
        <f>"2017-04-07 16:30:29"</f>
        <v>2017-04-07 16:30:29</v>
      </c>
      <c r="M712" s="2">
        <v>7.9282407407407409E-3</v>
      </c>
      <c r="N712" s="1" t="s">
        <v>26</v>
      </c>
      <c r="O712" s="1" t="s">
        <v>34</v>
      </c>
      <c r="P712" s="2">
        <v>8.113425925925925E-3</v>
      </c>
      <c r="Q712" s="1" t="s">
        <v>628</v>
      </c>
      <c r="R712" s="1">
        <v>0</v>
      </c>
      <c r="S712" s="1" t="str">
        <f>""</f>
        <v/>
      </c>
      <c r="T712" s="1" t="s">
        <v>29</v>
      </c>
      <c r="U712" s="1" t="s">
        <v>30</v>
      </c>
      <c r="V712" s="1">
        <v>0</v>
      </c>
    </row>
    <row r="713" spans="2:22" x14ac:dyDescent="0.15">
      <c r="B713" s="1" t="str">
        <f>"138****3064"</f>
        <v>138****3064</v>
      </c>
      <c r="C713" s="1" t="s">
        <v>23</v>
      </c>
      <c r="D713" s="1" t="str">
        <f t="shared" si="77"/>
        <v>89177328</v>
      </c>
      <c r="E713" s="1" t="s">
        <v>24</v>
      </c>
      <c r="F713" s="1" t="str">
        <f t="shared" si="78"/>
        <v>0010</v>
      </c>
      <c r="G713" s="1" t="str">
        <f>""</f>
        <v/>
      </c>
      <c r="H713" s="1" t="str">
        <f>"0017"</f>
        <v>0017</v>
      </c>
      <c r="I713" s="1" t="s">
        <v>135</v>
      </c>
      <c r="J713" s="1" t="str">
        <f>"01043989717"</f>
        <v>01043989717</v>
      </c>
      <c r="K713" s="1" t="str">
        <f>"2017-04-07 16:27:13"</f>
        <v>2017-04-07 16:27:13</v>
      </c>
      <c r="L713" s="1" t="str">
        <f>"2017-04-07 16:27:31"</f>
        <v>2017-04-07 16:27:31</v>
      </c>
      <c r="M713" s="2">
        <v>1.7488425925925925E-2</v>
      </c>
      <c r="N713" s="1" t="s">
        <v>26</v>
      </c>
      <c r="O713" s="1" t="s">
        <v>27</v>
      </c>
      <c r="P713" s="2">
        <v>1.7696759259259259E-2</v>
      </c>
      <c r="Q713" s="1" t="s">
        <v>629</v>
      </c>
      <c r="R713" s="1">
        <v>0</v>
      </c>
      <c r="S713" s="1" t="str">
        <f>""</f>
        <v/>
      </c>
      <c r="T713" s="1" t="s">
        <v>29</v>
      </c>
      <c r="U713" s="1" t="s">
        <v>30</v>
      </c>
      <c r="V713" s="1">
        <v>0</v>
      </c>
    </row>
    <row r="714" spans="2:22" x14ac:dyDescent="0.15">
      <c r="B714" s="1" t="str">
        <f>"010****8281"</f>
        <v>010****8281</v>
      </c>
      <c r="C714" s="1" t="s">
        <v>23</v>
      </c>
      <c r="D714" s="1" t="str">
        <f t="shared" si="77"/>
        <v>89177328</v>
      </c>
      <c r="E714" s="1" t="s">
        <v>24</v>
      </c>
      <c r="F714" s="1" t="str">
        <f t="shared" si="78"/>
        <v>0010</v>
      </c>
      <c r="G714" s="1" t="str">
        <f>""</f>
        <v/>
      </c>
      <c r="H714" s="1" t="str">
        <f>"0035"</f>
        <v>0035</v>
      </c>
      <c r="I714" s="1" t="s">
        <v>25</v>
      </c>
      <c r="J714" s="1" t="str">
        <f>"01043977569"</f>
        <v>01043977569</v>
      </c>
      <c r="K714" s="1" t="str">
        <f>"2017-04-07 16:27:05"</f>
        <v>2017-04-07 16:27:05</v>
      </c>
      <c r="L714" s="1" t="str">
        <f>"2017-04-07 16:27:43"</f>
        <v>2017-04-07 16:27:43</v>
      </c>
      <c r="M714" s="2">
        <v>4.6527777777777774E-3</v>
      </c>
      <c r="N714" s="1" t="s">
        <v>26</v>
      </c>
      <c r="O714" s="1" t="s">
        <v>27</v>
      </c>
      <c r="P714" s="2">
        <v>5.0925925925925921E-3</v>
      </c>
      <c r="Q714" s="1" t="s">
        <v>630</v>
      </c>
      <c r="R714" s="1">
        <v>0</v>
      </c>
      <c r="S714" s="1" t="str">
        <f>""</f>
        <v/>
      </c>
      <c r="T714" s="1" t="s">
        <v>29</v>
      </c>
      <c r="U714" s="1" t="s">
        <v>30</v>
      </c>
      <c r="V714" s="1">
        <v>0</v>
      </c>
    </row>
    <row r="715" spans="2:22" x14ac:dyDescent="0.15">
      <c r="B715" s="1" t="str">
        <f>"133****3916"</f>
        <v>133****3916</v>
      </c>
      <c r="C715" s="1" t="s">
        <v>23</v>
      </c>
      <c r="D715" s="1" t="str">
        <f t="shared" si="77"/>
        <v>89177328</v>
      </c>
      <c r="E715" s="1" t="s">
        <v>24</v>
      </c>
      <c r="F715" s="1" t="str">
        <f t="shared" si="78"/>
        <v>0010</v>
      </c>
      <c r="G715" s="1" t="str">
        <f>""</f>
        <v/>
      </c>
      <c r="H715" s="1" t="str">
        <f>"0018"</f>
        <v>0018</v>
      </c>
      <c r="I715" s="1" t="s">
        <v>36</v>
      </c>
      <c r="J715" s="1" t="str">
        <f>"01043977572"</f>
        <v>01043977572</v>
      </c>
      <c r="K715" s="1" t="str">
        <f>"2017-04-07 16:24:42"</f>
        <v>2017-04-07 16:24:42</v>
      </c>
      <c r="L715" s="1" t="str">
        <f>"2017-04-07 16:24:52"</f>
        <v>2017-04-07 16:24:52</v>
      </c>
      <c r="M715" s="2">
        <v>1.7002314814814814E-2</v>
      </c>
      <c r="N715" s="1" t="s">
        <v>26</v>
      </c>
      <c r="O715" s="1" t="s">
        <v>34</v>
      </c>
      <c r="P715" s="2">
        <v>1.7118055555555556E-2</v>
      </c>
      <c r="Q715" s="1" t="s">
        <v>631</v>
      </c>
      <c r="R715" s="1">
        <v>0</v>
      </c>
      <c r="S715" s="1" t="str">
        <f>""</f>
        <v/>
      </c>
      <c r="T715" s="1" t="s">
        <v>29</v>
      </c>
      <c r="U715" s="1" t="s">
        <v>30</v>
      </c>
      <c r="V715" s="1">
        <v>0</v>
      </c>
    </row>
    <row r="716" spans="2:22" x14ac:dyDescent="0.15">
      <c r="B716" s="1" t="str">
        <f>"185****0015"</f>
        <v>185****0015</v>
      </c>
      <c r="C716" s="1" t="s">
        <v>23</v>
      </c>
      <c r="D716" s="1" t="str">
        <f t="shared" si="77"/>
        <v>89177328</v>
      </c>
      <c r="E716" s="1" t="s">
        <v>24</v>
      </c>
      <c r="F716" s="1" t="str">
        <f t="shared" si="78"/>
        <v>0010</v>
      </c>
      <c r="G716" s="1" t="str">
        <f>""</f>
        <v/>
      </c>
      <c r="H716" s="1" t="str">
        <f>"0032"</f>
        <v>0032</v>
      </c>
      <c r="I716" s="1" t="s">
        <v>119</v>
      </c>
      <c r="J716" s="1" t="str">
        <f>"01043977566"</f>
        <v>01043977566</v>
      </c>
      <c r="K716" s="1" t="str">
        <f>"2017-04-07 16:14:25"</f>
        <v>2017-04-07 16:14:25</v>
      </c>
      <c r="L716" s="1" t="str">
        <f>"2017-04-07 16:14:39"</f>
        <v>2017-04-07 16:14:39</v>
      </c>
      <c r="M716" s="2">
        <v>9.0972222222222218E-3</v>
      </c>
      <c r="N716" s="1" t="s">
        <v>26</v>
      </c>
      <c r="O716" s="1" t="s">
        <v>27</v>
      </c>
      <c r="P716" s="2">
        <v>9.2592592592592605E-3</v>
      </c>
      <c r="Q716" s="1" t="s">
        <v>632</v>
      </c>
      <c r="R716" s="1">
        <v>0</v>
      </c>
      <c r="S716" s="1" t="str">
        <f>""</f>
        <v/>
      </c>
      <c r="T716" s="1" t="s">
        <v>29</v>
      </c>
      <c r="U716" s="1" t="s">
        <v>30</v>
      </c>
      <c r="V716" s="1">
        <v>0</v>
      </c>
    </row>
    <row r="717" spans="2:22" x14ac:dyDescent="0.15">
      <c r="B717" s="1" t="str">
        <f>"157****0340"</f>
        <v>157****0340</v>
      </c>
      <c r="C717" s="1" t="s">
        <v>23</v>
      </c>
      <c r="D717" s="1" t="str">
        <f>"4000108333"</f>
        <v>4000108333</v>
      </c>
      <c r="E717" s="1" t="s">
        <v>53</v>
      </c>
      <c r="F717" s="1" t="str">
        <f>"0000"</f>
        <v>0000</v>
      </c>
      <c r="G717" s="1" t="str">
        <f>""</f>
        <v/>
      </c>
      <c r="H717" s="1" t="str">
        <f>"1010"</f>
        <v>1010</v>
      </c>
      <c r="I717" s="1" t="s">
        <v>148</v>
      </c>
      <c r="J717" s="1" t="str">
        <f>"13718091869"</f>
        <v>13718091869</v>
      </c>
      <c r="K717" s="1" t="str">
        <f>"2017-04-07 16:05:43"</f>
        <v>2017-04-07 16:05:43</v>
      </c>
      <c r="L717" s="1" t="str">
        <f>"2017-04-07 16:06:06"</f>
        <v>2017-04-07 16:06:06</v>
      </c>
      <c r="M717" s="2">
        <v>1.4525462962962964E-2</v>
      </c>
      <c r="N717" s="1" t="s">
        <v>26</v>
      </c>
      <c r="O717" s="1" t="s">
        <v>34</v>
      </c>
      <c r="P717" s="2">
        <v>1.4791666666666668E-2</v>
      </c>
      <c r="Q717" s="1" t="s">
        <v>633</v>
      </c>
      <c r="R717" s="1">
        <v>2.64</v>
      </c>
      <c r="S717" s="1" t="str">
        <f>""</f>
        <v/>
      </c>
      <c r="T717" s="1" t="s">
        <v>29</v>
      </c>
      <c r="U717" s="1" t="s">
        <v>30</v>
      </c>
      <c r="V717" s="1">
        <v>0</v>
      </c>
    </row>
    <row r="718" spans="2:22" x14ac:dyDescent="0.15">
      <c r="B718" s="1" t="str">
        <f>"186****0591"</f>
        <v>186****0591</v>
      </c>
      <c r="C718" s="1" t="s">
        <v>23</v>
      </c>
      <c r="D718" s="1" t="str">
        <f>"89177328"</f>
        <v>89177328</v>
      </c>
      <c r="E718" s="1" t="s">
        <v>24</v>
      </c>
      <c r="F718" s="1" t="str">
        <f>"0010"</f>
        <v>0010</v>
      </c>
      <c r="G718" s="1" t="str">
        <f>""</f>
        <v/>
      </c>
      <c r="H718" s="1" t="str">
        <f>"0017"</f>
        <v>0017</v>
      </c>
      <c r="I718" s="1" t="s">
        <v>135</v>
      </c>
      <c r="J718" s="1" t="str">
        <f>"01043989717"</f>
        <v>01043989717</v>
      </c>
      <c r="K718" s="1" t="str">
        <f>"2017-04-07 16:04:49"</f>
        <v>2017-04-07 16:04:49</v>
      </c>
      <c r="L718" s="1" t="str">
        <f>"2017-04-07 16:04:55"</f>
        <v>2017-04-07 16:04:55</v>
      </c>
      <c r="M718" s="2">
        <v>7.9861111111111105E-4</v>
      </c>
      <c r="N718" s="1" t="s">
        <v>26</v>
      </c>
      <c r="O718" s="1" t="s">
        <v>27</v>
      </c>
      <c r="P718" s="2">
        <v>8.6805555555555551E-4</v>
      </c>
      <c r="Q718" s="1" t="s">
        <v>634</v>
      </c>
      <c r="R718" s="1">
        <v>0</v>
      </c>
      <c r="S718" s="1" t="str">
        <f>""</f>
        <v/>
      </c>
      <c r="T718" s="1" t="s">
        <v>29</v>
      </c>
      <c r="U718" s="1" t="s">
        <v>30</v>
      </c>
      <c r="V718" s="1">
        <v>0</v>
      </c>
    </row>
    <row r="719" spans="2:22" x14ac:dyDescent="0.15">
      <c r="B719" s="1" t="str">
        <f>"157****0340"</f>
        <v>157****0340</v>
      </c>
      <c r="C719" s="1" t="s">
        <v>23</v>
      </c>
      <c r="D719" s="1" t="str">
        <f>"4000108333"</f>
        <v>4000108333</v>
      </c>
      <c r="E719" s="1" t="s">
        <v>53</v>
      </c>
      <c r="F719" s="1" t="str">
        <f>""</f>
        <v/>
      </c>
      <c r="G719" s="1" t="str">
        <f>""</f>
        <v/>
      </c>
      <c r="H719" s="1" t="str">
        <f>""</f>
        <v/>
      </c>
      <c r="I719" s="1" t="str">
        <f>""</f>
        <v/>
      </c>
      <c r="J719" s="1" t="str">
        <f>""</f>
        <v/>
      </c>
      <c r="K719" s="1" t="str">
        <f>"2017-04-07 16:04:38"</f>
        <v>2017-04-07 16:04:38</v>
      </c>
      <c r="L719" s="1" t="str">
        <f>"-"</f>
        <v>-</v>
      </c>
      <c r="M719" s="2">
        <v>0</v>
      </c>
      <c r="N719" s="1" t="s">
        <v>33</v>
      </c>
      <c r="O719" s="1" t="s">
        <v>27</v>
      </c>
      <c r="P719" s="2">
        <v>3.4722222222222224E-4</v>
      </c>
      <c r="Q719" s="1" t="str">
        <f>""</f>
        <v/>
      </c>
      <c r="R719" s="1">
        <v>0.12</v>
      </c>
      <c r="S719" s="1" t="str">
        <f>""</f>
        <v/>
      </c>
      <c r="T719" s="1" t="s">
        <v>29</v>
      </c>
      <c r="U719" s="1" t="s">
        <v>30</v>
      </c>
      <c r="V719" s="1">
        <v>0</v>
      </c>
    </row>
    <row r="720" spans="2:22" x14ac:dyDescent="0.15">
      <c r="B720" s="1" t="str">
        <f>"004366****8906"</f>
        <v>004366****8906</v>
      </c>
      <c r="C720" s="1" t="s">
        <v>635</v>
      </c>
      <c r="D720" s="1" t="str">
        <f t="shared" ref="D720:D743" si="79">"89177328"</f>
        <v>89177328</v>
      </c>
      <c r="E720" s="1" t="s">
        <v>24</v>
      </c>
      <c r="F720" s="1" t="str">
        <f t="shared" ref="F720:F743" si="80">"0010"</f>
        <v>0010</v>
      </c>
      <c r="G720" s="1" t="str">
        <f>""</f>
        <v/>
      </c>
      <c r="H720" s="1" t="str">
        <f>"0032"</f>
        <v>0032</v>
      </c>
      <c r="I720" s="1" t="s">
        <v>119</v>
      </c>
      <c r="J720" s="1" t="str">
        <f>"01043977566"</f>
        <v>01043977566</v>
      </c>
      <c r="K720" s="1" t="str">
        <f>"2017-04-07 16:03:23"</f>
        <v>2017-04-07 16:03:23</v>
      </c>
      <c r="L720" s="1" t="str">
        <f>"2017-04-07 16:03:38"</f>
        <v>2017-04-07 16:03:38</v>
      </c>
      <c r="M720" s="2">
        <v>6.2962962962962964E-3</v>
      </c>
      <c r="N720" s="1" t="s">
        <v>26</v>
      </c>
      <c r="O720" s="1" t="s">
        <v>34</v>
      </c>
      <c r="P720" s="2">
        <v>6.4699074074074069E-3</v>
      </c>
      <c r="Q720" s="1" t="s">
        <v>636</v>
      </c>
      <c r="R720" s="1">
        <v>0</v>
      </c>
      <c r="S720" s="1" t="str">
        <f>""</f>
        <v/>
      </c>
      <c r="T720" s="1" t="s">
        <v>29</v>
      </c>
      <c r="U720" s="1" t="s">
        <v>30</v>
      </c>
      <c r="V720" s="1">
        <v>0</v>
      </c>
    </row>
    <row r="721" spans="2:22" x14ac:dyDescent="0.15">
      <c r="B721" s="1" t="str">
        <f>"153****9030"</f>
        <v>153****9030</v>
      </c>
      <c r="C721" s="1" t="s">
        <v>23</v>
      </c>
      <c r="D721" s="1" t="str">
        <f t="shared" si="79"/>
        <v>89177328</v>
      </c>
      <c r="E721" s="1" t="s">
        <v>24</v>
      </c>
      <c r="F721" s="1" t="str">
        <f t="shared" si="80"/>
        <v>0010</v>
      </c>
      <c r="G721" s="1" t="str">
        <f>""</f>
        <v/>
      </c>
      <c r="H721" s="1" t="str">
        <f>"0031"</f>
        <v>0031</v>
      </c>
      <c r="I721" s="1" t="s">
        <v>95</v>
      </c>
      <c r="J721" s="1" t="str">
        <f>"01043977565"</f>
        <v>01043977565</v>
      </c>
      <c r="K721" s="1" t="str">
        <f>"2017-04-07 16:02:24"</f>
        <v>2017-04-07 16:02:24</v>
      </c>
      <c r="L721" s="1" t="str">
        <f>"2017-04-07 16:02:30"</f>
        <v>2017-04-07 16:02:30</v>
      </c>
      <c r="M721" s="2">
        <v>1.5000000000000001E-2</v>
      </c>
      <c r="N721" s="1" t="s">
        <v>26</v>
      </c>
      <c r="O721" s="1" t="s">
        <v>27</v>
      </c>
      <c r="P721" s="2">
        <v>1.5069444444444443E-2</v>
      </c>
      <c r="Q721" s="1" t="s">
        <v>637</v>
      </c>
      <c r="R721" s="1">
        <v>0</v>
      </c>
      <c r="S721" s="1" t="str">
        <f>""</f>
        <v/>
      </c>
      <c r="T721" s="1" t="s">
        <v>29</v>
      </c>
      <c r="U721" s="1" t="s">
        <v>30</v>
      </c>
      <c r="V721" s="1">
        <v>0</v>
      </c>
    </row>
    <row r="722" spans="2:22" x14ac:dyDescent="0.15">
      <c r="B722" s="1" t="str">
        <f>"133****2900"</f>
        <v>133****2900</v>
      </c>
      <c r="C722" s="1" t="s">
        <v>126</v>
      </c>
      <c r="D722" s="1" t="str">
        <f t="shared" si="79"/>
        <v>89177328</v>
      </c>
      <c r="E722" s="1" t="s">
        <v>24</v>
      </c>
      <c r="F722" s="1" t="str">
        <f t="shared" si="80"/>
        <v>0010</v>
      </c>
      <c r="G722" s="1" t="str">
        <f>""</f>
        <v/>
      </c>
      <c r="H722" s="1" t="str">
        <f>"0034"</f>
        <v>0034</v>
      </c>
      <c r="I722" s="1" t="s">
        <v>31</v>
      </c>
      <c r="J722" s="1" t="str">
        <f>"01043977568"</f>
        <v>01043977568</v>
      </c>
      <c r="K722" s="1" t="str">
        <f>"2017-04-07 15:59:08"</f>
        <v>2017-04-07 15:59:08</v>
      </c>
      <c r="L722" s="1" t="str">
        <f>"2017-04-07 15:59:17"</f>
        <v>2017-04-07 15:59:17</v>
      </c>
      <c r="M722" s="2">
        <v>1.1678240740740741E-2</v>
      </c>
      <c r="N722" s="1" t="s">
        <v>26</v>
      </c>
      <c r="O722" s="1" t="s">
        <v>27</v>
      </c>
      <c r="P722" s="2">
        <v>1.1782407407407406E-2</v>
      </c>
      <c r="Q722" s="1" t="s">
        <v>638</v>
      </c>
      <c r="R722" s="1">
        <v>0</v>
      </c>
      <c r="S722" s="1" t="str">
        <f>""</f>
        <v/>
      </c>
      <c r="T722" s="1" t="s">
        <v>29</v>
      </c>
      <c r="U722" s="1" t="s">
        <v>30</v>
      </c>
      <c r="V722" s="1">
        <v>0</v>
      </c>
    </row>
    <row r="723" spans="2:22" x14ac:dyDescent="0.15">
      <c r="B723" s="1" t="str">
        <f>"134****8162"</f>
        <v>134****8162</v>
      </c>
      <c r="C723" s="1" t="s">
        <v>23</v>
      </c>
      <c r="D723" s="1" t="str">
        <f t="shared" si="79"/>
        <v>89177328</v>
      </c>
      <c r="E723" s="1" t="s">
        <v>24</v>
      </c>
      <c r="F723" s="1" t="str">
        <f t="shared" si="80"/>
        <v>0010</v>
      </c>
      <c r="G723" s="1" t="str">
        <f>""</f>
        <v/>
      </c>
      <c r="H723" s="1" t="str">
        <f>"0017"</f>
        <v>0017</v>
      </c>
      <c r="I723" s="1" t="s">
        <v>135</v>
      </c>
      <c r="J723" s="1" t="str">
        <f>"01043989717"</f>
        <v>01043989717</v>
      </c>
      <c r="K723" s="1" t="str">
        <f>"2017-04-07 15:50:31"</f>
        <v>2017-04-07 15:50:31</v>
      </c>
      <c r="L723" s="1" t="str">
        <f>"2017-04-07 15:50:39"</f>
        <v>2017-04-07 15:50:39</v>
      </c>
      <c r="M723" s="2">
        <v>5.4398148148148144E-4</v>
      </c>
      <c r="N723" s="1" t="s">
        <v>26</v>
      </c>
      <c r="O723" s="1" t="s">
        <v>34</v>
      </c>
      <c r="P723" s="2">
        <v>6.3657407407407402E-4</v>
      </c>
      <c r="Q723" s="1" t="s">
        <v>639</v>
      </c>
      <c r="R723" s="1">
        <v>0</v>
      </c>
      <c r="S723" s="1" t="str">
        <f>""</f>
        <v/>
      </c>
      <c r="T723" s="1" t="s">
        <v>29</v>
      </c>
      <c r="U723" s="1" t="s">
        <v>30</v>
      </c>
      <c r="V723" s="1">
        <v>0</v>
      </c>
    </row>
    <row r="724" spans="2:22" x14ac:dyDescent="0.15">
      <c r="B724" s="1" t="str">
        <f>"136****5118"</f>
        <v>136****5118</v>
      </c>
      <c r="C724" s="1" t="s">
        <v>23</v>
      </c>
      <c r="D724" s="1" t="str">
        <f t="shared" si="79"/>
        <v>89177328</v>
      </c>
      <c r="E724" s="1" t="s">
        <v>24</v>
      </c>
      <c r="F724" s="1" t="str">
        <f t="shared" si="80"/>
        <v>0010</v>
      </c>
      <c r="G724" s="1" t="str">
        <f>""</f>
        <v/>
      </c>
      <c r="H724" s="1" t="str">
        <f>"0032"</f>
        <v>0032</v>
      </c>
      <c r="I724" s="1" t="s">
        <v>119</v>
      </c>
      <c r="J724" s="1" t="str">
        <f>"01043977566"</f>
        <v>01043977566</v>
      </c>
      <c r="K724" s="1" t="str">
        <f>"2017-04-07 15:48:28"</f>
        <v>2017-04-07 15:48:28</v>
      </c>
      <c r="L724" s="1" t="str">
        <f>"2017-04-07 15:48:42"</f>
        <v>2017-04-07 15:48:42</v>
      </c>
      <c r="M724" s="2">
        <v>4.5949074074074078E-3</v>
      </c>
      <c r="N724" s="1" t="s">
        <v>26</v>
      </c>
      <c r="O724" s="1" t="s">
        <v>34</v>
      </c>
      <c r="P724" s="2">
        <v>4.7569444444444447E-3</v>
      </c>
      <c r="Q724" s="1" t="s">
        <v>640</v>
      </c>
      <c r="R724" s="1">
        <v>0</v>
      </c>
      <c r="S724" s="1" t="str">
        <f>""</f>
        <v/>
      </c>
      <c r="T724" s="1" t="s">
        <v>29</v>
      </c>
      <c r="U724" s="1" t="s">
        <v>30</v>
      </c>
      <c r="V724" s="1">
        <v>0</v>
      </c>
    </row>
    <row r="725" spans="2:22" x14ac:dyDescent="0.15">
      <c r="B725" s="1" t="str">
        <f>"137****7657"</f>
        <v>137****7657</v>
      </c>
      <c r="C725" s="1" t="s">
        <v>99</v>
      </c>
      <c r="D725" s="1" t="str">
        <f t="shared" si="79"/>
        <v>89177328</v>
      </c>
      <c r="E725" s="1" t="s">
        <v>24</v>
      </c>
      <c r="F725" s="1" t="str">
        <f t="shared" si="80"/>
        <v>0010</v>
      </c>
      <c r="G725" s="1" t="str">
        <f>""</f>
        <v/>
      </c>
      <c r="H725" s="1" t="str">
        <f>"0035"</f>
        <v>0035</v>
      </c>
      <c r="I725" s="1" t="s">
        <v>25</v>
      </c>
      <c r="J725" s="1" t="str">
        <f>"01043977569"</f>
        <v>01043977569</v>
      </c>
      <c r="K725" s="1" t="str">
        <f>"2017-04-07 15:46:23"</f>
        <v>2017-04-07 15:46:23</v>
      </c>
      <c r="L725" s="1" t="str">
        <f>"2017-04-07 15:46:34"</f>
        <v>2017-04-07 15:46:34</v>
      </c>
      <c r="M725" s="2">
        <v>1.091435185185185E-2</v>
      </c>
      <c r="N725" s="1" t="s">
        <v>26</v>
      </c>
      <c r="O725" s="1" t="s">
        <v>27</v>
      </c>
      <c r="P725" s="2">
        <v>1.1041666666666667E-2</v>
      </c>
      <c r="Q725" s="1" t="s">
        <v>641</v>
      </c>
      <c r="R725" s="1">
        <v>0</v>
      </c>
      <c r="S725" s="1" t="str">
        <f>""</f>
        <v/>
      </c>
      <c r="T725" s="1" t="s">
        <v>29</v>
      </c>
      <c r="U725" s="1" t="s">
        <v>30</v>
      </c>
      <c r="V725" s="1">
        <v>0</v>
      </c>
    </row>
    <row r="726" spans="2:22" x14ac:dyDescent="0.15">
      <c r="B726" s="1" t="str">
        <f>"150****8639"</f>
        <v>150****8639</v>
      </c>
      <c r="C726" s="1" t="s">
        <v>23</v>
      </c>
      <c r="D726" s="1" t="str">
        <f t="shared" si="79"/>
        <v>89177328</v>
      </c>
      <c r="E726" s="1" t="s">
        <v>24</v>
      </c>
      <c r="F726" s="1" t="str">
        <f t="shared" si="80"/>
        <v>0010</v>
      </c>
      <c r="G726" s="1" t="str">
        <f>""</f>
        <v/>
      </c>
      <c r="H726" s="1" t="str">
        <f>"0031"</f>
        <v>0031</v>
      </c>
      <c r="I726" s="1" t="s">
        <v>95</v>
      </c>
      <c r="J726" s="1" t="str">
        <f>"01043977565"</f>
        <v>01043977565</v>
      </c>
      <c r="K726" s="1" t="str">
        <f>"2017-04-07 15:40:47"</f>
        <v>2017-04-07 15:40:47</v>
      </c>
      <c r="L726" s="1" t="str">
        <f>"2017-04-07 15:40:52"</f>
        <v>2017-04-07 15:40:52</v>
      </c>
      <c r="M726" s="2">
        <v>4.386574074074074E-3</v>
      </c>
      <c r="N726" s="1" t="s">
        <v>26</v>
      </c>
      <c r="O726" s="1" t="s">
        <v>27</v>
      </c>
      <c r="P726" s="2">
        <v>4.4444444444444444E-3</v>
      </c>
      <c r="Q726" s="1" t="s">
        <v>642</v>
      </c>
      <c r="R726" s="1">
        <v>0</v>
      </c>
      <c r="S726" s="1" t="str">
        <f>""</f>
        <v/>
      </c>
      <c r="T726" s="1" t="s">
        <v>29</v>
      </c>
      <c r="U726" s="1" t="s">
        <v>30</v>
      </c>
      <c r="V726" s="1">
        <v>0</v>
      </c>
    </row>
    <row r="727" spans="2:22" x14ac:dyDescent="0.15">
      <c r="B727" s="1" t="str">
        <f>"183****1413"</f>
        <v>183****1413</v>
      </c>
      <c r="C727" s="1" t="s">
        <v>132</v>
      </c>
      <c r="D727" s="1" t="str">
        <f t="shared" si="79"/>
        <v>89177328</v>
      </c>
      <c r="E727" s="1" t="s">
        <v>24</v>
      </c>
      <c r="F727" s="1" t="str">
        <f t="shared" si="80"/>
        <v>0010</v>
      </c>
      <c r="G727" s="1" t="str">
        <f>""</f>
        <v/>
      </c>
      <c r="H727" s="1" t="str">
        <f>"0018"</f>
        <v>0018</v>
      </c>
      <c r="I727" s="1" t="s">
        <v>36</v>
      </c>
      <c r="J727" s="1" t="str">
        <f>"01043977572"</f>
        <v>01043977572</v>
      </c>
      <c r="K727" s="1" t="str">
        <f>"2017-04-07 15:34:35"</f>
        <v>2017-04-07 15:34:35</v>
      </c>
      <c r="L727" s="1" t="str">
        <f>"2017-04-07 15:34:42"</f>
        <v>2017-04-07 15:34:42</v>
      </c>
      <c r="M727" s="2">
        <v>1.3796296296296298E-2</v>
      </c>
      <c r="N727" s="1" t="s">
        <v>26</v>
      </c>
      <c r="O727" s="1" t="s">
        <v>34</v>
      </c>
      <c r="P727" s="2">
        <v>1.3877314814814815E-2</v>
      </c>
      <c r="Q727" s="1" t="s">
        <v>643</v>
      </c>
      <c r="R727" s="1">
        <v>0</v>
      </c>
      <c r="S727" s="1" t="str">
        <f>""</f>
        <v/>
      </c>
      <c r="T727" s="1" t="s">
        <v>29</v>
      </c>
      <c r="U727" s="1" t="s">
        <v>30</v>
      </c>
      <c r="V727" s="1">
        <v>0</v>
      </c>
    </row>
    <row r="728" spans="2:22" x14ac:dyDescent="0.15">
      <c r="B728" s="1" t="str">
        <f>"176****5270"</f>
        <v>176****5270</v>
      </c>
      <c r="C728" s="1" t="s">
        <v>23</v>
      </c>
      <c r="D728" s="1" t="str">
        <f t="shared" si="79"/>
        <v>89177328</v>
      </c>
      <c r="E728" s="1" t="s">
        <v>24</v>
      </c>
      <c r="F728" s="1" t="str">
        <f t="shared" si="80"/>
        <v>0010</v>
      </c>
      <c r="G728" s="1" t="str">
        <f>""</f>
        <v/>
      </c>
      <c r="H728" s="1" t="str">
        <f>"0031"</f>
        <v>0031</v>
      </c>
      <c r="I728" s="1" t="s">
        <v>95</v>
      </c>
      <c r="J728" s="1" t="str">
        <f>"01043977565"</f>
        <v>01043977565</v>
      </c>
      <c r="K728" s="1" t="str">
        <f>"2017-04-07 15:27:32"</f>
        <v>2017-04-07 15:27:32</v>
      </c>
      <c r="L728" s="1" t="str">
        <f>"-"</f>
        <v>-</v>
      </c>
      <c r="M728" s="2">
        <v>0</v>
      </c>
      <c r="N728" s="1" t="s">
        <v>33</v>
      </c>
      <c r="O728" s="1" t="s">
        <v>34</v>
      </c>
      <c r="P728" s="2">
        <v>4.6296296296296294E-5</v>
      </c>
      <c r="Q728" s="1" t="str">
        <f>""</f>
        <v/>
      </c>
      <c r="R728" s="1">
        <v>0</v>
      </c>
      <c r="S728" s="1" t="str">
        <f>""</f>
        <v/>
      </c>
      <c r="T728" s="1" t="s">
        <v>29</v>
      </c>
      <c r="U728" s="1" t="s">
        <v>30</v>
      </c>
      <c r="V728" s="1">
        <v>0</v>
      </c>
    </row>
    <row r="729" spans="2:22" x14ac:dyDescent="0.15">
      <c r="B729" s="1" t="str">
        <f>"176****5270"</f>
        <v>176****5270</v>
      </c>
      <c r="C729" s="1" t="s">
        <v>23</v>
      </c>
      <c r="D729" s="1" t="str">
        <f t="shared" si="79"/>
        <v>89177328</v>
      </c>
      <c r="E729" s="1" t="s">
        <v>24</v>
      </c>
      <c r="F729" s="1" t="str">
        <f t="shared" si="80"/>
        <v>0010</v>
      </c>
      <c r="G729" s="1" t="str">
        <f>""</f>
        <v/>
      </c>
      <c r="H729" s="1" t="str">
        <f>"0018"</f>
        <v>0018</v>
      </c>
      <c r="I729" s="1" t="s">
        <v>36</v>
      </c>
      <c r="J729" s="1" t="str">
        <f>"01043977572"</f>
        <v>01043977572</v>
      </c>
      <c r="K729" s="1" t="str">
        <f>"2017-04-07 15:25:48"</f>
        <v>2017-04-07 15:25:48</v>
      </c>
      <c r="L729" s="1" t="str">
        <f>"-"</f>
        <v>-</v>
      </c>
      <c r="M729" s="2">
        <v>0</v>
      </c>
      <c r="N729" s="1" t="s">
        <v>33</v>
      </c>
      <c r="O729" s="1" t="s">
        <v>34</v>
      </c>
      <c r="P729" s="2">
        <v>5.7870370370370366E-5</v>
      </c>
      <c r="Q729" s="1" t="str">
        <f>""</f>
        <v/>
      </c>
      <c r="R729" s="1">
        <v>0</v>
      </c>
      <c r="S729" s="1" t="str">
        <f>""</f>
        <v/>
      </c>
      <c r="T729" s="1" t="s">
        <v>29</v>
      </c>
      <c r="U729" s="1" t="s">
        <v>30</v>
      </c>
      <c r="V729" s="1">
        <v>0</v>
      </c>
    </row>
    <row r="730" spans="2:22" x14ac:dyDescent="0.15">
      <c r="B730" s="1" t="str">
        <f>"158****0729"</f>
        <v>158****0729</v>
      </c>
      <c r="C730" s="1" t="s">
        <v>23</v>
      </c>
      <c r="D730" s="1" t="str">
        <f t="shared" si="79"/>
        <v>89177328</v>
      </c>
      <c r="E730" s="1" t="s">
        <v>24</v>
      </c>
      <c r="F730" s="1" t="str">
        <f t="shared" si="80"/>
        <v>0010</v>
      </c>
      <c r="G730" s="1" t="str">
        <f>""</f>
        <v/>
      </c>
      <c r="H730" s="1" t="str">
        <f>"0032"</f>
        <v>0032</v>
      </c>
      <c r="I730" s="1" t="s">
        <v>119</v>
      </c>
      <c r="J730" s="1" t="str">
        <f>"01043977566"</f>
        <v>01043977566</v>
      </c>
      <c r="K730" s="1" t="str">
        <f>"2017-04-07 15:23:54"</f>
        <v>2017-04-07 15:23:54</v>
      </c>
      <c r="L730" s="1" t="str">
        <f>"2017-04-07 15:24:08"</f>
        <v>2017-04-07 15:24:08</v>
      </c>
      <c r="M730" s="2">
        <v>5.5208333333333333E-3</v>
      </c>
      <c r="N730" s="1" t="s">
        <v>26</v>
      </c>
      <c r="O730" s="1" t="s">
        <v>34</v>
      </c>
      <c r="P730" s="2">
        <v>5.6828703703703702E-3</v>
      </c>
      <c r="Q730" s="1" t="s">
        <v>644</v>
      </c>
      <c r="R730" s="1">
        <v>0</v>
      </c>
      <c r="S730" s="1" t="str">
        <f>""</f>
        <v/>
      </c>
      <c r="T730" s="1" t="s">
        <v>29</v>
      </c>
      <c r="U730" s="1" t="s">
        <v>30</v>
      </c>
      <c r="V730" s="1">
        <v>0</v>
      </c>
    </row>
    <row r="731" spans="2:22" x14ac:dyDescent="0.15">
      <c r="B731" s="1" t="str">
        <f>"176****5270"</f>
        <v>176****5270</v>
      </c>
      <c r="C731" s="1" t="s">
        <v>23</v>
      </c>
      <c r="D731" s="1" t="str">
        <f t="shared" si="79"/>
        <v>89177328</v>
      </c>
      <c r="E731" s="1" t="s">
        <v>24</v>
      </c>
      <c r="F731" s="1" t="str">
        <f t="shared" si="80"/>
        <v>0010</v>
      </c>
      <c r="G731" s="1" t="str">
        <f>""</f>
        <v/>
      </c>
      <c r="H731" s="1" t="str">
        <f>"0032"</f>
        <v>0032</v>
      </c>
      <c r="I731" s="1" t="s">
        <v>119</v>
      </c>
      <c r="J731" s="1" t="str">
        <f>"01043977566"</f>
        <v>01043977566</v>
      </c>
      <c r="K731" s="1" t="str">
        <f>"2017-04-07 15:23:18"</f>
        <v>2017-04-07 15:23:18</v>
      </c>
      <c r="L731" s="1" t="str">
        <f>"-"</f>
        <v>-</v>
      </c>
      <c r="M731" s="2">
        <v>0</v>
      </c>
      <c r="N731" s="1" t="s">
        <v>33</v>
      </c>
      <c r="O731" s="1" t="s">
        <v>34</v>
      </c>
      <c r="P731" s="2">
        <v>5.7870370370370366E-5</v>
      </c>
      <c r="Q731" s="1" t="str">
        <f>""</f>
        <v/>
      </c>
      <c r="R731" s="1">
        <v>0</v>
      </c>
      <c r="S731" s="1" t="str">
        <f>""</f>
        <v/>
      </c>
      <c r="T731" s="1" t="s">
        <v>29</v>
      </c>
      <c r="U731" s="1" t="s">
        <v>30</v>
      </c>
      <c r="V731" s="1">
        <v>0</v>
      </c>
    </row>
    <row r="732" spans="2:22" x14ac:dyDescent="0.15">
      <c r="B732" s="1" t="str">
        <f>"182****6687"</f>
        <v>182****6687</v>
      </c>
      <c r="C732" s="1" t="s">
        <v>23</v>
      </c>
      <c r="D732" s="1" t="str">
        <f t="shared" si="79"/>
        <v>89177328</v>
      </c>
      <c r="E732" s="1" t="s">
        <v>24</v>
      </c>
      <c r="F732" s="1" t="str">
        <f t="shared" si="80"/>
        <v>0010</v>
      </c>
      <c r="G732" s="1" t="str">
        <f>""</f>
        <v/>
      </c>
      <c r="H732" s="1" t="str">
        <f>""</f>
        <v/>
      </c>
      <c r="I732" s="1" t="str">
        <f>""</f>
        <v/>
      </c>
      <c r="J732" s="1" t="str">
        <f>""</f>
        <v/>
      </c>
      <c r="K732" s="1" t="str">
        <f>"2017-04-07 15:17:36"</f>
        <v>2017-04-07 15:17:36</v>
      </c>
      <c r="L732" s="1" t="str">
        <f>"-"</f>
        <v>-</v>
      </c>
      <c r="M732" s="2">
        <v>0</v>
      </c>
      <c r="N732" s="1" t="s">
        <v>55</v>
      </c>
      <c r="O732" s="1" t="s">
        <v>34</v>
      </c>
      <c r="P732" s="2">
        <v>8.1018518518518516E-4</v>
      </c>
      <c r="Q732" s="1" t="str">
        <f>""</f>
        <v/>
      </c>
      <c r="R732" s="1">
        <v>0</v>
      </c>
      <c r="S732" s="1" t="str">
        <f>""</f>
        <v/>
      </c>
      <c r="T732" s="1" t="s">
        <v>29</v>
      </c>
      <c r="U732" s="1" t="s">
        <v>30</v>
      </c>
      <c r="V732" s="1">
        <v>0</v>
      </c>
    </row>
    <row r="733" spans="2:22" x14ac:dyDescent="0.15">
      <c r="B733" s="1" t="str">
        <f>"187****8895"</f>
        <v>187****8895</v>
      </c>
      <c r="C733" s="1" t="s">
        <v>23</v>
      </c>
      <c r="D733" s="1" t="str">
        <f t="shared" si="79"/>
        <v>89177328</v>
      </c>
      <c r="E733" s="1" t="s">
        <v>24</v>
      </c>
      <c r="F733" s="1" t="str">
        <f t="shared" si="80"/>
        <v>0010</v>
      </c>
      <c r="G733" s="1" t="str">
        <f>""</f>
        <v/>
      </c>
      <c r="H733" s="1" t="str">
        <f>""</f>
        <v/>
      </c>
      <c r="I733" s="1" t="str">
        <f>""</f>
        <v/>
      </c>
      <c r="J733" s="1" t="str">
        <f>""</f>
        <v/>
      </c>
      <c r="K733" s="1" t="str">
        <f>"2017-04-07 15:16:15"</f>
        <v>2017-04-07 15:16:15</v>
      </c>
      <c r="L733" s="1" t="str">
        <f>"-"</f>
        <v>-</v>
      </c>
      <c r="M733" s="2">
        <v>0</v>
      </c>
      <c r="N733" s="1" t="s">
        <v>55</v>
      </c>
      <c r="O733" s="1" t="s">
        <v>34</v>
      </c>
      <c r="P733" s="2">
        <v>4.6296296296296294E-5</v>
      </c>
      <c r="Q733" s="1" t="str">
        <f>""</f>
        <v/>
      </c>
      <c r="R733" s="1">
        <v>0</v>
      </c>
      <c r="S733" s="1" t="str">
        <f>""</f>
        <v/>
      </c>
      <c r="T733" s="1" t="s">
        <v>29</v>
      </c>
      <c r="U733" s="1" t="s">
        <v>30</v>
      </c>
      <c r="V733" s="1">
        <v>0</v>
      </c>
    </row>
    <row r="734" spans="2:22" x14ac:dyDescent="0.15">
      <c r="B734" s="1" t="str">
        <f>"139****3130"</f>
        <v>139****3130</v>
      </c>
      <c r="C734" s="1" t="s">
        <v>645</v>
      </c>
      <c r="D734" s="1" t="str">
        <f t="shared" si="79"/>
        <v>89177328</v>
      </c>
      <c r="E734" s="1" t="s">
        <v>24</v>
      </c>
      <c r="F734" s="1" t="str">
        <f t="shared" si="80"/>
        <v>0010</v>
      </c>
      <c r="G734" s="1" t="str">
        <f>""</f>
        <v/>
      </c>
      <c r="H734" s="1" t="str">
        <f>"0036"</f>
        <v>0036</v>
      </c>
      <c r="I734" s="1" t="s">
        <v>143</v>
      </c>
      <c r="J734" s="1" t="str">
        <f>"01043977573"</f>
        <v>01043977573</v>
      </c>
      <c r="K734" s="1" t="str">
        <f>"2017-04-07 15:12:59"</f>
        <v>2017-04-07 15:12:59</v>
      </c>
      <c r="L734" s="1" t="str">
        <f>"2017-04-07 15:13:55"</f>
        <v>2017-04-07 15:13:55</v>
      </c>
      <c r="M734" s="2">
        <v>9.479166666666667E-3</v>
      </c>
      <c r="N734" s="1" t="s">
        <v>26</v>
      </c>
      <c r="O734" s="1" t="s">
        <v>34</v>
      </c>
      <c r="P734" s="2">
        <v>1.0127314814814815E-2</v>
      </c>
      <c r="Q734" s="1" t="s">
        <v>646</v>
      </c>
      <c r="R734" s="1">
        <v>0</v>
      </c>
      <c r="S734" s="1" t="str">
        <f>""</f>
        <v/>
      </c>
      <c r="T734" s="1" t="s">
        <v>29</v>
      </c>
      <c r="U734" s="1" t="s">
        <v>30</v>
      </c>
      <c r="V734" s="1">
        <v>0</v>
      </c>
    </row>
    <row r="735" spans="2:22" x14ac:dyDescent="0.15">
      <c r="B735" s="1" t="str">
        <f>"188****1949"</f>
        <v>188****1949</v>
      </c>
      <c r="C735" s="1" t="s">
        <v>23</v>
      </c>
      <c r="D735" s="1" t="str">
        <f t="shared" si="79"/>
        <v>89177328</v>
      </c>
      <c r="E735" s="1" t="s">
        <v>24</v>
      </c>
      <c r="F735" s="1" t="str">
        <f t="shared" si="80"/>
        <v>0010</v>
      </c>
      <c r="G735" s="1" t="str">
        <f>""</f>
        <v/>
      </c>
      <c r="H735" s="1" t="str">
        <f>"0017"</f>
        <v>0017</v>
      </c>
      <c r="I735" s="1" t="s">
        <v>135</v>
      </c>
      <c r="J735" s="1" t="str">
        <f>"01043989717"</f>
        <v>01043989717</v>
      </c>
      <c r="K735" s="1" t="str">
        <f>"2017-04-07 15:11:33"</f>
        <v>2017-04-07 15:11:33</v>
      </c>
      <c r="L735" s="1" t="str">
        <f>"2017-04-07 15:11:42"</f>
        <v>2017-04-07 15:11:42</v>
      </c>
      <c r="M735" s="2">
        <v>1.1388888888888888E-2</v>
      </c>
      <c r="N735" s="1" t="s">
        <v>26</v>
      </c>
      <c r="O735" s="1" t="s">
        <v>27</v>
      </c>
      <c r="P735" s="2">
        <v>1.1493055555555555E-2</v>
      </c>
      <c r="Q735" s="1" t="s">
        <v>647</v>
      </c>
      <c r="R735" s="1">
        <v>0</v>
      </c>
      <c r="S735" s="1" t="str">
        <f>""</f>
        <v/>
      </c>
      <c r="T735" s="1" t="s">
        <v>29</v>
      </c>
      <c r="U735" s="1" t="s">
        <v>30</v>
      </c>
      <c r="V735" s="1">
        <v>0</v>
      </c>
    </row>
    <row r="736" spans="2:22" x14ac:dyDescent="0.15">
      <c r="B736" s="1" t="str">
        <f>"130****5656"</f>
        <v>130****5656</v>
      </c>
      <c r="C736" s="1" t="s">
        <v>112</v>
      </c>
      <c r="D736" s="1" t="str">
        <f t="shared" si="79"/>
        <v>89177328</v>
      </c>
      <c r="E736" s="1" t="s">
        <v>24</v>
      </c>
      <c r="F736" s="1" t="str">
        <f t="shared" si="80"/>
        <v>0010</v>
      </c>
      <c r="G736" s="1" t="str">
        <f>""</f>
        <v/>
      </c>
      <c r="H736" s="1" t="str">
        <f>"0017"</f>
        <v>0017</v>
      </c>
      <c r="I736" s="1" t="s">
        <v>135</v>
      </c>
      <c r="J736" s="1" t="str">
        <f>"01043989717"</f>
        <v>01043989717</v>
      </c>
      <c r="K736" s="1" t="str">
        <f>"2017-04-07 15:05:59"</f>
        <v>2017-04-07 15:05:59</v>
      </c>
      <c r="L736" s="1" t="str">
        <f>"-"</f>
        <v>-</v>
      </c>
      <c r="M736" s="2">
        <v>0</v>
      </c>
      <c r="N736" s="1" t="s">
        <v>33</v>
      </c>
      <c r="O736" s="1" t="s">
        <v>34</v>
      </c>
      <c r="P736" s="2">
        <v>4.6296296296296294E-5</v>
      </c>
      <c r="Q736" s="1" t="str">
        <f>""</f>
        <v/>
      </c>
      <c r="R736" s="1">
        <v>0</v>
      </c>
      <c r="S736" s="1" t="str">
        <f>""</f>
        <v/>
      </c>
      <c r="T736" s="1" t="s">
        <v>29</v>
      </c>
      <c r="U736" s="1" t="s">
        <v>30</v>
      </c>
      <c r="V736" s="1">
        <v>0</v>
      </c>
    </row>
    <row r="737" spans="2:22" x14ac:dyDescent="0.15">
      <c r="B737" s="1" t="str">
        <f>"130****5656"</f>
        <v>130****5656</v>
      </c>
      <c r="C737" s="1" t="s">
        <v>112</v>
      </c>
      <c r="D737" s="1" t="str">
        <f t="shared" si="79"/>
        <v>89177328</v>
      </c>
      <c r="E737" s="1" t="s">
        <v>24</v>
      </c>
      <c r="F737" s="1" t="str">
        <f t="shared" si="80"/>
        <v>0010</v>
      </c>
      <c r="G737" s="1" t="str">
        <f>""</f>
        <v/>
      </c>
      <c r="H737" s="1" t="str">
        <f>"0017"</f>
        <v>0017</v>
      </c>
      <c r="I737" s="1" t="s">
        <v>135</v>
      </c>
      <c r="J737" s="1" t="str">
        <f>"01043989717"</f>
        <v>01043989717</v>
      </c>
      <c r="K737" s="1" t="str">
        <f>"2017-04-07 15:03:57"</f>
        <v>2017-04-07 15:03:57</v>
      </c>
      <c r="L737" s="1" t="str">
        <f>"-"</f>
        <v>-</v>
      </c>
      <c r="M737" s="2">
        <v>0</v>
      </c>
      <c r="N737" s="1" t="s">
        <v>33</v>
      </c>
      <c r="O737" s="1" t="s">
        <v>34</v>
      </c>
      <c r="P737" s="2">
        <v>4.6296296296296294E-5</v>
      </c>
      <c r="Q737" s="1" t="str">
        <f>""</f>
        <v/>
      </c>
      <c r="R737" s="1">
        <v>0</v>
      </c>
      <c r="S737" s="1" t="str">
        <f>""</f>
        <v/>
      </c>
      <c r="T737" s="1" t="s">
        <v>29</v>
      </c>
      <c r="U737" s="1" t="s">
        <v>30</v>
      </c>
      <c r="V737" s="1">
        <v>0</v>
      </c>
    </row>
    <row r="738" spans="2:22" x14ac:dyDescent="0.15">
      <c r="B738" s="1" t="str">
        <f>"189****3887"</f>
        <v>189****3887</v>
      </c>
      <c r="C738" s="1" t="s">
        <v>527</v>
      </c>
      <c r="D738" s="1" t="str">
        <f t="shared" si="79"/>
        <v>89177328</v>
      </c>
      <c r="E738" s="1" t="s">
        <v>24</v>
      </c>
      <c r="F738" s="1" t="str">
        <f t="shared" si="80"/>
        <v>0010</v>
      </c>
      <c r="G738" s="1" t="str">
        <f>""</f>
        <v/>
      </c>
      <c r="H738" s="1" t="str">
        <f>"0018"</f>
        <v>0018</v>
      </c>
      <c r="I738" s="1" t="s">
        <v>36</v>
      </c>
      <c r="J738" s="1" t="str">
        <f>"01043977572"</f>
        <v>01043977572</v>
      </c>
      <c r="K738" s="1" t="str">
        <f>"2017-04-07 15:03:45"</f>
        <v>2017-04-07 15:03:45</v>
      </c>
      <c r="L738" s="1" t="str">
        <f>"2017-04-07 15:03:57"</f>
        <v>2017-04-07 15:03:57</v>
      </c>
      <c r="M738" s="2">
        <v>1.4074074074074074E-2</v>
      </c>
      <c r="N738" s="1" t="s">
        <v>26</v>
      </c>
      <c r="O738" s="1" t="s">
        <v>34</v>
      </c>
      <c r="P738" s="2">
        <v>1.4212962962962962E-2</v>
      </c>
      <c r="Q738" s="1" t="s">
        <v>648</v>
      </c>
      <c r="R738" s="1">
        <v>0</v>
      </c>
      <c r="S738" s="1" t="str">
        <f>""</f>
        <v/>
      </c>
      <c r="T738" s="1" t="s">
        <v>29</v>
      </c>
      <c r="U738" s="1" t="s">
        <v>30</v>
      </c>
      <c r="V738" s="1">
        <v>0</v>
      </c>
    </row>
    <row r="739" spans="2:22" x14ac:dyDescent="0.15">
      <c r="B739" s="1" t="str">
        <f>"186****3801"</f>
        <v>186****3801</v>
      </c>
      <c r="C739" s="1" t="s">
        <v>23</v>
      </c>
      <c r="D739" s="1" t="str">
        <f t="shared" si="79"/>
        <v>89177328</v>
      </c>
      <c r="E739" s="1" t="s">
        <v>24</v>
      </c>
      <c r="F739" s="1" t="str">
        <f t="shared" si="80"/>
        <v>0010</v>
      </c>
      <c r="G739" s="1" t="str">
        <f>""</f>
        <v/>
      </c>
      <c r="H739" s="1" t="str">
        <f>"0032"</f>
        <v>0032</v>
      </c>
      <c r="I739" s="1" t="s">
        <v>119</v>
      </c>
      <c r="J739" s="1" t="str">
        <f>"01043977566"</f>
        <v>01043977566</v>
      </c>
      <c r="K739" s="1" t="str">
        <f>"2017-04-07 15:02:18"</f>
        <v>2017-04-07 15:02:18</v>
      </c>
      <c r="L739" s="1" t="str">
        <f>"2017-04-07 15:02:32"</f>
        <v>2017-04-07 15:02:32</v>
      </c>
      <c r="M739" s="2">
        <v>1.1377314814814814E-2</v>
      </c>
      <c r="N739" s="1" t="s">
        <v>26</v>
      </c>
      <c r="O739" s="1" t="s">
        <v>34</v>
      </c>
      <c r="P739" s="2">
        <v>1.1539351851851851E-2</v>
      </c>
      <c r="Q739" s="1" t="s">
        <v>649</v>
      </c>
      <c r="R739" s="1">
        <v>0</v>
      </c>
      <c r="S739" s="1" t="str">
        <f>""</f>
        <v/>
      </c>
      <c r="T739" s="1" t="s">
        <v>29</v>
      </c>
      <c r="U739" s="1" t="s">
        <v>30</v>
      </c>
      <c r="V739" s="1">
        <v>0</v>
      </c>
    </row>
    <row r="740" spans="2:22" x14ac:dyDescent="0.15">
      <c r="B740" s="1" t="str">
        <f>"130****5656"</f>
        <v>130****5656</v>
      </c>
      <c r="C740" s="1" t="s">
        <v>112</v>
      </c>
      <c r="D740" s="1" t="str">
        <f t="shared" si="79"/>
        <v>89177328</v>
      </c>
      <c r="E740" s="1" t="s">
        <v>24</v>
      </c>
      <c r="F740" s="1" t="str">
        <f t="shared" si="80"/>
        <v>0010</v>
      </c>
      <c r="G740" s="1" t="str">
        <f>""</f>
        <v/>
      </c>
      <c r="H740" s="1" t="str">
        <f>"0032"</f>
        <v>0032</v>
      </c>
      <c r="I740" s="1" t="s">
        <v>119</v>
      </c>
      <c r="J740" s="1" t="str">
        <f>"01043977566"</f>
        <v>01043977566</v>
      </c>
      <c r="K740" s="1" t="str">
        <f>"2017-04-07 15:01:34"</f>
        <v>2017-04-07 15:01:34</v>
      </c>
      <c r="L740" s="1" t="str">
        <f>"-"</f>
        <v>-</v>
      </c>
      <c r="M740" s="2">
        <v>0</v>
      </c>
      <c r="N740" s="1" t="s">
        <v>33</v>
      </c>
      <c r="O740" s="1" t="s">
        <v>34</v>
      </c>
      <c r="P740" s="2">
        <v>5.7870370370370366E-5</v>
      </c>
      <c r="Q740" s="1" t="str">
        <f>""</f>
        <v/>
      </c>
      <c r="R740" s="1">
        <v>0</v>
      </c>
      <c r="S740" s="1" t="str">
        <f>""</f>
        <v/>
      </c>
      <c r="T740" s="1" t="s">
        <v>29</v>
      </c>
      <c r="U740" s="1" t="s">
        <v>30</v>
      </c>
      <c r="V740" s="1">
        <v>0</v>
      </c>
    </row>
    <row r="741" spans="2:22" x14ac:dyDescent="0.15">
      <c r="B741" s="1" t="str">
        <f>"010****6699"</f>
        <v>010****6699</v>
      </c>
      <c r="C741" s="1" t="s">
        <v>23</v>
      </c>
      <c r="D741" s="1" t="str">
        <f t="shared" si="79"/>
        <v>89177328</v>
      </c>
      <c r="E741" s="1" t="s">
        <v>24</v>
      </c>
      <c r="F741" s="1" t="str">
        <f t="shared" si="80"/>
        <v>0010</v>
      </c>
      <c r="G741" s="1" t="str">
        <f>""</f>
        <v/>
      </c>
      <c r="H741" s="1" t="str">
        <f>"0017"</f>
        <v>0017</v>
      </c>
      <c r="I741" s="1" t="s">
        <v>135</v>
      </c>
      <c r="J741" s="1" t="str">
        <f>"01043989717"</f>
        <v>01043989717</v>
      </c>
      <c r="K741" s="1" t="str">
        <f>"2017-04-07 14:56:47"</f>
        <v>2017-04-07 14:56:47</v>
      </c>
      <c r="L741" s="1" t="str">
        <f>"2017-04-07 14:56:54"</f>
        <v>2017-04-07 14:56:54</v>
      </c>
      <c r="M741" s="2">
        <v>7.7546296296296304E-4</v>
      </c>
      <c r="N741" s="1" t="s">
        <v>26</v>
      </c>
      <c r="O741" s="1" t="s">
        <v>27</v>
      </c>
      <c r="P741" s="2">
        <v>8.564814814814815E-4</v>
      </c>
      <c r="Q741" s="1" t="s">
        <v>650</v>
      </c>
      <c r="R741" s="1">
        <v>0</v>
      </c>
      <c r="S741" s="1" t="str">
        <f>""</f>
        <v/>
      </c>
      <c r="T741" s="1" t="s">
        <v>29</v>
      </c>
      <c r="U741" s="1" t="s">
        <v>30</v>
      </c>
      <c r="V741" s="1">
        <v>0</v>
      </c>
    </row>
    <row r="742" spans="2:22" x14ac:dyDescent="0.15">
      <c r="B742" s="1" t="str">
        <f>"183****9332"</f>
        <v>183****9332</v>
      </c>
      <c r="C742" s="1" t="s">
        <v>44</v>
      </c>
      <c r="D742" s="1" t="str">
        <f t="shared" si="79"/>
        <v>89177328</v>
      </c>
      <c r="E742" s="1" t="s">
        <v>24</v>
      </c>
      <c r="F742" s="1" t="str">
        <f t="shared" si="80"/>
        <v>0010</v>
      </c>
      <c r="G742" s="1" t="str">
        <f>""</f>
        <v/>
      </c>
      <c r="H742" s="1" t="str">
        <f>"0036"</f>
        <v>0036</v>
      </c>
      <c r="I742" s="1" t="s">
        <v>143</v>
      </c>
      <c r="J742" s="1" t="str">
        <f>"01043977573"</f>
        <v>01043977573</v>
      </c>
      <c r="K742" s="1" t="str">
        <f>"2017-04-07 14:53:18"</f>
        <v>2017-04-07 14:53:18</v>
      </c>
      <c r="L742" s="1" t="str">
        <f>"2017-04-07 14:53:23"</f>
        <v>2017-04-07 14:53:23</v>
      </c>
      <c r="M742" s="2">
        <v>1.4120370370370368E-2</v>
      </c>
      <c r="N742" s="1" t="s">
        <v>26</v>
      </c>
      <c r="O742" s="1" t="s">
        <v>34</v>
      </c>
      <c r="P742" s="2">
        <v>1.4178240740740741E-2</v>
      </c>
      <c r="Q742" s="1" t="s">
        <v>651</v>
      </c>
      <c r="R742" s="1">
        <v>0</v>
      </c>
      <c r="S742" s="1" t="str">
        <f>""</f>
        <v/>
      </c>
      <c r="T742" s="1" t="s">
        <v>29</v>
      </c>
      <c r="U742" s="1" t="s">
        <v>30</v>
      </c>
      <c r="V742" s="1">
        <v>0</v>
      </c>
    </row>
    <row r="743" spans="2:22" x14ac:dyDescent="0.15">
      <c r="B743" s="1" t="str">
        <f>"186****8407"</f>
        <v>186****8407</v>
      </c>
      <c r="C743" s="1" t="s">
        <v>241</v>
      </c>
      <c r="D743" s="1" t="str">
        <f t="shared" si="79"/>
        <v>89177328</v>
      </c>
      <c r="E743" s="1" t="s">
        <v>24</v>
      </c>
      <c r="F743" s="1" t="str">
        <f t="shared" si="80"/>
        <v>0010</v>
      </c>
      <c r="G743" s="1" t="str">
        <f>""</f>
        <v/>
      </c>
      <c r="H743" s="1" t="str">
        <f>"0018"</f>
        <v>0018</v>
      </c>
      <c r="I743" s="1" t="s">
        <v>36</v>
      </c>
      <c r="J743" s="1" t="str">
        <f>"01043977572"</f>
        <v>01043977572</v>
      </c>
      <c r="K743" s="1" t="str">
        <f>"2017-04-07 14:37:56"</f>
        <v>2017-04-07 14:37:56</v>
      </c>
      <c r="L743" s="1" t="str">
        <f>"2017-04-07 14:38:08"</f>
        <v>2017-04-07 14:38:08</v>
      </c>
      <c r="M743" s="2">
        <v>1.2037037037037035E-2</v>
      </c>
      <c r="N743" s="1" t="s">
        <v>26</v>
      </c>
      <c r="O743" s="1" t="s">
        <v>34</v>
      </c>
      <c r="P743" s="2">
        <v>1.2175925925925929E-2</v>
      </c>
      <c r="Q743" s="1" t="s">
        <v>652</v>
      </c>
      <c r="R743" s="1">
        <v>0</v>
      </c>
      <c r="S743" s="1" t="str">
        <f>""</f>
        <v/>
      </c>
      <c r="T743" s="1" t="s">
        <v>29</v>
      </c>
      <c r="U743" s="1" t="s">
        <v>30</v>
      </c>
      <c r="V743" s="1">
        <v>0</v>
      </c>
    </row>
    <row r="744" spans="2:22" x14ac:dyDescent="0.15">
      <c r="B744" s="1" t="str">
        <f>"159****2658"</f>
        <v>159****2658</v>
      </c>
      <c r="C744" s="1" t="s">
        <v>97</v>
      </c>
      <c r="D744" s="1" t="str">
        <f>"4000108333"</f>
        <v>4000108333</v>
      </c>
      <c r="E744" s="1" t="s">
        <v>53</v>
      </c>
      <c r="F744" s="1" t="str">
        <f>"0001"</f>
        <v>0001</v>
      </c>
      <c r="G744" s="1" t="str">
        <f>""</f>
        <v/>
      </c>
      <c r="H744" s="1" t="str">
        <f>"0001"</f>
        <v>0001</v>
      </c>
      <c r="I744" s="1" t="s">
        <v>129</v>
      </c>
      <c r="J744" s="1" t="str">
        <f>"13699138136"</f>
        <v>13699138136</v>
      </c>
      <c r="K744" s="1" t="str">
        <f>"2017-04-07 14:34:40"</f>
        <v>2017-04-07 14:34:40</v>
      </c>
      <c r="L744" s="1" t="str">
        <f>"2017-04-07 14:37:26"</f>
        <v>2017-04-07 14:37:26</v>
      </c>
      <c r="M744" s="2">
        <v>7.8240740740740753E-3</v>
      </c>
      <c r="N744" s="1" t="s">
        <v>26</v>
      </c>
      <c r="O744" s="1" t="s">
        <v>27</v>
      </c>
      <c r="P744" s="2">
        <v>9.7453703703703713E-3</v>
      </c>
      <c r="Q744" s="1" t="s">
        <v>653</v>
      </c>
      <c r="R744" s="1">
        <v>1.68</v>
      </c>
      <c r="S744" s="1" t="str">
        <f>""</f>
        <v/>
      </c>
      <c r="T744" s="1" t="s">
        <v>29</v>
      </c>
      <c r="U744" s="1" t="s">
        <v>30</v>
      </c>
      <c r="V744" s="1">
        <v>0</v>
      </c>
    </row>
    <row r="745" spans="2:22" x14ac:dyDescent="0.15">
      <c r="B745" s="1" t="str">
        <f>"133****7721"</f>
        <v>133****7721</v>
      </c>
      <c r="C745" s="1" t="s">
        <v>23</v>
      </c>
      <c r="D745" s="1" t="str">
        <f>"4000108333"</f>
        <v>4000108333</v>
      </c>
      <c r="E745" s="1" t="s">
        <v>53</v>
      </c>
      <c r="F745" s="1" t="str">
        <f>"0001"</f>
        <v>0001</v>
      </c>
      <c r="G745" s="1" t="str">
        <f>""</f>
        <v/>
      </c>
      <c r="H745" s="1" t="str">
        <f>"0005"</f>
        <v>0005</v>
      </c>
      <c r="I745" s="1" t="s">
        <v>298</v>
      </c>
      <c r="J745" s="1" t="str">
        <f>"18600169000"</f>
        <v>18600169000</v>
      </c>
      <c r="K745" s="1" t="str">
        <f>"2017-04-07 14:30:30"</f>
        <v>2017-04-07 14:30:30</v>
      </c>
      <c r="L745" s="1" t="str">
        <f>"2017-04-07 14:32:49"</f>
        <v>2017-04-07 14:32:49</v>
      </c>
      <c r="M745" s="2">
        <v>7.6388888888888893E-4</v>
      </c>
      <c r="N745" s="1" t="s">
        <v>26</v>
      </c>
      <c r="O745" s="1" t="s">
        <v>34</v>
      </c>
      <c r="P745" s="2">
        <v>2.3726851851851851E-3</v>
      </c>
      <c r="Q745" s="1" t="s">
        <v>654</v>
      </c>
      <c r="R745" s="1">
        <v>0.48</v>
      </c>
      <c r="S745" s="1" t="str">
        <f>""</f>
        <v/>
      </c>
      <c r="T745" s="1" t="s">
        <v>29</v>
      </c>
      <c r="U745" s="1" t="s">
        <v>30</v>
      </c>
      <c r="V745" s="1">
        <v>0</v>
      </c>
    </row>
    <row r="746" spans="2:22" x14ac:dyDescent="0.15">
      <c r="B746" s="1" t="str">
        <f>"136****5737"</f>
        <v>136****5737</v>
      </c>
      <c r="C746" s="1" t="s">
        <v>23</v>
      </c>
      <c r="D746" s="1" t="str">
        <f>"89177328"</f>
        <v>89177328</v>
      </c>
      <c r="E746" s="1" t="s">
        <v>24</v>
      </c>
      <c r="F746" s="1" t="str">
        <f>"0010"</f>
        <v>0010</v>
      </c>
      <c r="G746" s="1" t="str">
        <f>""</f>
        <v/>
      </c>
      <c r="H746" s="1" t="str">
        <f>"0017"</f>
        <v>0017</v>
      </c>
      <c r="I746" s="1" t="s">
        <v>135</v>
      </c>
      <c r="J746" s="1" t="str">
        <f>"01043989717"</f>
        <v>01043989717</v>
      </c>
      <c r="K746" s="1" t="str">
        <f>"2017-04-07 14:15:25"</f>
        <v>2017-04-07 14:15:25</v>
      </c>
      <c r="L746" s="1" t="str">
        <f>"2017-04-07 14:15:32"</f>
        <v>2017-04-07 14:15:32</v>
      </c>
      <c r="M746" s="2">
        <v>2.0254629629629629E-3</v>
      </c>
      <c r="N746" s="1" t="s">
        <v>26</v>
      </c>
      <c r="O746" s="1" t="s">
        <v>27</v>
      </c>
      <c r="P746" s="2">
        <v>2.1064814814814813E-3</v>
      </c>
      <c r="Q746" s="1" t="s">
        <v>655</v>
      </c>
      <c r="R746" s="1">
        <v>0</v>
      </c>
      <c r="S746" s="1" t="str">
        <f>""</f>
        <v/>
      </c>
      <c r="T746" s="1" t="s">
        <v>29</v>
      </c>
      <c r="U746" s="1" t="s">
        <v>30</v>
      </c>
      <c r="V746" s="1">
        <v>0</v>
      </c>
    </row>
    <row r="747" spans="2:22" x14ac:dyDescent="0.15">
      <c r="B747" s="1" t="str">
        <f>"133****7721"</f>
        <v>133****7721</v>
      </c>
      <c r="C747" s="1" t="s">
        <v>23</v>
      </c>
      <c r="D747" s="1" t="str">
        <f>"4000108333"</f>
        <v>4000108333</v>
      </c>
      <c r="E747" s="1" t="s">
        <v>53</v>
      </c>
      <c r="F747" s="1" t="str">
        <f>"0000"</f>
        <v>0000</v>
      </c>
      <c r="G747" s="1" t="str">
        <f>""</f>
        <v/>
      </c>
      <c r="H747" s="1" t="str">
        <f>"1010"</f>
        <v>1010</v>
      </c>
      <c r="I747" s="1" t="s">
        <v>148</v>
      </c>
      <c r="J747" s="1" t="str">
        <f>"13718091869"</f>
        <v>13718091869</v>
      </c>
      <c r="K747" s="1" t="str">
        <f>"2017-04-07 14:14:37"</f>
        <v>2017-04-07 14:14:37</v>
      </c>
      <c r="L747" s="1" t="str">
        <f>"2017-04-07 14:15:13"</f>
        <v>2017-04-07 14:15:13</v>
      </c>
      <c r="M747" s="2">
        <v>9.0277777777777784E-4</v>
      </c>
      <c r="N747" s="1" t="s">
        <v>26</v>
      </c>
      <c r="O747" s="1" t="s">
        <v>34</v>
      </c>
      <c r="P747" s="2">
        <v>1.3194444444444443E-3</v>
      </c>
      <c r="Q747" s="1" t="s">
        <v>656</v>
      </c>
      <c r="R747" s="1">
        <v>0.24</v>
      </c>
      <c r="S747" s="1" t="str">
        <f>""</f>
        <v/>
      </c>
      <c r="T747" s="1" t="s">
        <v>29</v>
      </c>
      <c r="U747" s="1" t="s">
        <v>30</v>
      </c>
      <c r="V747" s="1">
        <v>0</v>
      </c>
    </row>
    <row r="748" spans="2:22" x14ac:dyDescent="0.15">
      <c r="B748" s="1" t="str">
        <f>"150****7399"</f>
        <v>150****7399</v>
      </c>
      <c r="C748" s="1" t="s">
        <v>23</v>
      </c>
      <c r="D748" s="1" t="str">
        <f t="shared" ref="D748:D811" si="81">"89177328"</f>
        <v>89177328</v>
      </c>
      <c r="E748" s="1" t="s">
        <v>24</v>
      </c>
      <c r="F748" s="1" t="str">
        <f t="shared" ref="F748:F802" si="82">"0010"</f>
        <v>0010</v>
      </c>
      <c r="G748" s="1" t="str">
        <f>""</f>
        <v/>
      </c>
      <c r="H748" s="1" t="str">
        <f>"0034"</f>
        <v>0034</v>
      </c>
      <c r="I748" s="1" t="s">
        <v>31</v>
      </c>
      <c r="J748" s="1" t="str">
        <f>"01043977568"</f>
        <v>01043977568</v>
      </c>
      <c r="K748" s="1" t="str">
        <f>"2017-04-07 14:10:02"</f>
        <v>2017-04-07 14:10:02</v>
      </c>
      <c r="L748" s="1" t="str">
        <f>"2017-04-07 14:10:11"</f>
        <v>2017-04-07 14:10:11</v>
      </c>
      <c r="M748" s="2">
        <v>8.7499999999999991E-3</v>
      </c>
      <c r="N748" s="1" t="s">
        <v>26</v>
      </c>
      <c r="O748" s="1" t="s">
        <v>34</v>
      </c>
      <c r="P748" s="2">
        <v>8.8541666666666664E-3</v>
      </c>
      <c r="Q748" s="1" t="s">
        <v>657</v>
      </c>
      <c r="R748" s="1">
        <v>0</v>
      </c>
      <c r="S748" s="1" t="str">
        <f>""</f>
        <v/>
      </c>
      <c r="T748" s="1" t="s">
        <v>29</v>
      </c>
      <c r="U748" s="1" t="s">
        <v>30</v>
      </c>
      <c r="V748" s="1">
        <v>0</v>
      </c>
    </row>
    <row r="749" spans="2:22" x14ac:dyDescent="0.15">
      <c r="B749" s="1" t="str">
        <f>"132****5685"</f>
        <v>132****5685</v>
      </c>
      <c r="C749" s="1" t="s">
        <v>23</v>
      </c>
      <c r="D749" s="1" t="str">
        <f t="shared" si="81"/>
        <v>89177328</v>
      </c>
      <c r="E749" s="1" t="s">
        <v>24</v>
      </c>
      <c r="F749" s="1" t="str">
        <f t="shared" si="82"/>
        <v>0010</v>
      </c>
      <c r="G749" s="1" t="str">
        <f>""</f>
        <v/>
      </c>
      <c r="H749" s="1" t="str">
        <f>"0035"</f>
        <v>0035</v>
      </c>
      <c r="I749" s="1" t="s">
        <v>25</v>
      </c>
      <c r="J749" s="1" t="str">
        <f>"01043977569"</f>
        <v>01043977569</v>
      </c>
      <c r="K749" s="1" t="str">
        <f>"2017-04-07 14:09:32"</f>
        <v>2017-04-07 14:09:32</v>
      </c>
      <c r="L749" s="1" t="str">
        <f>"2017-04-07 14:09:42"</f>
        <v>2017-04-07 14:09:42</v>
      </c>
      <c r="M749" s="2">
        <v>8.5995370370370357E-3</v>
      </c>
      <c r="N749" s="1" t="s">
        <v>26</v>
      </c>
      <c r="O749" s="1" t="s">
        <v>34</v>
      </c>
      <c r="P749" s="2">
        <v>8.7152777777777784E-3</v>
      </c>
      <c r="Q749" s="1" t="s">
        <v>658</v>
      </c>
      <c r="R749" s="1">
        <v>0</v>
      </c>
      <c r="S749" s="1" t="str">
        <f>""</f>
        <v/>
      </c>
      <c r="T749" s="1" t="s">
        <v>29</v>
      </c>
      <c r="U749" s="1" t="s">
        <v>30</v>
      </c>
      <c r="V749" s="1">
        <v>0</v>
      </c>
    </row>
    <row r="750" spans="2:22" x14ac:dyDescent="0.15">
      <c r="B750" s="1" t="str">
        <f>"136****6307"</f>
        <v>136****6307</v>
      </c>
      <c r="C750" s="1" t="s">
        <v>23</v>
      </c>
      <c r="D750" s="1" t="str">
        <f t="shared" si="81"/>
        <v>89177328</v>
      </c>
      <c r="E750" s="1" t="s">
        <v>24</v>
      </c>
      <c r="F750" s="1" t="str">
        <f t="shared" si="82"/>
        <v>0010</v>
      </c>
      <c r="G750" s="1" t="str">
        <f>""</f>
        <v/>
      </c>
      <c r="H750" s="1" t="str">
        <f>"0035"</f>
        <v>0035</v>
      </c>
      <c r="I750" s="1" t="s">
        <v>25</v>
      </c>
      <c r="J750" s="1" t="str">
        <f>"01043977569"</f>
        <v>01043977569</v>
      </c>
      <c r="K750" s="1" t="str">
        <f>"2017-04-07 14:04:45"</f>
        <v>2017-04-07 14:04:45</v>
      </c>
      <c r="L750" s="1" t="str">
        <f>"-"</f>
        <v>-</v>
      </c>
      <c r="M750" s="2">
        <v>0</v>
      </c>
      <c r="N750" s="1" t="s">
        <v>33</v>
      </c>
      <c r="O750" s="1" t="s">
        <v>34</v>
      </c>
      <c r="P750" s="2">
        <v>5.7870370370370366E-5</v>
      </c>
      <c r="Q750" s="1" t="str">
        <f>""</f>
        <v/>
      </c>
      <c r="R750" s="1">
        <v>0</v>
      </c>
      <c r="S750" s="1" t="str">
        <f>""</f>
        <v/>
      </c>
      <c r="T750" s="1" t="s">
        <v>29</v>
      </c>
      <c r="U750" s="1" t="s">
        <v>30</v>
      </c>
      <c r="V750" s="1">
        <v>0</v>
      </c>
    </row>
    <row r="751" spans="2:22" x14ac:dyDescent="0.15">
      <c r="B751" s="1" t="str">
        <f>"136****5940"</f>
        <v>136****5940</v>
      </c>
      <c r="C751" s="1" t="s">
        <v>23</v>
      </c>
      <c r="D751" s="1" t="str">
        <f t="shared" si="81"/>
        <v>89177328</v>
      </c>
      <c r="E751" s="1" t="s">
        <v>24</v>
      </c>
      <c r="F751" s="1" t="str">
        <f t="shared" si="82"/>
        <v>0010</v>
      </c>
      <c r="G751" s="1" t="str">
        <f>""</f>
        <v/>
      </c>
      <c r="H751" s="1" t="str">
        <f>"0034"</f>
        <v>0034</v>
      </c>
      <c r="I751" s="1" t="s">
        <v>31</v>
      </c>
      <c r="J751" s="1" t="str">
        <f>"01043977568"</f>
        <v>01043977568</v>
      </c>
      <c r="K751" s="1" t="str">
        <f>"2017-04-07 13:41:14"</f>
        <v>2017-04-07 13:41:14</v>
      </c>
      <c r="L751" s="1" t="str">
        <f>"2017-04-07 13:41:27"</f>
        <v>2017-04-07 13:41:27</v>
      </c>
      <c r="M751" s="2">
        <v>1.5046296296296294E-3</v>
      </c>
      <c r="N751" s="1" t="s">
        <v>26</v>
      </c>
      <c r="O751" s="1" t="s">
        <v>27</v>
      </c>
      <c r="P751" s="2">
        <v>1.6550925925925926E-3</v>
      </c>
      <c r="Q751" s="1" t="s">
        <v>659</v>
      </c>
      <c r="R751" s="1">
        <v>0</v>
      </c>
      <c r="S751" s="1" t="str">
        <f>""</f>
        <v/>
      </c>
      <c r="T751" s="1" t="s">
        <v>29</v>
      </c>
      <c r="U751" s="1" t="s">
        <v>30</v>
      </c>
      <c r="V751" s="1">
        <v>0</v>
      </c>
    </row>
    <row r="752" spans="2:22" x14ac:dyDescent="0.15">
      <c r="B752" s="1" t="str">
        <f>"139****0168"</f>
        <v>139****0168</v>
      </c>
      <c r="C752" s="1" t="s">
        <v>244</v>
      </c>
      <c r="D752" s="1" t="str">
        <f t="shared" si="81"/>
        <v>89177328</v>
      </c>
      <c r="E752" s="1" t="s">
        <v>24</v>
      </c>
      <c r="F752" s="1" t="str">
        <f t="shared" si="82"/>
        <v>0010</v>
      </c>
      <c r="G752" s="1" t="str">
        <f>""</f>
        <v/>
      </c>
      <c r="H752" s="1" t="str">
        <f>"0035"</f>
        <v>0035</v>
      </c>
      <c r="I752" s="1" t="s">
        <v>25</v>
      </c>
      <c r="J752" s="1" t="str">
        <f>"01043977569"</f>
        <v>01043977569</v>
      </c>
      <c r="K752" s="1" t="str">
        <f>"2017-04-07 13:40:06"</f>
        <v>2017-04-07 13:40:06</v>
      </c>
      <c r="L752" s="1" t="str">
        <f>"2017-04-07 13:40:15"</f>
        <v>2017-04-07 13:40:15</v>
      </c>
      <c r="M752" s="2">
        <v>5.9143518518518521E-3</v>
      </c>
      <c r="N752" s="1" t="s">
        <v>26</v>
      </c>
      <c r="O752" s="1" t="s">
        <v>27</v>
      </c>
      <c r="P752" s="2">
        <v>6.0185185185185177E-3</v>
      </c>
      <c r="Q752" s="1" t="s">
        <v>660</v>
      </c>
      <c r="R752" s="1">
        <v>0</v>
      </c>
      <c r="S752" s="1" t="str">
        <f>""</f>
        <v/>
      </c>
      <c r="T752" s="1" t="s">
        <v>29</v>
      </c>
      <c r="U752" s="1" t="s">
        <v>30</v>
      </c>
      <c r="V752" s="1">
        <v>0</v>
      </c>
    </row>
    <row r="753" spans="2:22" x14ac:dyDescent="0.15">
      <c r="B753" s="1" t="str">
        <f>"180****1511"</f>
        <v>180****1511</v>
      </c>
      <c r="C753" s="1" t="s">
        <v>203</v>
      </c>
      <c r="D753" s="1" t="str">
        <f t="shared" si="81"/>
        <v>89177328</v>
      </c>
      <c r="E753" s="1" t="s">
        <v>24</v>
      </c>
      <c r="F753" s="1" t="str">
        <f t="shared" si="82"/>
        <v>0010</v>
      </c>
      <c r="G753" s="1" t="str">
        <f>""</f>
        <v/>
      </c>
      <c r="H753" s="1" t="str">
        <f>"0034"</f>
        <v>0034</v>
      </c>
      <c r="I753" s="1" t="s">
        <v>31</v>
      </c>
      <c r="J753" s="1" t="str">
        <f>"01043977568"</f>
        <v>01043977568</v>
      </c>
      <c r="K753" s="1" t="str">
        <f>"2017-04-07 13:37:23"</f>
        <v>2017-04-07 13:37:23</v>
      </c>
      <c r="L753" s="1" t="str">
        <f>"2017-04-07 13:37:34"</f>
        <v>2017-04-07 13:37:34</v>
      </c>
      <c r="M753" s="2">
        <v>1.9097222222222222E-3</v>
      </c>
      <c r="N753" s="1" t="s">
        <v>26</v>
      </c>
      <c r="O753" s="1" t="s">
        <v>34</v>
      </c>
      <c r="P753" s="2">
        <v>2.0370370370370373E-3</v>
      </c>
      <c r="Q753" s="1" t="s">
        <v>661</v>
      </c>
      <c r="R753" s="1">
        <v>0</v>
      </c>
      <c r="S753" s="1" t="str">
        <f>""</f>
        <v/>
      </c>
      <c r="T753" s="1" t="s">
        <v>29</v>
      </c>
      <c r="U753" s="1" t="s">
        <v>30</v>
      </c>
      <c r="V753" s="1">
        <v>0</v>
      </c>
    </row>
    <row r="754" spans="2:22" x14ac:dyDescent="0.15">
      <c r="B754" s="1" t="str">
        <f>"010****2807"</f>
        <v>010****2807</v>
      </c>
      <c r="C754" s="1" t="s">
        <v>23</v>
      </c>
      <c r="D754" s="1" t="str">
        <f t="shared" si="81"/>
        <v>89177328</v>
      </c>
      <c r="E754" s="1" t="s">
        <v>24</v>
      </c>
      <c r="F754" s="1" t="str">
        <f t="shared" si="82"/>
        <v>0010</v>
      </c>
      <c r="G754" s="1" t="str">
        <f>""</f>
        <v/>
      </c>
      <c r="H754" s="1" t="str">
        <f>"0034"</f>
        <v>0034</v>
      </c>
      <c r="I754" s="1" t="s">
        <v>31</v>
      </c>
      <c r="J754" s="1" t="str">
        <f>"01043977568"</f>
        <v>01043977568</v>
      </c>
      <c r="K754" s="1" t="str">
        <f>"2017-04-07 13:22:58"</f>
        <v>2017-04-07 13:22:58</v>
      </c>
      <c r="L754" s="1" t="str">
        <f>"2017-04-07 13:23:07"</f>
        <v>2017-04-07 13:23:07</v>
      </c>
      <c r="M754" s="2">
        <v>2.4074074074074076E-3</v>
      </c>
      <c r="N754" s="1" t="s">
        <v>26</v>
      </c>
      <c r="O754" s="1" t="s">
        <v>27</v>
      </c>
      <c r="P754" s="2">
        <v>2.5115740740740741E-3</v>
      </c>
      <c r="Q754" s="1" t="s">
        <v>662</v>
      </c>
      <c r="R754" s="1">
        <v>0</v>
      </c>
      <c r="S754" s="1" t="str">
        <f>""</f>
        <v/>
      </c>
      <c r="T754" s="1" t="s">
        <v>29</v>
      </c>
      <c r="U754" s="1" t="s">
        <v>30</v>
      </c>
      <c r="V754" s="1">
        <v>0</v>
      </c>
    </row>
    <row r="755" spans="2:22" x14ac:dyDescent="0.15">
      <c r="B755" s="1" t="str">
        <f>"133****7721"</f>
        <v>133****7721</v>
      </c>
      <c r="C755" s="1" t="s">
        <v>23</v>
      </c>
      <c r="D755" s="1" t="str">
        <f t="shared" si="81"/>
        <v>89177328</v>
      </c>
      <c r="E755" s="1" t="s">
        <v>24</v>
      </c>
      <c r="F755" s="1" t="str">
        <f t="shared" si="82"/>
        <v>0010</v>
      </c>
      <c r="G755" s="1" t="str">
        <f>""</f>
        <v/>
      </c>
      <c r="H755" s="1" t="str">
        <f>"0034"</f>
        <v>0034</v>
      </c>
      <c r="I755" s="1" t="s">
        <v>31</v>
      </c>
      <c r="J755" s="1" t="str">
        <f>"01043977568"</f>
        <v>01043977568</v>
      </c>
      <c r="K755" s="1" t="str">
        <f>"2017-04-07 13:16:19"</f>
        <v>2017-04-07 13:16:19</v>
      </c>
      <c r="L755" s="1" t="str">
        <f>"2017-04-07 13:16:27"</f>
        <v>2017-04-07 13:16:27</v>
      </c>
      <c r="M755" s="2">
        <v>1.8981481481481482E-3</v>
      </c>
      <c r="N755" s="1" t="s">
        <v>26</v>
      </c>
      <c r="O755" s="1" t="s">
        <v>34</v>
      </c>
      <c r="P755" s="2">
        <v>1.9907407407407408E-3</v>
      </c>
      <c r="Q755" s="1" t="s">
        <v>663</v>
      </c>
      <c r="R755" s="1">
        <v>0</v>
      </c>
      <c r="S755" s="1" t="str">
        <f>""</f>
        <v/>
      </c>
      <c r="T755" s="1" t="s">
        <v>29</v>
      </c>
      <c r="U755" s="1" t="s">
        <v>30</v>
      </c>
      <c r="V755" s="1">
        <v>0</v>
      </c>
    </row>
    <row r="756" spans="2:22" x14ac:dyDescent="0.15">
      <c r="B756" s="1" t="str">
        <f>"133****7721"</f>
        <v>133****7721</v>
      </c>
      <c r="C756" s="1" t="s">
        <v>23</v>
      </c>
      <c r="D756" s="1" t="str">
        <f t="shared" si="81"/>
        <v>89177328</v>
      </c>
      <c r="E756" s="1" t="s">
        <v>24</v>
      </c>
      <c r="F756" s="1" t="str">
        <f t="shared" si="82"/>
        <v>0010</v>
      </c>
      <c r="G756" s="1" t="str">
        <f>""</f>
        <v/>
      </c>
      <c r="H756" s="1" t="str">
        <f>"0034"</f>
        <v>0034</v>
      </c>
      <c r="I756" s="1" t="s">
        <v>31</v>
      </c>
      <c r="J756" s="1" t="str">
        <f>"01043977568"</f>
        <v>01043977568</v>
      </c>
      <c r="K756" s="1" t="str">
        <f>"2017-04-07 13:13:35"</f>
        <v>2017-04-07 13:13:35</v>
      </c>
      <c r="L756" s="1" t="str">
        <f>"-"</f>
        <v>-</v>
      </c>
      <c r="M756" s="2">
        <v>0</v>
      </c>
      <c r="N756" s="1" t="s">
        <v>33</v>
      </c>
      <c r="O756" s="1" t="s">
        <v>34</v>
      </c>
      <c r="P756" s="2">
        <v>1.1574074074074073E-5</v>
      </c>
      <c r="Q756" s="1" t="str">
        <f>""</f>
        <v/>
      </c>
      <c r="R756" s="1">
        <v>0</v>
      </c>
      <c r="S756" s="1" t="str">
        <f>""</f>
        <v/>
      </c>
      <c r="T756" s="1" t="s">
        <v>29</v>
      </c>
      <c r="U756" s="1" t="s">
        <v>30</v>
      </c>
      <c r="V756" s="1">
        <v>0</v>
      </c>
    </row>
    <row r="757" spans="2:22" x14ac:dyDescent="0.15">
      <c r="B757" s="1" t="str">
        <f>"152****7956"</f>
        <v>152****7956</v>
      </c>
      <c r="C757" s="1" t="s">
        <v>23</v>
      </c>
      <c r="D757" s="1" t="str">
        <f t="shared" si="81"/>
        <v>89177328</v>
      </c>
      <c r="E757" s="1" t="s">
        <v>24</v>
      </c>
      <c r="F757" s="1" t="str">
        <f t="shared" si="82"/>
        <v>0010</v>
      </c>
      <c r="G757" s="1" t="str">
        <f>""</f>
        <v/>
      </c>
      <c r="H757" s="1" t="str">
        <f>"0035"</f>
        <v>0035</v>
      </c>
      <c r="I757" s="1" t="s">
        <v>25</v>
      </c>
      <c r="J757" s="1" t="str">
        <f>"01043977569"</f>
        <v>01043977569</v>
      </c>
      <c r="K757" s="1" t="str">
        <f>"2017-04-07 12:41:19"</f>
        <v>2017-04-07 12:41:19</v>
      </c>
      <c r="L757" s="1" t="str">
        <f>"2017-04-07 12:41:29"</f>
        <v>2017-04-07 12:41:29</v>
      </c>
      <c r="M757" s="2">
        <v>1.8240740740740741E-2</v>
      </c>
      <c r="N757" s="1" t="s">
        <v>26</v>
      </c>
      <c r="O757" s="1" t="s">
        <v>27</v>
      </c>
      <c r="P757" s="2">
        <v>1.8356481481481481E-2</v>
      </c>
      <c r="Q757" s="1" t="s">
        <v>664</v>
      </c>
      <c r="R757" s="1">
        <v>0</v>
      </c>
      <c r="S757" s="1" t="str">
        <f>""</f>
        <v/>
      </c>
      <c r="T757" s="1" t="s">
        <v>29</v>
      </c>
      <c r="U757" s="1" t="s">
        <v>30</v>
      </c>
      <c r="V757" s="1">
        <v>0</v>
      </c>
    </row>
    <row r="758" spans="2:22" x14ac:dyDescent="0.15">
      <c r="B758" s="1" t="str">
        <f>"133****7721"</f>
        <v>133****7721</v>
      </c>
      <c r="C758" s="1" t="s">
        <v>23</v>
      </c>
      <c r="D758" s="1" t="str">
        <f t="shared" si="81"/>
        <v>89177328</v>
      </c>
      <c r="E758" s="1" t="s">
        <v>24</v>
      </c>
      <c r="F758" s="1" t="str">
        <f t="shared" si="82"/>
        <v>0010</v>
      </c>
      <c r="G758" s="1" t="str">
        <f>""</f>
        <v/>
      </c>
      <c r="H758" s="1" t="str">
        <f>"0031"</f>
        <v>0031</v>
      </c>
      <c r="I758" s="1" t="s">
        <v>95</v>
      </c>
      <c r="J758" s="1" t="str">
        <f>"01043977565"</f>
        <v>01043977565</v>
      </c>
      <c r="K758" s="1" t="str">
        <f>"2017-04-07 12:31:16"</f>
        <v>2017-04-07 12:31:16</v>
      </c>
      <c r="L758" s="1" t="str">
        <f>"2017-04-07 12:31:24"</f>
        <v>2017-04-07 12:31:24</v>
      </c>
      <c r="M758" s="2">
        <v>1.4525462962962964E-2</v>
      </c>
      <c r="N758" s="1" t="s">
        <v>26</v>
      </c>
      <c r="O758" s="1" t="s">
        <v>27</v>
      </c>
      <c r="P758" s="2">
        <v>1.4618055555555556E-2</v>
      </c>
      <c r="Q758" s="1" t="s">
        <v>665</v>
      </c>
      <c r="R758" s="1">
        <v>0</v>
      </c>
      <c r="S758" s="1" t="str">
        <f>""</f>
        <v/>
      </c>
      <c r="T758" s="1" t="s">
        <v>29</v>
      </c>
      <c r="U758" s="1" t="s">
        <v>30</v>
      </c>
      <c r="V758" s="1">
        <v>0</v>
      </c>
    </row>
    <row r="759" spans="2:22" x14ac:dyDescent="0.15">
      <c r="B759" s="1" t="str">
        <f>"90189****0009"</f>
        <v>90189****0009</v>
      </c>
      <c r="C759" s="1" t="s">
        <v>159</v>
      </c>
      <c r="D759" s="1" t="str">
        <f t="shared" si="81"/>
        <v>89177328</v>
      </c>
      <c r="E759" s="1" t="s">
        <v>24</v>
      </c>
      <c r="F759" s="1" t="str">
        <f t="shared" si="82"/>
        <v>0010</v>
      </c>
      <c r="G759" s="1" t="str">
        <f>""</f>
        <v/>
      </c>
      <c r="H759" s="1" t="str">
        <f>"0034"</f>
        <v>0034</v>
      </c>
      <c r="I759" s="1" t="s">
        <v>31</v>
      </c>
      <c r="J759" s="1" t="str">
        <f>"01043977568"</f>
        <v>01043977568</v>
      </c>
      <c r="K759" s="1" t="str">
        <f>"2017-04-07 12:26:12"</f>
        <v>2017-04-07 12:26:12</v>
      </c>
      <c r="L759" s="1" t="str">
        <f>"2017-04-07 12:26:22"</f>
        <v>2017-04-07 12:26:22</v>
      </c>
      <c r="M759" s="2">
        <v>1.3287037037037036E-2</v>
      </c>
      <c r="N759" s="1" t="s">
        <v>26</v>
      </c>
      <c r="O759" s="1" t="s">
        <v>34</v>
      </c>
      <c r="P759" s="2">
        <v>1.3402777777777777E-2</v>
      </c>
      <c r="Q759" s="1" t="s">
        <v>666</v>
      </c>
      <c r="R759" s="1">
        <v>0</v>
      </c>
      <c r="S759" s="1" t="str">
        <f>""</f>
        <v/>
      </c>
      <c r="T759" s="1" t="s">
        <v>29</v>
      </c>
      <c r="U759" s="1" t="s">
        <v>30</v>
      </c>
      <c r="V759" s="1">
        <v>0</v>
      </c>
    </row>
    <row r="760" spans="2:22" x14ac:dyDescent="0.15">
      <c r="B760" s="1" t="str">
        <f>"158****0612"</f>
        <v>158****0612</v>
      </c>
      <c r="C760" s="1" t="s">
        <v>35</v>
      </c>
      <c r="D760" s="1" t="str">
        <f t="shared" si="81"/>
        <v>89177328</v>
      </c>
      <c r="E760" s="1" t="s">
        <v>24</v>
      </c>
      <c r="F760" s="1" t="str">
        <f t="shared" si="82"/>
        <v>0010</v>
      </c>
      <c r="G760" s="1" t="str">
        <f>""</f>
        <v/>
      </c>
      <c r="H760" s="1" t="str">
        <f>"0036"</f>
        <v>0036</v>
      </c>
      <c r="I760" s="1" t="s">
        <v>143</v>
      </c>
      <c r="J760" s="1" t="str">
        <f>"01043977573"</f>
        <v>01043977573</v>
      </c>
      <c r="K760" s="1" t="str">
        <f>"2017-04-07 12:21:21"</f>
        <v>2017-04-07 12:21:21</v>
      </c>
      <c r="L760" s="1" t="str">
        <f>"2017-04-07 12:21:29"</f>
        <v>2017-04-07 12:21:29</v>
      </c>
      <c r="M760" s="2">
        <v>1.6631944444444446E-2</v>
      </c>
      <c r="N760" s="1" t="s">
        <v>26</v>
      </c>
      <c r="O760" s="1" t="s">
        <v>34</v>
      </c>
      <c r="P760" s="2">
        <v>1.6724537037037034E-2</v>
      </c>
      <c r="Q760" s="1" t="s">
        <v>667</v>
      </c>
      <c r="R760" s="1">
        <v>0</v>
      </c>
      <c r="S760" s="1" t="str">
        <f>""</f>
        <v/>
      </c>
      <c r="T760" s="1" t="s">
        <v>29</v>
      </c>
      <c r="U760" s="1" t="s">
        <v>30</v>
      </c>
      <c r="V760" s="1">
        <v>0</v>
      </c>
    </row>
    <row r="761" spans="2:22" x14ac:dyDescent="0.15">
      <c r="B761" s="1" t="str">
        <f>"189****4929"</f>
        <v>189****4929</v>
      </c>
      <c r="C761" s="1" t="s">
        <v>668</v>
      </c>
      <c r="D761" s="1" t="str">
        <f t="shared" si="81"/>
        <v>89177328</v>
      </c>
      <c r="E761" s="1" t="s">
        <v>24</v>
      </c>
      <c r="F761" s="1" t="str">
        <f t="shared" si="82"/>
        <v>0010</v>
      </c>
      <c r="G761" s="1" t="str">
        <f>""</f>
        <v/>
      </c>
      <c r="H761" s="1" t="str">
        <f>"0034"</f>
        <v>0034</v>
      </c>
      <c r="I761" s="1" t="s">
        <v>31</v>
      </c>
      <c r="J761" s="1" t="str">
        <f>"01043977568"</f>
        <v>01043977568</v>
      </c>
      <c r="K761" s="1" t="str">
        <f>"2017-04-07 12:04:12"</f>
        <v>2017-04-07 12:04:12</v>
      </c>
      <c r="L761" s="1" t="str">
        <f>"2017-04-07 12:04:23"</f>
        <v>2017-04-07 12:04:23</v>
      </c>
      <c r="M761" s="2">
        <v>6.9560185185185185E-3</v>
      </c>
      <c r="N761" s="1" t="s">
        <v>26</v>
      </c>
      <c r="O761" s="1" t="s">
        <v>27</v>
      </c>
      <c r="P761" s="2">
        <v>7.083333333333333E-3</v>
      </c>
      <c r="Q761" s="1" t="s">
        <v>669</v>
      </c>
      <c r="R761" s="1">
        <v>0</v>
      </c>
      <c r="S761" s="1" t="str">
        <f>""</f>
        <v/>
      </c>
      <c r="T761" s="1" t="s">
        <v>29</v>
      </c>
      <c r="U761" s="1" t="s">
        <v>30</v>
      </c>
      <c r="V761" s="1">
        <v>0</v>
      </c>
    </row>
    <row r="762" spans="2:22" x14ac:dyDescent="0.15">
      <c r="B762" s="1" t="str">
        <f>"132****0131"</f>
        <v>132****0131</v>
      </c>
      <c r="C762" s="1" t="s">
        <v>99</v>
      </c>
      <c r="D762" s="1" t="str">
        <f t="shared" si="81"/>
        <v>89177328</v>
      </c>
      <c r="E762" s="1" t="s">
        <v>24</v>
      </c>
      <c r="F762" s="1" t="str">
        <f t="shared" si="82"/>
        <v>0010</v>
      </c>
      <c r="G762" s="1" t="str">
        <f>""</f>
        <v/>
      </c>
      <c r="H762" s="1" t="str">
        <f>"0034"</f>
        <v>0034</v>
      </c>
      <c r="I762" s="1" t="s">
        <v>31</v>
      </c>
      <c r="J762" s="1" t="str">
        <f>"01043977568"</f>
        <v>01043977568</v>
      </c>
      <c r="K762" s="1" t="str">
        <f>"2017-04-07 12:00:50"</f>
        <v>2017-04-07 12:00:50</v>
      </c>
      <c r="L762" s="1" t="str">
        <f>"-"</f>
        <v>-</v>
      </c>
      <c r="M762" s="2">
        <v>0</v>
      </c>
      <c r="N762" s="1" t="s">
        <v>33</v>
      </c>
      <c r="O762" s="1" t="s">
        <v>34</v>
      </c>
      <c r="P762" s="2">
        <v>1.1574074074074073E-5</v>
      </c>
      <c r="Q762" s="1" t="str">
        <f>""</f>
        <v/>
      </c>
      <c r="R762" s="1">
        <v>0</v>
      </c>
      <c r="S762" s="1" t="str">
        <f>""</f>
        <v/>
      </c>
      <c r="T762" s="1" t="s">
        <v>29</v>
      </c>
      <c r="U762" s="1" t="s">
        <v>30</v>
      </c>
      <c r="V762" s="1">
        <v>0</v>
      </c>
    </row>
    <row r="763" spans="2:22" x14ac:dyDescent="0.15">
      <c r="B763" s="1" t="str">
        <f>"130****5656"</f>
        <v>130****5656</v>
      </c>
      <c r="C763" s="1" t="s">
        <v>112</v>
      </c>
      <c r="D763" s="1" t="str">
        <f t="shared" si="81"/>
        <v>89177328</v>
      </c>
      <c r="E763" s="1" t="s">
        <v>24</v>
      </c>
      <c r="F763" s="1" t="str">
        <f t="shared" si="82"/>
        <v>0010</v>
      </c>
      <c r="G763" s="1" t="str">
        <f>""</f>
        <v/>
      </c>
      <c r="H763" s="1" t="str">
        <f>"0034"</f>
        <v>0034</v>
      </c>
      <c r="I763" s="1" t="s">
        <v>31</v>
      </c>
      <c r="J763" s="1" t="str">
        <f>"01043977568"</f>
        <v>01043977568</v>
      </c>
      <c r="K763" s="1" t="str">
        <f>"2017-04-07 11:50:21"</f>
        <v>2017-04-07 11:50:21</v>
      </c>
      <c r="L763" s="1" t="str">
        <f>"-"</f>
        <v>-</v>
      </c>
      <c r="M763" s="2">
        <v>0</v>
      </c>
      <c r="N763" s="1" t="s">
        <v>33</v>
      </c>
      <c r="O763" s="1" t="s">
        <v>34</v>
      </c>
      <c r="P763" s="2">
        <v>4.6296296296296294E-5</v>
      </c>
      <c r="Q763" s="1" t="str">
        <f>""</f>
        <v/>
      </c>
      <c r="R763" s="1">
        <v>0</v>
      </c>
      <c r="S763" s="1" t="str">
        <f>""</f>
        <v/>
      </c>
      <c r="T763" s="1" t="s">
        <v>29</v>
      </c>
      <c r="U763" s="1" t="s">
        <v>30</v>
      </c>
      <c r="V763" s="1">
        <v>0</v>
      </c>
    </row>
    <row r="764" spans="2:22" x14ac:dyDescent="0.15">
      <c r="B764" s="1" t="str">
        <f>"130****5656"</f>
        <v>130****5656</v>
      </c>
      <c r="C764" s="1" t="s">
        <v>112</v>
      </c>
      <c r="D764" s="1" t="str">
        <f t="shared" si="81"/>
        <v>89177328</v>
      </c>
      <c r="E764" s="1" t="s">
        <v>24</v>
      </c>
      <c r="F764" s="1" t="str">
        <f t="shared" si="82"/>
        <v>0010</v>
      </c>
      <c r="G764" s="1" t="str">
        <f>""</f>
        <v/>
      </c>
      <c r="H764" s="1" t="str">
        <f>"0034"</f>
        <v>0034</v>
      </c>
      <c r="I764" s="1" t="s">
        <v>31</v>
      </c>
      <c r="J764" s="1" t="str">
        <f>"01043977568"</f>
        <v>01043977568</v>
      </c>
      <c r="K764" s="1" t="str">
        <f>"2017-04-07 11:46:29"</f>
        <v>2017-04-07 11:46:29</v>
      </c>
      <c r="L764" s="1" t="str">
        <f>"-"</f>
        <v>-</v>
      </c>
      <c r="M764" s="2">
        <v>0</v>
      </c>
      <c r="N764" s="1" t="s">
        <v>33</v>
      </c>
      <c r="O764" s="1" t="s">
        <v>34</v>
      </c>
      <c r="P764" s="2">
        <v>5.7870370370370366E-5</v>
      </c>
      <c r="Q764" s="1" t="str">
        <f>""</f>
        <v/>
      </c>
      <c r="R764" s="1">
        <v>0</v>
      </c>
      <c r="S764" s="1" t="str">
        <f>""</f>
        <v/>
      </c>
      <c r="T764" s="1" t="s">
        <v>29</v>
      </c>
      <c r="U764" s="1" t="s">
        <v>30</v>
      </c>
      <c r="V764" s="1">
        <v>0</v>
      </c>
    </row>
    <row r="765" spans="2:22" x14ac:dyDescent="0.15">
      <c r="B765" s="1" t="str">
        <f>"130****5656"</f>
        <v>130****5656</v>
      </c>
      <c r="C765" s="1" t="s">
        <v>112</v>
      </c>
      <c r="D765" s="1" t="str">
        <f t="shared" si="81"/>
        <v>89177328</v>
      </c>
      <c r="E765" s="1" t="s">
        <v>24</v>
      </c>
      <c r="F765" s="1" t="str">
        <f t="shared" si="82"/>
        <v>0010</v>
      </c>
      <c r="G765" s="1" t="str">
        <f>""</f>
        <v/>
      </c>
      <c r="H765" s="1" t="str">
        <f>"0034"</f>
        <v>0034</v>
      </c>
      <c r="I765" s="1" t="s">
        <v>31</v>
      </c>
      <c r="J765" s="1" t="str">
        <f>"01043977568"</f>
        <v>01043977568</v>
      </c>
      <c r="K765" s="1" t="str">
        <f>"2017-04-07 11:40:28"</f>
        <v>2017-04-07 11:40:28</v>
      </c>
      <c r="L765" s="1" t="str">
        <f>"-"</f>
        <v>-</v>
      </c>
      <c r="M765" s="2">
        <v>0</v>
      </c>
      <c r="N765" s="1" t="s">
        <v>33</v>
      </c>
      <c r="O765" s="1" t="s">
        <v>34</v>
      </c>
      <c r="P765" s="2">
        <v>4.6296296296296294E-5</v>
      </c>
      <c r="Q765" s="1" t="str">
        <f>""</f>
        <v/>
      </c>
      <c r="R765" s="1">
        <v>0</v>
      </c>
      <c r="S765" s="1" t="str">
        <f>""</f>
        <v/>
      </c>
      <c r="T765" s="1" t="s">
        <v>29</v>
      </c>
      <c r="U765" s="1" t="s">
        <v>30</v>
      </c>
      <c r="V765" s="1">
        <v>0</v>
      </c>
    </row>
    <row r="766" spans="2:22" x14ac:dyDescent="0.15">
      <c r="B766" s="1" t="str">
        <f>"139****8160"</f>
        <v>139****8160</v>
      </c>
      <c r="C766" s="1" t="s">
        <v>23</v>
      </c>
      <c r="D766" s="1" t="str">
        <f t="shared" si="81"/>
        <v>89177328</v>
      </c>
      <c r="E766" s="1" t="s">
        <v>24</v>
      </c>
      <c r="F766" s="1" t="str">
        <f t="shared" si="82"/>
        <v>0010</v>
      </c>
      <c r="G766" s="1" t="str">
        <f>""</f>
        <v/>
      </c>
      <c r="H766" s="1" t="str">
        <f>"0035"</f>
        <v>0035</v>
      </c>
      <c r="I766" s="1" t="s">
        <v>25</v>
      </c>
      <c r="J766" s="1" t="str">
        <f>"01043977569"</f>
        <v>01043977569</v>
      </c>
      <c r="K766" s="1" t="str">
        <f>"2017-04-07 11:29:35"</f>
        <v>2017-04-07 11:29:35</v>
      </c>
      <c r="L766" s="1" t="str">
        <f>"2017-04-07 11:29:43"</f>
        <v>2017-04-07 11:29:43</v>
      </c>
      <c r="M766" s="2">
        <v>2.0069444444444442E-2</v>
      </c>
      <c r="N766" s="1" t="s">
        <v>26</v>
      </c>
      <c r="O766" s="1" t="s">
        <v>27</v>
      </c>
      <c r="P766" s="2">
        <v>2.0162037037037037E-2</v>
      </c>
      <c r="Q766" s="1" t="s">
        <v>670</v>
      </c>
      <c r="R766" s="1">
        <v>0</v>
      </c>
      <c r="S766" s="1" t="str">
        <f>""</f>
        <v/>
      </c>
      <c r="T766" s="1" t="s">
        <v>29</v>
      </c>
      <c r="U766" s="1" t="s">
        <v>30</v>
      </c>
      <c r="V766" s="1">
        <v>0</v>
      </c>
    </row>
    <row r="767" spans="2:22" x14ac:dyDescent="0.15">
      <c r="B767" s="1" t="str">
        <f>"189****7179"</f>
        <v>189****7179</v>
      </c>
      <c r="C767" s="1" t="s">
        <v>269</v>
      </c>
      <c r="D767" s="1" t="str">
        <f t="shared" si="81"/>
        <v>89177328</v>
      </c>
      <c r="E767" s="1" t="s">
        <v>24</v>
      </c>
      <c r="F767" s="1" t="str">
        <f t="shared" si="82"/>
        <v>0010</v>
      </c>
      <c r="G767" s="1" t="str">
        <f>""</f>
        <v/>
      </c>
      <c r="H767" s="1" t="str">
        <f>"0034"</f>
        <v>0034</v>
      </c>
      <c r="I767" s="1" t="s">
        <v>31</v>
      </c>
      <c r="J767" s="1" t="str">
        <f>"01043977568"</f>
        <v>01043977568</v>
      </c>
      <c r="K767" s="1" t="str">
        <f>"2017-04-07 11:29:18"</f>
        <v>2017-04-07 11:29:18</v>
      </c>
      <c r="L767" s="1" t="str">
        <f>"-"</f>
        <v>-</v>
      </c>
      <c r="M767" s="2">
        <v>0</v>
      </c>
      <c r="N767" s="1" t="s">
        <v>33</v>
      </c>
      <c r="O767" s="1" t="s">
        <v>34</v>
      </c>
      <c r="P767" s="2">
        <v>4.0509259259259258E-4</v>
      </c>
      <c r="Q767" s="1" t="str">
        <f>""</f>
        <v/>
      </c>
      <c r="R767" s="1">
        <v>0</v>
      </c>
      <c r="S767" s="1" t="str">
        <f>""</f>
        <v/>
      </c>
      <c r="T767" s="1" t="s">
        <v>29</v>
      </c>
      <c r="U767" s="1" t="s">
        <v>30</v>
      </c>
      <c r="V767" s="1">
        <v>0</v>
      </c>
    </row>
    <row r="768" spans="2:22" x14ac:dyDescent="0.15">
      <c r="B768" s="1" t="str">
        <f>"0313138****6222"</f>
        <v>0313138****6222</v>
      </c>
      <c r="C768" s="1" t="s">
        <v>44</v>
      </c>
      <c r="D768" s="1" t="str">
        <f t="shared" si="81"/>
        <v>89177328</v>
      </c>
      <c r="E768" s="1" t="s">
        <v>24</v>
      </c>
      <c r="F768" s="1" t="str">
        <f t="shared" si="82"/>
        <v>0010</v>
      </c>
      <c r="G768" s="1" t="str">
        <f>""</f>
        <v/>
      </c>
      <c r="H768" s="1" t="str">
        <f>"0031"</f>
        <v>0031</v>
      </c>
      <c r="I768" s="1" t="s">
        <v>95</v>
      </c>
      <c r="J768" s="1" t="str">
        <f>"01043977565"</f>
        <v>01043977565</v>
      </c>
      <c r="K768" s="1" t="str">
        <f>"2017-04-07 11:11:37"</f>
        <v>2017-04-07 11:11:37</v>
      </c>
      <c r="L768" s="1" t="str">
        <f>"2017-04-07 11:11:43"</f>
        <v>2017-04-07 11:11:43</v>
      </c>
      <c r="M768" s="2">
        <v>1.9849537037037037E-2</v>
      </c>
      <c r="N768" s="1" t="s">
        <v>26</v>
      </c>
      <c r="O768" s="1" t="s">
        <v>27</v>
      </c>
      <c r="P768" s="2">
        <v>1.9918981481481482E-2</v>
      </c>
      <c r="Q768" s="1" t="s">
        <v>671</v>
      </c>
      <c r="R768" s="1">
        <v>0</v>
      </c>
      <c r="S768" s="1" t="str">
        <f>""</f>
        <v/>
      </c>
      <c r="T768" s="1" t="s">
        <v>29</v>
      </c>
      <c r="U768" s="1" t="s">
        <v>30</v>
      </c>
      <c r="V768" s="1">
        <v>0</v>
      </c>
    </row>
    <row r="769" spans="2:22" x14ac:dyDescent="0.15">
      <c r="B769" s="1" t="str">
        <f>"177****9345"</f>
        <v>177****9345</v>
      </c>
      <c r="C769" s="1" t="s">
        <v>389</v>
      </c>
      <c r="D769" s="1" t="str">
        <f t="shared" si="81"/>
        <v>89177328</v>
      </c>
      <c r="E769" s="1" t="s">
        <v>24</v>
      </c>
      <c r="F769" s="1" t="str">
        <f t="shared" si="82"/>
        <v>0010</v>
      </c>
      <c r="G769" s="1" t="str">
        <f>""</f>
        <v/>
      </c>
      <c r="H769" s="1" t="str">
        <f>"0012"</f>
        <v>0012</v>
      </c>
      <c r="I769" s="1" t="s">
        <v>612</v>
      </c>
      <c r="J769" s="1" t="str">
        <f>"01043989720"</f>
        <v>01043989720</v>
      </c>
      <c r="K769" s="1" t="str">
        <f>"2017-04-07 11:08:23"</f>
        <v>2017-04-07 11:08:23</v>
      </c>
      <c r="L769" s="1" t="str">
        <f>"2017-04-07 11:08:39"</f>
        <v>2017-04-07 11:08:39</v>
      </c>
      <c r="M769" s="2">
        <v>5.6249999999999989E-3</v>
      </c>
      <c r="N769" s="1" t="s">
        <v>26</v>
      </c>
      <c r="O769" s="1" t="s">
        <v>34</v>
      </c>
      <c r="P769" s="2">
        <v>5.8101851851851856E-3</v>
      </c>
      <c r="Q769" s="1" t="s">
        <v>672</v>
      </c>
      <c r="R769" s="1">
        <v>0</v>
      </c>
      <c r="S769" s="1" t="str">
        <f>""</f>
        <v/>
      </c>
      <c r="T769" s="1" t="s">
        <v>29</v>
      </c>
      <c r="U769" s="1" t="s">
        <v>30</v>
      </c>
      <c r="V769" s="1">
        <v>0</v>
      </c>
    </row>
    <row r="770" spans="2:22" x14ac:dyDescent="0.15">
      <c r="B770" s="1" t="str">
        <f>"177****8441"</f>
        <v>177****8441</v>
      </c>
      <c r="C770" s="1" t="s">
        <v>23</v>
      </c>
      <c r="D770" s="1" t="str">
        <f t="shared" si="81"/>
        <v>89177328</v>
      </c>
      <c r="E770" s="1" t="s">
        <v>24</v>
      </c>
      <c r="F770" s="1" t="str">
        <f t="shared" si="82"/>
        <v>0010</v>
      </c>
      <c r="G770" s="1" t="str">
        <f>""</f>
        <v/>
      </c>
      <c r="H770" s="1" t="str">
        <f>"0032"</f>
        <v>0032</v>
      </c>
      <c r="I770" s="1" t="s">
        <v>119</v>
      </c>
      <c r="J770" s="1" t="str">
        <f>"01043977566"</f>
        <v>01043977566</v>
      </c>
      <c r="K770" s="1" t="str">
        <f>"2017-04-07 10:59:00"</f>
        <v>2017-04-07 10:59:00</v>
      </c>
      <c r="L770" s="1" t="str">
        <f>"2017-04-07 10:59:13"</f>
        <v>2017-04-07 10:59:13</v>
      </c>
      <c r="M770" s="2">
        <v>9.2245370370370363E-3</v>
      </c>
      <c r="N770" s="1" t="s">
        <v>26</v>
      </c>
      <c r="O770" s="1" t="s">
        <v>34</v>
      </c>
      <c r="P770" s="2">
        <v>9.3749999999999997E-3</v>
      </c>
      <c r="Q770" s="1" t="s">
        <v>673</v>
      </c>
      <c r="R770" s="1">
        <v>0</v>
      </c>
      <c r="S770" s="1" t="str">
        <f>""</f>
        <v/>
      </c>
      <c r="T770" s="1" t="s">
        <v>29</v>
      </c>
      <c r="U770" s="1" t="s">
        <v>30</v>
      </c>
      <c r="V770" s="1">
        <v>0</v>
      </c>
    </row>
    <row r="771" spans="2:22" x14ac:dyDescent="0.15">
      <c r="B771" s="1" t="str">
        <f>"159****1010"</f>
        <v>159****1010</v>
      </c>
      <c r="C771" s="1" t="s">
        <v>389</v>
      </c>
      <c r="D771" s="1" t="str">
        <f t="shared" si="81"/>
        <v>89177328</v>
      </c>
      <c r="E771" s="1" t="s">
        <v>24</v>
      </c>
      <c r="F771" s="1" t="str">
        <f t="shared" si="82"/>
        <v>0010</v>
      </c>
      <c r="G771" s="1" t="str">
        <f>""</f>
        <v/>
      </c>
      <c r="H771" s="1" t="str">
        <f>"0031"</f>
        <v>0031</v>
      </c>
      <c r="I771" s="1" t="s">
        <v>95</v>
      </c>
      <c r="J771" s="1" t="str">
        <f>"01043977565"</f>
        <v>01043977565</v>
      </c>
      <c r="K771" s="1" t="str">
        <f>"2017-04-07 10:57:05"</f>
        <v>2017-04-07 10:57:05</v>
      </c>
      <c r="L771" s="1" t="str">
        <f>"2017-04-07 10:57:11"</f>
        <v>2017-04-07 10:57:11</v>
      </c>
      <c r="M771" s="2">
        <v>4.5717592592592589E-3</v>
      </c>
      <c r="N771" s="1" t="s">
        <v>26</v>
      </c>
      <c r="O771" s="1" t="s">
        <v>27</v>
      </c>
      <c r="P771" s="2">
        <v>4.6412037037037038E-3</v>
      </c>
      <c r="Q771" s="1" t="s">
        <v>674</v>
      </c>
      <c r="R771" s="1">
        <v>0</v>
      </c>
      <c r="S771" s="1" t="str">
        <f>""</f>
        <v/>
      </c>
      <c r="T771" s="1" t="s">
        <v>29</v>
      </c>
      <c r="U771" s="1" t="s">
        <v>30</v>
      </c>
      <c r="V771" s="1">
        <v>0</v>
      </c>
    </row>
    <row r="772" spans="2:22" x14ac:dyDescent="0.15">
      <c r="B772" s="1" t="str">
        <f>"137****2350"</f>
        <v>137****2350</v>
      </c>
      <c r="C772" s="1" t="s">
        <v>23</v>
      </c>
      <c r="D772" s="1" t="str">
        <f t="shared" si="81"/>
        <v>89177328</v>
      </c>
      <c r="E772" s="1" t="s">
        <v>24</v>
      </c>
      <c r="F772" s="1" t="str">
        <f t="shared" si="82"/>
        <v>0010</v>
      </c>
      <c r="G772" s="1" t="str">
        <f>""</f>
        <v/>
      </c>
      <c r="H772" s="1" t="str">
        <f>"0017"</f>
        <v>0017</v>
      </c>
      <c r="I772" s="1" t="s">
        <v>135</v>
      </c>
      <c r="J772" s="1" t="str">
        <f>"01043989717"</f>
        <v>01043989717</v>
      </c>
      <c r="K772" s="1" t="str">
        <f>"2017-04-07 10:53:07"</f>
        <v>2017-04-07 10:53:07</v>
      </c>
      <c r="L772" s="1" t="str">
        <f>"2017-04-07 10:53:11"</f>
        <v>2017-04-07 10:53:11</v>
      </c>
      <c r="M772" s="2">
        <v>1.6770833333333332E-2</v>
      </c>
      <c r="N772" s="1" t="s">
        <v>26</v>
      </c>
      <c r="O772" s="1" t="s">
        <v>27</v>
      </c>
      <c r="P772" s="2">
        <v>1.681712962962963E-2</v>
      </c>
      <c r="Q772" s="1" t="s">
        <v>675</v>
      </c>
      <c r="R772" s="1">
        <v>0</v>
      </c>
      <c r="S772" s="1" t="str">
        <f>""</f>
        <v/>
      </c>
      <c r="T772" s="1" t="s">
        <v>29</v>
      </c>
      <c r="U772" s="1" t="s">
        <v>30</v>
      </c>
      <c r="V772" s="1">
        <v>0</v>
      </c>
    </row>
    <row r="773" spans="2:22" x14ac:dyDescent="0.15">
      <c r="B773" s="1" t="str">
        <f>"189****1116"</f>
        <v>189****1116</v>
      </c>
      <c r="C773" s="1" t="s">
        <v>338</v>
      </c>
      <c r="D773" s="1" t="str">
        <f t="shared" si="81"/>
        <v>89177328</v>
      </c>
      <c r="E773" s="1" t="s">
        <v>24</v>
      </c>
      <c r="F773" s="1" t="str">
        <f t="shared" si="82"/>
        <v>0010</v>
      </c>
      <c r="G773" s="1" t="str">
        <f>""</f>
        <v/>
      </c>
      <c r="H773" s="1" t="str">
        <f>"0010"</f>
        <v>0010</v>
      </c>
      <c r="I773" s="1" t="s">
        <v>71</v>
      </c>
      <c r="J773" s="1" t="str">
        <f>"01043977571"</f>
        <v>01043977571</v>
      </c>
      <c r="K773" s="1" t="str">
        <f>"2017-04-07 10:52:27"</f>
        <v>2017-04-07 10:52:27</v>
      </c>
      <c r="L773" s="1" t="str">
        <f>"2017-04-07 10:52:39"</f>
        <v>2017-04-07 10:52:39</v>
      </c>
      <c r="M773" s="2">
        <v>1.1689814814814816E-3</v>
      </c>
      <c r="N773" s="1" t="s">
        <v>26</v>
      </c>
      <c r="O773" s="1" t="s">
        <v>27</v>
      </c>
      <c r="P773" s="2">
        <v>1.3078703703703705E-3</v>
      </c>
      <c r="Q773" s="1" t="s">
        <v>676</v>
      </c>
      <c r="R773" s="1">
        <v>0</v>
      </c>
      <c r="S773" s="1" t="str">
        <f>""</f>
        <v/>
      </c>
      <c r="T773" s="1" t="s">
        <v>29</v>
      </c>
      <c r="U773" s="1" t="s">
        <v>30</v>
      </c>
      <c r="V773" s="1">
        <v>0</v>
      </c>
    </row>
    <row r="774" spans="2:22" x14ac:dyDescent="0.15">
      <c r="B774" s="1" t="str">
        <f>"138****0172"</f>
        <v>138****0172</v>
      </c>
      <c r="C774" s="1" t="s">
        <v>23</v>
      </c>
      <c r="D774" s="1" t="str">
        <f t="shared" si="81"/>
        <v>89177328</v>
      </c>
      <c r="E774" s="1" t="s">
        <v>24</v>
      </c>
      <c r="F774" s="1" t="str">
        <f t="shared" si="82"/>
        <v>0010</v>
      </c>
      <c r="G774" s="1" t="str">
        <f>""</f>
        <v/>
      </c>
      <c r="H774" s="1" t="str">
        <f>"0017"</f>
        <v>0017</v>
      </c>
      <c r="I774" s="1" t="s">
        <v>135</v>
      </c>
      <c r="J774" s="1" t="str">
        <f>"01043989717"</f>
        <v>01043989717</v>
      </c>
      <c r="K774" s="1" t="str">
        <f>"2017-04-07 10:43:34"</f>
        <v>2017-04-07 10:43:34</v>
      </c>
      <c r="L774" s="1" t="str">
        <f>"2017-04-07 10:43:41"</f>
        <v>2017-04-07 10:43:41</v>
      </c>
      <c r="M774" s="2">
        <v>3.0902777777777782E-3</v>
      </c>
      <c r="N774" s="1" t="s">
        <v>26</v>
      </c>
      <c r="O774" s="1" t="s">
        <v>27</v>
      </c>
      <c r="P774" s="2">
        <v>3.1712962962962958E-3</v>
      </c>
      <c r="Q774" s="1" t="s">
        <v>677</v>
      </c>
      <c r="R774" s="1">
        <v>0</v>
      </c>
      <c r="S774" s="1" t="str">
        <f>""</f>
        <v/>
      </c>
      <c r="T774" s="1" t="s">
        <v>29</v>
      </c>
      <c r="U774" s="1" t="s">
        <v>30</v>
      </c>
      <c r="V774" s="1">
        <v>0</v>
      </c>
    </row>
    <row r="775" spans="2:22" x14ac:dyDescent="0.15">
      <c r="B775" s="1" t="str">
        <f>"139****8083"</f>
        <v>139****8083</v>
      </c>
      <c r="C775" s="1" t="s">
        <v>23</v>
      </c>
      <c r="D775" s="1" t="str">
        <f t="shared" si="81"/>
        <v>89177328</v>
      </c>
      <c r="E775" s="1" t="s">
        <v>24</v>
      </c>
      <c r="F775" s="1" t="str">
        <f t="shared" si="82"/>
        <v>0010</v>
      </c>
      <c r="G775" s="1" t="str">
        <f>""</f>
        <v/>
      </c>
      <c r="H775" s="1" t="str">
        <f>"0032"</f>
        <v>0032</v>
      </c>
      <c r="I775" s="1" t="s">
        <v>119</v>
      </c>
      <c r="J775" s="1" t="str">
        <f>"01043977566"</f>
        <v>01043977566</v>
      </c>
      <c r="K775" s="1" t="str">
        <f>"2017-04-07 10:42:20"</f>
        <v>2017-04-07 10:42:20</v>
      </c>
      <c r="L775" s="1" t="str">
        <f>"2017-04-07 10:42:31"</f>
        <v>2017-04-07 10:42:31</v>
      </c>
      <c r="M775" s="2">
        <v>2.5694444444444445E-3</v>
      </c>
      <c r="N775" s="1" t="s">
        <v>26</v>
      </c>
      <c r="O775" s="1" t="s">
        <v>27</v>
      </c>
      <c r="P775" s="2">
        <v>2.6967592592592594E-3</v>
      </c>
      <c r="Q775" s="1" t="s">
        <v>678</v>
      </c>
      <c r="R775" s="1">
        <v>0</v>
      </c>
      <c r="S775" s="1" t="str">
        <f>""</f>
        <v/>
      </c>
      <c r="T775" s="1" t="s">
        <v>29</v>
      </c>
      <c r="U775" s="1" t="s">
        <v>30</v>
      </c>
      <c r="V775" s="1">
        <v>0</v>
      </c>
    </row>
    <row r="776" spans="2:22" x14ac:dyDescent="0.15">
      <c r="B776" s="1" t="str">
        <f>"158****5333"</f>
        <v>158****5333</v>
      </c>
      <c r="C776" s="1" t="s">
        <v>679</v>
      </c>
      <c r="D776" s="1" t="str">
        <f t="shared" si="81"/>
        <v>89177328</v>
      </c>
      <c r="E776" s="1" t="s">
        <v>24</v>
      </c>
      <c r="F776" s="1" t="str">
        <f t="shared" si="82"/>
        <v>0010</v>
      </c>
      <c r="G776" s="1" t="str">
        <f>""</f>
        <v/>
      </c>
      <c r="H776" s="1" t="str">
        <f>"0034"</f>
        <v>0034</v>
      </c>
      <c r="I776" s="1" t="s">
        <v>31</v>
      </c>
      <c r="J776" s="1" t="str">
        <f>"01043977568"</f>
        <v>01043977568</v>
      </c>
      <c r="K776" s="1" t="str">
        <f>"2017-04-07 10:39:09"</f>
        <v>2017-04-07 10:39:09</v>
      </c>
      <c r="L776" s="1" t="str">
        <f>"2017-04-07 10:39:17"</f>
        <v>2017-04-07 10:39:17</v>
      </c>
      <c r="M776" s="2">
        <v>1.4108796296296295E-2</v>
      </c>
      <c r="N776" s="1" t="s">
        <v>26</v>
      </c>
      <c r="O776" s="1" t="s">
        <v>34</v>
      </c>
      <c r="P776" s="2">
        <v>1.4201388888888888E-2</v>
      </c>
      <c r="Q776" s="1" t="s">
        <v>680</v>
      </c>
      <c r="R776" s="1">
        <v>0</v>
      </c>
      <c r="S776" s="1" t="str">
        <f>""</f>
        <v/>
      </c>
      <c r="T776" s="1" t="s">
        <v>29</v>
      </c>
      <c r="U776" s="1" t="s">
        <v>30</v>
      </c>
      <c r="V776" s="1">
        <v>0</v>
      </c>
    </row>
    <row r="777" spans="2:22" x14ac:dyDescent="0.15">
      <c r="B777" s="1" t="str">
        <f>"158****5333"</f>
        <v>158****5333</v>
      </c>
      <c r="C777" s="1" t="s">
        <v>679</v>
      </c>
      <c r="D777" s="1" t="str">
        <f t="shared" si="81"/>
        <v>89177328</v>
      </c>
      <c r="E777" s="1" t="s">
        <v>24</v>
      </c>
      <c r="F777" s="1" t="str">
        <f t="shared" si="82"/>
        <v>0010</v>
      </c>
      <c r="G777" s="1" t="str">
        <f>""</f>
        <v/>
      </c>
      <c r="H777" s="1" t="str">
        <f>"0034"</f>
        <v>0034</v>
      </c>
      <c r="I777" s="1" t="s">
        <v>31</v>
      </c>
      <c r="J777" s="1" t="str">
        <f>"01043977568"</f>
        <v>01043977568</v>
      </c>
      <c r="K777" s="1" t="str">
        <f>"2017-04-07 10:33:59"</f>
        <v>2017-04-07 10:33:59</v>
      </c>
      <c r="L777" s="1" t="str">
        <f>"2017-04-07 10:34:09"</f>
        <v>2017-04-07 10:34:09</v>
      </c>
      <c r="M777" s="2">
        <v>2.2685185185185182E-3</v>
      </c>
      <c r="N777" s="1" t="s">
        <v>26</v>
      </c>
      <c r="O777" s="1" t="s">
        <v>27</v>
      </c>
      <c r="P777" s="2">
        <v>2.3842592592592591E-3</v>
      </c>
      <c r="Q777" s="1" t="s">
        <v>681</v>
      </c>
      <c r="R777" s="1">
        <v>0</v>
      </c>
      <c r="S777" s="1" t="str">
        <f>""</f>
        <v/>
      </c>
      <c r="T777" s="1" t="s">
        <v>29</v>
      </c>
      <c r="U777" s="1" t="s">
        <v>30</v>
      </c>
      <c r="V777" s="1">
        <v>0</v>
      </c>
    </row>
    <row r="778" spans="2:22" x14ac:dyDescent="0.15">
      <c r="B778" s="1" t="str">
        <f>"185****1158"</f>
        <v>185****1158</v>
      </c>
      <c r="C778" s="1" t="s">
        <v>23</v>
      </c>
      <c r="D778" s="1" t="str">
        <f t="shared" si="81"/>
        <v>89177328</v>
      </c>
      <c r="E778" s="1" t="s">
        <v>24</v>
      </c>
      <c r="F778" s="1" t="str">
        <f t="shared" si="82"/>
        <v>0010</v>
      </c>
      <c r="G778" s="1" t="str">
        <f>""</f>
        <v/>
      </c>
      <c r="H778" s="1" t="str">
        <f>"0036"</f>
        <v>0036</v>
      </c>
      <c r="I778" s="1" t="s">
        <v>143</v>
      </c>
      <c r="J778" s="1" t="str">
        <f>"01043977573"</f>
        <v>01043977573</v>
      </c>
      <c r="K778" s="1" t="str">
        <f>"2017-04-07 10:28:50"</f>
        <v>2017-04-07 10:28:50</v>
      </c>
      <c r="L778" s="1" t="str">
        <f>"2017-04-07 10:28:53"</f>
        <v>2017-04-07 10:28:53</v>
      </c>
      <c r="M778" s="2">
        <v>2.3159722222222224E-2</v>
      </c>
      <c r="N778" s="1" t="s">
        <v>26</v>
      </c>
      <c r="O778" s="1" t="s">
        <v>27</v>
      </c>
      <c r="P778" s="2">
        <v>2.3194444444444445E-2</v>
      </c>
      <c r="Q778" s="1" t="s">
        <v>682</v>
      </c>
      <c r="R778" s="1">
        <v>0</v>
      </c>
      <c r="S778" s="1" t="str">
        <f>""</f>
        <v/>
      </c>
      <c r="T778" s="1" t="s">
        <v>29</v>
      </c>
      <c r="U778" s="1" t="s">
        <v>30</v>
      </c>
      <c r="V778" s="1">
        <v>0</v>
      </c>
    </row>
    <row r="779" spans="2:22" x14ac:dyDescent="0.15">
      <c r="B779" s="1" t="str">
        <f>"187****8880"</f>
        <v>187****8880</v>
      </c>
      <c r="C779" s="1" t="s">
        <v>38</v>
      </c>
      <c r="D779" s="1" t="str">
        <f t="shared" si="81"/>
        <v>89177328</v>
      </c>
      <c r="E779" s="1" t="s">
        <v>24</v>
      </c>
      <c r="F779" s="1" t="str">
        <f t="shared" si="82"/>
        <v>0010</v>
      </c>
      <c r="G779" s="1" t="str">
        <f>""</f>
        <v/>
      </c>
      <c r="H779" s="1" t="str">
        <f>"0012"</f>
        <v>0012</v>
      </c>
      <c r="I779" s="1" t="s">
        <v>612</v>
      </c>
      <c r="J779" s="1" t="str">
        <f>"01043989720"</f>
        <v>01043989720</v>
      </c>
      <c r="K779" s="1" t="str">
        <f>"2017-04-07 10:23:26"</f>
        <v>2017-04-07 10:23:26</v>
      </c>
      <c r="L779" s="1" t="str">
        <f>"2017-04-07 10:23:36"</f>
        <v>2017-04-07 10:23:36</v>
      </c>
      <c r="M779" s="2">
        <v>1.5011574074074075E-2</v>
      </c>
      <c r="N779" s="1" t="s">
        <v>26</v>
      </c>
      <c r="O779" s="1" t="s">
        <v>34</v>
      </c>
      <c r="P779" s="2">
        <v>1.5127314814814816E-2</v>
      </c>
      <c r="Q779" s="1" t="s">
        <v>683</v>
      </c>
      <c r="R779" s="1">
        <v>0</v>
      </c>
      <c r="S779" s="1" t="str">
        <f>""</f>
        <v/>
      </c>
      <c r="T779" s="1" t="s">
        <v>29</v>
      </c>
      <c r="U779" s="1" t="s">
        <v>30</v>
      </c>
      <c r="V779" s="1">
        <v>0</v>
      </c>
    </row>
    <row r="780" spans="2:22" x14ac:dyDescent="0.15">
      <c r="B780" s="1" t="str">
        <f>"135****1000"</f>
        <v>135****1000</v>
      </c>
      <c r="C780" s="1" t="s">
        <v>487</v>
      </c>
      <c r="D780" s="1" t="str">
        <f t="shared" si="81"/>
        <v>89177328</v>
      </c>
      <c r="E780" s="1" t="s">
        <v>24</v>
      </c>
      <c r="F780" s="1" t="str">
        <f t="shared" si="82"/>
        <v>0010</v>
      </c>
      <c r="G780" s="1" t="str">
        <f>""</f>
        <v/>
      </c>
      <c r="H780" s="1" t="str">
        <f>"0017"</f>
        <v>0017</v>
      </c>
      <c r="I780" s="1" t="s">
        <v>135</v>
      </c>
      <c r="J780" s="1" t="str">
        <f>"01043989717"</f>
        <v>01043989717</v>
      </c>
      <c r="K780" s="1" t="str">
        <f>"2017-04-07 10:19:27"</f>
        <v>2017-04-07 10:19:27</v>
      </c>
      <c r="L780" s="1" t="str">
        <f>"2017-04-07 10:19:32"</f>
        <v>2017-04-07 10:19:32</v>
      </c>
      <c r="M780" s="2">
        <v>2.3611111111111111E-3</v>
      </c>
      <c r="N780" s="1" t="s">
        <v>26</v>
      </c>
      <c r="O780" s="1" t="s">
        <v>27</v>
      </c>
      <c r="P780" s="2">
        <v>2.4189814814814816E-3</v>
      </c>
      <c r="Q780" s="1" t="s">
        <v>684</v>
      </c>
      <c r="R780" s="1">
        <v>0</v>
      </c>
      <c r="S780" s="1" t="str">
        <f>""</f>
        <v/>
      </c>
      <c r="T780" s="1" t="s">
        <v>29</v>
      </c>
      <c r="U780" s="1" t="s">
        <v>30</v>
      </c>
      <c r="V780" s="1">
        <v>0</v>
      </c>
    </row>
    <row r="781" spans="2:22" x14ac:dyDescent="0.15">
      <c r="B781" s="1" t="str">
        <f>"158****5125"</f>
        <v>158****5125</v>
      </c>
      <c r="C781" s="1" t="s">
        <v>23</v>
      </c>
      <c r="D781" s="1" t="str">
        <f t="shared" si="81"/>
        <v>89177328</v>
      </c>
      <c r="E781" s="1" t="s">
        <v>24</v>
      </c>
      <c r="F781" s="1" t="str">
        <f t="shared" si="82"/>
        <v>0010</v>
      </c>
      <c r="G781" s="1" t="str">
        <f>""</f>
        <v/>
      </c>
      <c r="H781" s="1" t="str">
        <f>"0032"</f>
        <v>0032</v>
      </c>
      <c r="I781" s="1" t="s">
        <v>119</v>
      </c>
      <c r="J781" s="1" t="str">
        <f>"01043977566"</f>
        <v>01043977566</v>
      </c>
      <c r="K781" s="1" t="str">
        <f>"2017-04-07 10:18:50"</f>
        <v>2017-04-07 10:18:50</v>
      </c>
      <c r="L781" s="1" t="str">
        <f>"2017-04-07 10:19:05"</f>
        <v>2017-04-07 10:19:05</v>
      </c>
      <c r="M781" s="2">
        <v>8.8078703703703704E-3</v>
      </c>
      <c r="N781" s="1" t="s">
        <v>26</v>
      </c>
      <c r="O781" s="1" t="s">
        <v>34</v>
      </c>
      <c r="P781" s="2">
        <v>8.9814814814814809E-3</v>
      </c>
      <c r="Q781" s="1" t="s">
        <v>685</v>
      </c>
      <c r="R781" s="1">
        <v>0</v>
      </c>
      <c r="S781" s="1" t="str">
        <f>""</f>
        <v/>
      </c>
      <c r="T781" s="1" t="s">
        <v>29</v>
      </c>
      <c r="U781" s="1" t="s">
        <v>30</v>
      </c>
      <c r="V781" s="1">
        <v>0</v>
      </c>
    </row>
    <row r="782" spans="2:22" x14ac:dyDescent="0.15">
      <c r="B782" s="1" t="str">
        <f>"185****9132"</f>
        <v>185****9132</v>
      </c>
      <c r="C782" s="1" t="s">
        <v>23</v>
      </c>
      <c r="D782" s="1" t="str">
        <f t="shared" si="81"/>
        <v>89177328</v>
      </c>
      <c r="E782" s="1" t="s">
        <v>24</v>
      </c>
      <c r="F782" s="1" t="str">
        <f t="shared" si="82"/>
        <v>0010</v>
      </c>
      <c r="G782" s="1" t="str">
        <f>""</f>
        <v/>
      </c>
      <c r="H782" s="1" t="str">
        <f>"0012"</f>
        <v>0012</v>
      </c>
      <c r="I782" s="1" t="s">
        <v>612</v>
      </c>
      <c r="J782" s="1" t="str">
        <f>"01043989720"</f>
        <v>01043989720</v>
      </c>
      <c r="K782" s="1" t="str">
        <f>"2017-04-07 10:16:52"</f>
        <v>2017-04-07 10:16:52</v>
      </c>
      <c r="L782" s="1" t="str">
        <f>"2017-04-07 10:17:02"</f>
        <v>2017-04-07 10:17:02</v>
      </c>
      <c r="M782" s="2">
        <v>3.4606481481481485E-3</v>
      </c>
      <c r="N782" s="1" t="s">
        <v>26</v>
      </c>
      <c r="O782" s="1" t="s">
        <v>34</v>
      </c>
      <c r="P782" s="2">
        <v>3.5763888888888894E-3</v>
      </c>
      <c r="Q782" s="1" t="s">
        <v>686</v>
      </c>
      <c r="R782" s="1">
        <v>0</v>
      </c>
      <c r="S782" s="1" t="str">
        <f>""</f>
        <v/>
      </c>
      <c r="T782" s="1" t="s">
        <v>29</v>
      </c>
      <c r="U782" s="1" t="s">
        <v>30</v>
      </c>
      <c r="V782" s="1">
        <v>0</v>
      </c>
    </row>
    <row r="783" spans="2:22" x14ac:dyDescent="0.15">
      <c r="B783" s="1" t="str">
        <f>"155****2135"</f>
        <v>155****2135</v>
      </c>
      <c r="C783" s="1" t="s">
        <v>687</v>
      </c>
      <c r="D783" s="1" t="str">
        <f t="shared" si="81"/>
        <v>89177328</v>
      </c>
      <c r="E783" s="1" t="s">
        <v>24</v>
      </c>
      <c r="F783" s="1" t="str">
        <f t="shared" si="82"/>
        <v>0010</v>
      </c>
      <c r="G783" s="1" t="str">
        <f>""</f>
        <v/>
      </c>
      <c r="H783" s="1" t="str">
        <f>"0017"</f>
        <v>0017</v>
      </c>
      <c r="I783" s="1" t="s">
        <v>135</v>
      </c>
      <c r="J783" s="1" t="str">
        <f>"01043989717"</f>
        <v>01043989717</v>
      </c>
      <c r="K783" s="1" t="str">
        <f>"2017-04-07 10:04:26"</f>
        <v>2017-04-07 10:04:26</v>
      </c>
      <c r="L783" s="1" t="str">
        <f>"2017-04-07 10:04:32"</f>
        <v>2017-04-07 10:04:32</v>
      </c>
      <c r="M783" s="2">
        <v>1.6319444444444445E-3</v>
      </c>
      <c r="N783" s="1" t="s">
        <v>26</v>
      </c>
      <c r="O783" s="1" t="s">
        <v>27</v>
      </c>
      <c r="P783" s="2">
        <v>1.7013888888888892E-3</v>
      </c>
      <c r="Q783" s="1" t="s">
        <v>688</v>
      </c>
      <c r="R783" s="1">
        <v>0</v>
      </c>
      <c r="S783" s="1" t="str">
        <f>""</f>
        <v/>
      </c>
      <c r="T783" s="1" t="s">
        <v>29</v>
      </c>
      <c r="U783" s="1" t="s">
        <v>30</v>
      </c>
      <c r="V783" s="1">
        <v>0</v>
      </c>
    </row>
    <row r="784" spans="2:22" x14ac:dyDescent="0.15">
      <c r="B784" s="1" t="str">
        <f>"131****3497"</f>
        <v>131****3497</v>
      </c>
      <c r="C784" s="1" t="s">
        <v>291</v>
      </c>
      <c r="D784" s="1" t="str">
        <f t="shared" si="81"/>
        <v>89177328</v>
      </c>
      <c r="E784" s="1" t="s">
        <v>24</v>
      </c>
      <c r="F784" s="1" t="str">
        <f t="shared" si="82"/>
        <v>0010</v>
      </c>
      <c r="G784" s="1" t="str">
        <f>""</f>
        <v/>
      </c>
      <c r="H784" s="1" t="str">
        <f>"0031"</f>
        <v>0031</v>
      </c>
      <c r="I784" s="1" t="s">
        <v>95</v>
      </c>
      <c r="J784" s="1" t="str">
        <f>"01043977565"</f>
        <v>01043977565</v>
      </c>
      <c r="K784" s="1" t="str">
        <f>"2017-04-07 10:03:02"</f>
        <v>2017-04-07 10:03:02</v>
      </c>
      <c r="L784" s="1" t="str">
        <f>"2017-04-07 10:03:10"</f>
        <v>2017-04-07 10:03:10</v>
      </c>
      <c r="M784" s="2">
        <v>8.564814814814815E-4</v>
      </c>
      <c r="N784" s="1" t="s">
        <v>26</v>
      </c>
      <c r="O784" s="1" t="s">
        <v>27</v>
      </c>
      <c r="P784" s="2">
        <v>9.4907407407407408E-4</v>
      </c>
      <c r="Q784" s="1" t="s">
        <v>689</v>
      </c>
      <c r="R784" s="1">
        <v>0</v>
      </c>
      <c r="S784" s="1" t="str">
        <f>""</f>
        <v/>
      </c>
      <c r="T784" s="1" t="s">
        <v>29</v>
      </c>
      <c r="U784" s="1" t="s">
        <v>30</v>
      </c>
      <c r="V784" s="1">
        <v>0</v>
      </c>
    </row>
    <row r="785" spans="2:22" x14ac:dyDescent="0.15">
      <c r="B785" s="1" t="str">
        <f>"010****8039"</f>
        <v>010****8039</v>
      </c>
      <c r="C785" s="1" t="s">
        <v>23</v>
      </c>
      <c r="D785" s="1" t="str">
        <f t="shared" si="81"/>
        <v>89177328</v>
      </c>
      <c r="E785" s="1" t="s">
        <v>24</v>
      </c>
      <c r="F785" s="1" t="str">
        <f t="shared" si="82"/>
        <v>0010</v>
      </c>
      <c r="G785" s="1" t="str">
        <f>""</f>
        <v/>
      </c>
      <c r="H785" s="1" t="str">
        <f>"0036"</f>
        <v>0036</v>
      </c>
      <c r="I785" s="1" t="s">
        <v>143</v>
      </c>
      <c r="J785" s="1" t="str">
        <f>"01043977573"</f>
        <v>01043977573</v>
      </c>
      <c r="K785" s="1" t="str">
        <f>"2017-04-07 09:59:05"</f>
        <v>2017-04-07 09:59:05</v>
      </c>
      <c r="L785" s="1" t="str">
        <f>"2017-04-07 09:59:09"</f>
        <v>2017-04-07 09:59:09</v>
      </c>
      <c r="M785" s="2">
        <v>2.0312500000000001E-2</v>
      </c>
      <c r="N785" s="1" t="s">
        <v>26</v>
      </c>
      <c r="O785" s="1" t="s">
        <v>27</v>
      </c>
      <c r="P785" s="2">
        <v>2.0358796296296295E-2</v>
      </c>
      <c r="Q785" s="1" t="s">
        <v>690</v>
      </c>
      <c r="R785" s="1">
        <v>0</v>
      </c>
      <c r="S785" s="1" t="str">
        <f>""</f>
        <v/>
      </c>
      <c r="T785" s="1" t="s">
        <v>29</v>
      </c>
      <c r="U785" s="1" t="s">
        <v>30</v>
      </c>
      <c r="V785" s="1">
        <v>0</v>
      </c>
    </row>
    <row r="786" spans="2:22" x14ac:dyDescent="0.15">
      <c r="B786" s="1" t="str">
        <f>"132****0678"</f>
        <v>132****0678</v>
      </c>
      <c r="C786" s="1" t="s">
        <v>23</v>
      </c>
      <c r="D786" s="1" t="str">
        <f t="shared" si="81"/>
        <v>89177328</v>
      </c>
      <c r="E786" s="1" t="s">
        <v>24</v>
      </c>
      <c r="F786" s="1" t="str">
        <f t="shared" si="82"/>
        <v>0010</v>
      </c>
      <c r="G786" s="1" t="str">
        <f>""</f>
        <v/>
      </c>
      <c r="H786" s="1" t="str">
        <f>"0036"</f>
        <v>0036</v>
      </c>
      <c r="I786" s="1" t="s">
        <v>143</v>
      </c>
      <c r="J786" s="1" t="str">
        <f>"01043977573"</f>
        <v>01043977573</v>
      </c>
      <c r="K786" s="1" t="str">
        <f>"2017-04-07 09:42:16"</f>
        <v>2017-04-07 09:42:16</v>
      </c>
      <c r="L786" s="1" t="str">
        <f>"2017-04-07 09:42:24"</f>
        <v>2017-04-07 09:42:24</v>
      </c>
      <c r="M786" s="2">
        <v>7.7314814814814815E-3</v>
      </c>
      <c r="N786" s="1" t="s">
        <v>26</v>
      </c>
      <c r="O786" s="1" t="s">
        <v>34</v>
      </c>
      <c r="P786" s="2">
        <v>7.8240740740740753E-3</v>
      </c>
      <c r="Q786" s="1" t="s">
        <v>691</v>
      </c>
      <c r="R786" s="1">
        <v>0</v>
      </c>
      <c r="S786" s="1" t="str">
        <f>""</f>
        <v/>
      </c>
      <c r="T786" s="1" t="s">
        <v>29</v>
      </c>
      <c r="U786" s="1" t="s">
        <v>30</v>
      </c>
      <c r="V786" s="1">
        <v>0</v>
      </c>
    </row>
    <row r="787" spans="2:22" x14ac:dyDescent="0.15">
      <c r="B787" s="1" t="str">
        <f>"138****4082"</f>
        <v>138****4082</v>
      </c>
      <c r="C787" s="1" t="s">
        <v>78</v>
      </c>
      <c r="D787" s="1" t="str">
        <f t="shared" si="81"/>
        <v>89177328</v>
      </c>
      <c r="E787" s="1" t="s">
        <v>24</v>
      </c>
      <c r="F787" s="1" t="str">
        <f t="shared" si="82"/>
        <v>0010</v>
      </c>
      <c r="G787" s="1" t="str">
        <f>""</f>
        <v/>
      </c>
      <c r="H787" s="1" t="str">
        <f>"0034"</f>
        <v>0034</v>
      </c>
      <c r="I787" s="1" t="s">
        <v>31</v>
      </c>
      <c r="J787" s="1" t="str">
        <f>"01043977568"</f>
        <v>01043977568</v>
      </c>
      <c r="K787" s="1" t="str">
        <f>"2017-04-07 09:39:18"</f>
        <v>2017-04-07 09:39:18</v>
      </c>
      <c r="L787" s="1" t="str">
        <f>"2017-04-07 09:39:30"</f>
        <v>2017-04-07 09:39:30</v>
      </c>
      <c r="M787" s="2">
        <v>1.0162037037037037E-2</v>
      </c>
      <c r="N787" s="1" t="s">
        <v>26</v>
      </c>
      <c r="O787" s="1" t="s">
        <v>27</v>
      </c>
      <c r="P787" s="2">
        <v>1.0300925925925927E-2</v>
      </c>
      <c r="Q787" s="1" t="s">
        <v>692</v>
      </c>
      <c r="R787" s="1">
        <v>0</v>
      </c>
      <c r="S787" s="1" t="str">
        <f>""</f>
        <v/>
      </c>
      <c r="T787" s="1" t="s">
        <v>29</v>
      </c>
      <c r="U787" s="1" t="s">
        <v>30</v>
      </c>
      <c r="V787" s="1">
        <v>0</v>
      </c>
    </row>
    <row r="788" spans="2:22" x14ac:dyDescent="0.15">
      <c r="B788" s="1" t="str">
        <f>"132****2787"</f>
        <v>132****2787</v>
      </c>
      <c r="C788" s="1" t="s">
        <v>693</v>
      </c>
      <c r="D788" s="1" t="str">
        <f t="shared" si="81"/>
        <v>89177328</v>
      </c>
      <c r="E788" s="1" t="s">
        <v>24</v>
      </c>
      <c r="F788" s="1" t="str">
        <f t="shared" si="82"/>
        <v>0010</v>
      </c>
      <c r="G788" s="1" t="str">
        <f>""</f>
        <v/>
      </c>
      <c r="H788" s="1" t="str">
        <f>"0034"</f>
        <v>0034</v>
      </c>
      <c r="I788" s="1" t="s">
        <v>31</v>
      </c>
      <c r="J788" s="1" t="str">
        <f>"01043977568"</f>
        <v>01043977568</v>
      </c>
      <c r="K788" s="1" t="str">
        <f>"2017-04-07 09:26:28"</f>
        <v>2017-04-07 09:26:28</v>
      </c>
      <c r="L788" s="1" t="str">
        <f>"2017-04-07 09:26:38"</f>
        <v>2017-04-07 09:26:38</v>
      </c>
      <c r="M788" s="2">
        <v>7.3032407407407412E-3</v>
      </c>
      <c r="N788" s="1" t="s">
        <v>26</v>
      </c>
      <c r="O788" s="1" t="s">
        <v>27</v>
      </c>
      <c r="P788" s="2">
        <v>7.4189814814814813E-3</v>
      </c>
      <c r="Q788" s="1" t="s">
        <v>694</v>
      </c>
      <c r="R788" s="1">
        <v>0</v>
      </c>
      <c r="S788" s="1" t="str">
        <f>""</f>
        <v/>
      </c>
      <c r="T788" s="1" t="s">
        <v>29</v>
      </c>
      <c r="U788" s="1" t="s">
        <v>30</v>
      </c>
      <c r="V788" s="1">
        <v>0</v>
      </c>
    </row>
    <row r="789" spans="2:22" x14ac:dyDescent="0.15">
      <c r="B789" s="1" t="str">
        <f>"188****8963"</f>
        <v>188****8963</v>
      </c>
      <c r="C789" s="1" t="s">
        <v>23</v>
      </c>
      <c r="D789" s="1" t="str">
        <f t="shared" si="81"/>
        <v>89177328</v>
      </c>
      <c r="E789" s="1" t="s">
        <v>24</v>
      </c>
      <c r="F789" s="1" t="str">
        <f t="shared" si="82"/>
        <v>0010</v>
      </c>
      <c r="G789" s="1" t="str">
        <f>""</f>
        <v/>
      </c>
      <c r="H789" s="1" t="str">
        <f>"0036"</f>
        <v>0036</v>
      </c>
      <c r="I789" s="1" t="s">
        <v>143</v>
      </c>
      <c r="J789" s="1" t="str">
        <f>"01043977573"</f>
        <v>01043977573</v>
      </c>
      <c r="K789" s="1" t="str">
        <f>"2017-04-07 09:11:21"</f>
        <v>2017-04-07 09:11:21</v>
      </c>
      <c r="L789" s="1" t="str">
        <f>"2017-04-07 09:11:26"</f>
        <v>2017-04-07 09:11:26</v>
      </c>
      <c r="M789" s="2">
        <v>1.0659722222222221E-2</v>
      </c>
      <c r="N789" s="1" t="s">
        <v>26</v>
      </c>
      <c r="O789" s="1" t="s">
        <v>27</v>
      </c>
      <c r="P789" s="2">
        <v>1.0717592592592593E-2</v>
      </c>
      <c r="Q789" s="1" t="s">
        <v>695</v>
      </c>
      <c r="R789" s="1">
        <v>0</v>
      </c>
      <c r="S789" s="1" t="str">
        <f>""</f>
        <v/>
      </c>
      <c r="T789" s="1" t="s">
        <v>29</v>
      </c>
      <c r="U789" s="1" t="s">
        <v>30</v>
      </c>
      <c r="V789" s="1">
        <v>0</v>
      </c>
    </row>
    <row r="790" spans="2:22" x14ac:dyDescent="0.15">
      <c r="B790" s="1" t="str">
        <f>"184****0884"</f>
        <v>184****0884</v>
      </c>
      <c r="C790" s="1" t="s">
        <v>23</v>
      </c>
      <c r="D790" s="1" t="str">
        <f t="shared" si="81"/>
        <v>89177328</v>
      </c>
      <c r="E790" s="1" t="s">
        <v>24</v>
      </c>
      <c r="F790" s="1" t="str">
        <f t="shared" si="82"/>
        <v>0010</v>
      </c>
      <c r="G790" s="1" t="str">
        <f>""</f>
        <v/>
      </c>
      <c r="H790" s="1" t="str">
        <f>"0035"</f>
        <v>0035</v>
      </c>
      <c r="I790" s="1" t="s">
        <v>25</v>
      </c>
      <c r="J790" s="1" t="str">
        <f>"01043977569"</f>
        <v>01043977569</v>
      </c>
      <c r="K790" s="1" t="str">
        <f>"2017-04-07 09:10:02"</f>
        <v>2017-04-07 09:10:02</v>
      </c>
      <c r="L790" s="1" t="str">
        <f>"2017-04-07 09:10:12"</f>
        <v>2017-04-07 09:10:12</v>
      </c>
      <c r="M790" s="2">
        <v>2.615740740740741E-3</v>
      </c>
      <c r="N790" s="1" t="s">
        <v>26</v>
      </c>
      <c r="O790" s="1" t="s">
        <v>27</v>
      </c>
      <c r="P790" s="2">
        <v>2.7314814814814819E-3</v>
      </c>
      <c r="Q790" s="1" t="s">
        <v>696</v>
      </c>
      <c r="R790" s="1">
        <v>0</v>
      </c>
      <c r="S790" s="1" t="str">
        <f>""</f>
        <v/>
      </c>
      <c r="T790" s="1" t="s">
        <v>29</v>
      </c>
      <c r="U790" s="1" t="s">
        <v>30</v>
      </c>
      <c r="V790" s="1">
        <v>0</v>
      </c>
    </row>
    <row r="791" spans="2:22" x14ac:dyDescent="0.15">
      <c r="B791" s="1" t="str">
        <f>"136****0026"</f>
        <v>136****0026</v>
      </c>
      <c r="C791" s="1" t="s">
        <v>23</v>
      </c>
      <c r="D791" s="1" t="str">
        <f t="shared" si="81"/>
        <v>89177328</v>
      </c>
      <c r="E791" s="1" t="s">
        <v>24</v>
      </c>
      <c r="F791" s="1" t="str">
        <f t="shared" si="82"/>
        <v>0010</v>
      </c>
      <c r="G791" s="1" t="str">
        <f>""</f>
        <v/>
      </c>
      <c r="H791" s="1" t="str">
        <f>"0034"</f>
        <v>0034</v>
      </c>
      <c r="I791" s="1" t="s">
        <v>31</v>
      </c>
      <c r="J791" s="1" t="str">
        <f>"01043977568"</f>
        <v>01043977568</v>
      </c>
      <c r="K791" s="1" t="str">
        <f>"2017-04-07 09:06:28"</f>
        <v>2017-04-07 09:06:28</v>
      </c>
      <c r="L791" s="1" t="str">
        <f>"2017-04-07 09:06:38"</f>
        <v>2017-04-07 09:06:38</v>
      </c>
      <c r="M791" s="2">
        <v>4.2708333333333339E-3</v>
      </c>
      <c r="N791" s="1" t="s">
        <v>26</v>
      </c>
      <c r="O791" s="1" t="s">
        <v>27</v>
      </c>
      <c r="P791" s="2">
        <v>4.386574074074074E-3</v>
      </c>
      <c r="Q791" s="1" t="s">
        <v>697</v>
      </c>
      <c r="R791" s="1">
        <v>0</v>
      </c>
      <c r="S791" s="1" t="str">
        <f>""</f>
        <v/>
      </c>
      <c r="T791" s="1" t="s">
        <v>29</v>
      </c>
      <c r="U791" s="1" t="s">
        <v>30</v>
      </c>
      <c r="V791" s="1">
        <v>0</v>
      </c>
    </row>
    <row r="792" spans="2:22" x14ac:dyDescent="0.15">
      <c r="B792" s="1" t="str">
        <f>"010****8756"</f>
        <v>010****8756</v>
      </c>
      <c r="C792" s="1" t="s">
        <v>23</v>
      </c>
      <c r="D792" s="1" t="str">
        <f t="shared" si="81"/>
        <v>89177328</v>
      </c>
      <c r="E792" s="1" t="s">
        <v>24</v>
      </c>
      <c r="F792" s="1" t="str">
        <f t="shared" si="82"/>
        <v>0010</v>
      </c>
      <c r="G792" s="1" t="str">
        <f>""</f>
        <v/>
      </c>
      <c r="H792" s="1" t="str">
        <f>"0017"</f>
        <v>0017</v>
      </c>
      <c r="I792" s="1" t="s">
        <v>135</v>
      </c>
      <c r="J792" s="1" t="str">
        <f>"01043989717"</f>
        <v>01043989717</v>
      </c>
      <c r="K792" s="1" t="str">
        <f>"2017-04-07 09:05:35"</f>
        <v>2017-04-07 09:05:35</v>
      </c>
      <c r="L792" s="1" t="str">
        <f>"2017-04-07 09:05:43"</f>
        <v>2017-04-07 09:05:43</v>
      </c>
      <c r="M792" s="2">
        <v>6.9560185185185185E-3</v>
      </c>
      <c r="N792" s="1" t="s">
        <v>26</v>
      </c>
      <c r="O792" s="1" t="s">
        <v>27</v>
      </c>
      <c r="P792" s="2">
        <v>7.0486111111111105E-3</v>
      </c>
      <c r="Q792" s="1" t="s">
        <v>698</v>
      </c>
      <c r="R792" s="1">
        <v>0</v>
      </c>
      <c r="S792" s="1" t="str">
        <f>""</f>
        <v/>
      </c>
      <c r="T792" s="1" t="s">
        <v>29</v>
      </c>
      <c r="U792" s="1" t="s">
        <v>30</v>
      </c>
      <c r="V792" s="1">
        <v>0</v>
      </c>
    </row>
    <row r="793" spans="2:22" x14ac:dyDescent="0.15">
      <c r="B793" s="1" t="str">
        <f>"010****0281"</f>
        <v>010****0281</v>
      </c>
      <c r="C793" s="1" t="s">
        <v>23</v>
      </c>
      <c r="D793" s="1" t="str">
        <f t="shared" si="81"/>
        <v>89177328</v>
      </c>
      <c r="E793" s="1" t="s">
        <v>24</v>
      </c>
      <c r="F793" s="1" t="str">
        <f t="shared" si="82"/>
        <v>0010</v>
      </c>
      <c r="G793" s="1" t="str">
        <f>""</f>
        <v/>
      </c>
      <c r="H793" s="1" t="str">
        <f>"0012"</f>
        <v>0012</v>
      </c>
      <c r="I793" s="1" t="s">
        <v>612</v>
      </c>
      <c r="J793" s="1" t="str">
        <f>"01043989720"</f>
        <v>01043989720</v>
      </c>
      <c r="K793" s="1" t="str">
        <f>"2017-04-07 09:05:00"</f>
        <v>2017-04-07 09:05:00</v>
      </c>
      <c r="L793" s="1" t="str">
        <f>"2017-04-07 09:05:12"</f>
        <v>2017-04-07 09:05:12</v>
      </c>
      <c r="M793" s="2">
        <v>2.1412037037037038E-3</v>
      </c>
      <c r="N793" s="1" t="s">
        <v>26</v>
      </c>
      <c r="O793" s="1" t="s">
        <v>34</v>
      </c>
      <c r="P793" s="2">
        <v>2.2800925925925927E-3</v>
      </c>
      <c r="Q793" s="1" t="s">
        <v>699</v>
      </c>
      <c r="R793" s="1">
        <v>0</v>
      </c>
      <c r="S793" s="1" t="str">
        <f>""</f>
        <v/>
      </c>
      <c r="T793" s="1" t="s">
        <v>29</v>
      </c>
      <c r="U793" s="1" t="s">
        <v>30</v>
      </c>
      <c r="V793" s="1">
        <v>0</v>
      </c>
    </row>
    <row r="794" spans="2:22" x14ac:dyDescent="0.15">
      <c r="B794" s="1" t="str">
        <f>"175****0823"</f>
        <v>175****0823</v>
      </c>
      <c r="C794" s="1" t="s">
        <v>126</v>
      </c>
      <c r="D794" s="1" t="str">
        <f t="shared" si="81"/>
        <v>89177328</v>
      </c>
      <c r="E794" s="1" t="s">
        <v>24</v>
      </c>
      <c r="F794" s="1" t="str">
        <f t="shared" si="82"/>
        <v>0010</v>
      </c>
      <c r="G794" s="1" t="str">
        <f>""</f>
        <v/>
      </c>
      <c r="H794" s="1" t="str">
        <f>"0012"</f>
        <v>0012</v>
      </c>
      <c r="I794" s="1" t="s">
        <v>612</v>
      </c>
      <c r="J794" s="1" t="str">
        <f>"01043989720"</f>
        <v>01043989720</v>
      </c>
      <c r="K794" s="1" t="str">
        <f>"2017-04-07 09:03:13"</f>
        <v>2017-04-07 09:03:13</v>
      </c>
      <c r="L794" s="1" t="str">
        <f>"2017-04-07 09:03:24"</f>
        <v>2017-04-07 09:03:24</v>
      </c>
      <c r="M794" s="2">
        <v>7.291666666666667E-4</v>
      </c>
      <c r="N794" s="1" t="s">
        <v>26</v>
      </c>
      <c r="O794" s="1" t="s">
        <v>34</v>
      </c>
      <c r="P794" s="2">
        <v>8.564814814814815E-4</v>
      </c>
      <c r="Q794" s="1" t="s">
        <v>700</v>
      </c>
      <c r="R794" s="1">
        <v>0</v>
      </c>
      <c r="S794" s="1" t="str">
        <f>""</f>
        <v/>
      </c>
      <c r="T794" s="1" t="s">
        <v>29</v>
      </c>
      <c r="U794" s="1" t="s">
        <v>30</v>
      </c>
      <c r="V794" s="1">
        <v>0</v>
      </c>
    </row>
    <row r="795" spans="2:22" x14ac:dyDescent="0.15">
      <c r="B795" s="1" t="str">
        <f>"186****1800"</f>
        <v>186****1800</v>
      </c>
      <c r="C795" s="1" t="s">
        <v>38</v>
      </c>
      <c r="D795" s="1" t="str">
        <f t="shared" si="81"/>
        <v>89177328</v>
      </c>
      <c r="E795" s="1" t="s">
        <v>24</v>
      </c>
      <c r="F795" s="1" t="str">
        <f t="shared" si="82"/>
        <v>0010</v>
      </c>
      <c r="G795" s="1" t="str">
        <f>""</f>
        <v/>
      </c>
      <c r="H795" s="1" t="str">
        <f>"0012"</f>
        <v>0012</v>
      </c>
      <c r="I795" s="1" t="s">
        <v>612</v>
      </c>
      <c r="J795" s="1" t="str">
        <f>"01043989720"</f>
        <v>01043989720</v>
      </c>
      <c r="K795" s="1" t="str">
        <f>"2017-04-07 09:01:21"</f>
        <v>2017-04-07 09:01:21</v>
      </c>
      <c r="L795" s="1" t="str">
        <f>"2017-04-07 09:01:31"</f>
        <v>2017-04-07 09:01:31</v>
      </c>
      <c r="M795" s="2">
        <v>5.3240740740740744E-4</v>
      </c>
      <c r="N795" s="1" t="s">
        <v>26</v>
      </c>
      <c r="O795" s="1" t="s">
        <v>34</v>
      </c>
      <c r="P795" s="2">
        <v>6.4814814814814813E-4</v>
      </c>
      <c r="Q795" s="1" t="s">
        <v>701</v>
      </c>
      <c r="R795" s="1">
        <v>0</v>
      </c>
      <c r="S795" s="1" t="str">
        <f>""</f>
        <v/>
      </c>
      <c r="T795" s="1" t="s">
        <v>29</v>
      </c>
      <c r="U795" s="1" t="s">
        <v>30</v>
      </c>
      <c r="V795" s="1">
        <v>0</v>
      </c>
    </row>
    <row r="796" spans="2:22" x14ac:dyDescent="0.15">
      <c r="B796" s="1" t="str">
        <f>"176****9686"</f>
        <v>176****9686</v>
      </c>
      <c r="C796" s="1" t="s">
        <v>23</v>
      </c>
      <c r="D796" s="1" t="str">
        <f t="shared" si="81"/>
        <v>89177328</v>
      </c>
      <c r="E796" s="1" t="s">
        <v>24</v>
      </c>
      <c r="F796" s="1" t="str">
        <f t="shared" si="82"/>
        <v>0010</v>
      </c>
      <c r="G796" s="1" t="str">
        <f>""</f>
        <v/>
      </c>
      <c r="H796" s="1" t="str">
        <f>"0036"</f>
        <v>0036</v>
      </c>
      <c r="I796" s="1" t="s">
        <v>143</v>
      </c>
      <c r="J796" s="1" t="str">
        <f>"01043977573"</f>
        <v>01043977573</v>
      </c>
      <c r="K796" s="1" t="str">
        <f>"2017-04-07 08:56:55"</f>
        <v>2017-04-07 08:56:55</v>
      </c>
      <c r="L796" s="1" t="str">
        <f>"2017-04-07 08:57:05"</f>
        <v>2017-04-07 08:57:05</v>
      </c>
      <c r="M796" s="2">
        <v>9.4212962962962957E-3</v>
      </c>
      <c r="N796" s="1" t="s">
        <v>26</v>
      </c>
      <c r="O796" s="1" t="s">
        <v>27</v>
      </c>
      <c r="P796" s="2">
        <v>9.5370370370370366E-3</v>
      </c>
      <c r="Q796" s="1" t="s">
        <v>702</v>
      </c>
      <c r="R796" s="1">
        <v>0</v>
      </c>
      <c r="S796" s="1" t="str">
        <f>""</f>
        <v/>
      </c>
      <c r="T796" s="1" t="s">
        <v>29</v>
      </c>
      <c r="U796" s="1" t="s">
        <v>30</v>
      </c>
      <c r="V796" s="1">
        <v>0</v>
      </c>
    </row>
    <row r="797" spans="2:22" x14ac:dyDescent="0.15">
      <c r="B797" s="1" t="str">
        <f>"188****6866"</f>
        <v>188****6866</v>
      </c>
      <c r="C797" s="1" t="s">
        <v>703</v>
      </c>
      <c r="D797" s="1" t="str">
        <f t="shared" si="81"/>
        <v>89177328</v>
      </c>
      <c r="E797" s="1" t="s">
        <v>24</v>
      </c>
      <c r="F797" s="1" t="str">
        <f t="shared" si="82"/>
        <v>0010</v>
      </c>
      <c r="G797" s="1" t="str">
        <f>""</f>
        <v/>
      </c>
      <c r="H797" s="1" t="str">
        <f>"0010"</f>
        <v>0010</v>
      </c>
      <c r="I797" s="1" t="s">
        <v>71</v>
      </c>
      <c r="J797" s="1" t="str">
        <f>"01043977571"</f>
        <v>01043977571</v>
      </c>
      <c r="K797" s="1" t="str">
        <f>"2017-04-07 08:42:55"</f>
        <v>2017-04-07 08:42:55</v>
      </c>
      <c r="L797" s="1" t="str">
        <f>"2017-04-07 08:43:04"</f>
        <v>2017-04-07 08:43:04</v>
      </c>
      <c r="M797" s="2">
        <v>1.6284722222222221E-2</v>
      </c>
      <c r="N797" s="1" t="s">
        <v>26</v>
      </c>
      <c r="O797" s="1" t="s">
        <v>34</v>
      </c>
      <c r="P797" s="2">
        <v>1.638888888888889E-2</v>
      </c>
      <c r="Q797" s="1" t="s">
        <v>704</v>
      </c>
      <c r="R797" s="1">
        <v>0</v>
      </c>
      <c r="S797" s="1" t="str">
        <f>""</f>
        <v/>
      </c>
      <c r="T797" s="1" t="s">
        <v>29</v>
      </c>
      <c r="U797" s="1" t="s">
        <v>30</v>
      </c>
      <c r="V797" s="1">
        <v>0</v>
      </c>
    </row>
    <row r="798" spans="2:22" x14ac:dyDescent="0.15">
      <c r="B798" s="1" t="str">
        <f>"130****5656"</f>
        <v>130****5656</v>
      </c>
      <c r="C798" s="1" t="s">
        <v>112</v>
      </c>
      <c r="D798" s="1" t="str">
        <f t="shared" si="81"/>
        <v>89177328</v>
      </c>
      <c r="E798" s="1" t="s">
        <v>24</v>
      </c>
      <c r="F798" s="1" t="str">
        <f t="shared" si="82"/>
        <v>0010</v>
      </c>
      <c r="G798" s="1" t="str">
        <f>""</f>
        <v/>
      </c>
      <c r="H798" s="1" t="str">
        <f>"0010"</f>
        <v>0010</v>
      </c>
      <c r="I798" s="1" t="s">
        <v>71</v>
      </c>
      <c r="J798" s="1" t="str">
        <f>"01043977571"</f>
        <v>01043977571</v>
      </c>
      <c r="K798" s="1" t="str">
        <f>"2017-04-07 08:34:57"</f>
        <v>2017-04-07 08:34:57</v>
      </c>
      <c r="L798" s="1" t="str">
        <f>"-"</f>
        <v>-</v>
      </c>
      <c r="M798" s="2">
        <v>0</v>
      </c>
      <c r="N798" s="1" t="s">
        <v>33</v>
      </c>
      <c r="O798" s="1" t="s">
        <v>34</v>
      </c>
      <c r="P798" s="2">
        <v>3.4722222222222222E-5</v>
      </c>
      <c r="Q798" s="1" t="str">
        <f>""</f>
        <v/>
      </c>
      <c r="R798" s="1">
        <v>0</v>
      </c>
      <c r="S798" s="1" t="str">
        <f>""</f>
        <v/>
      </c>
      <c r="T798" s="1" t="s">
        <v>29</v>
      </c>
      <c r="U798" s="1" t="s">
        <v>30</v>
      </c>
      <c r="V798" s="1">
        <v>0</v>
      </c>
    </row>
    <row r="799" spans="2:22" x14ac:dyDescent="0.15">
      <c r="B799" s="1" t="str">
        <f>"010****4235"</f>
        <v>010****4235</v>
      </c>
      <c r="C799" s="1" t="s">
        <v>23</v>
      </c>
      <c r="D799" s="1" t="str">
        <f t="shared" si="81"/>
        <v>89177328</v>
      </c>
      <c r="E799" s="1" t="s">
        <v>24</v>
      </c>
      <c r="F799" s="1" t="str">
        <f t="shared" si="82"/>
        <v>0010</v>
      </c>
      <c r="G799" s="1" t="str">
        <f>""</f>
        <v/>
      </c>
      <c r="H799" s="1" t="str">
        <f>"0035"</f>
        <v>0035</v>
      </c>
      <c r="I799" s="1" t="s">
        <v>25</v>
      </c>
      <c r="J799" s="1" t="str">
        <f>"01043977569"</f>
        <v>01043977569</v>
      </c>
      <c r="K799" s="1" t="str">
        <f>"2017-04-07 08:29:36"</f>
        <v>2017-04-07 08:29:36</v>
      </c>
      <c r="L799" s="1" t="str">
        <f>"-"</f>
        <v>-</v>
      </c>
      <c r="M799" s="2">
        <v>0</v>
      </c>
      <c r="N799" s="1" t="s">
        <v>33</v>
      </c>
      <c r="O799" s="1" t="s">
        <v>34</v>
      </c>
      <c r="P799" s="2">
        <v>2.3148148148148147E-5</v>
      </c>
      <c r="Q799" s="1" t="str">
        <f>""</f>
        <v/>
      </c>
      <c r="R799" s="1">
        <v>0</v>
      </c>
      <c r="S799" s="1" t="str">
        <f>""</f>
        <v/>
      </c>
      <c r="T799" s="1" t="s">
        <v>29</v>
      </c>
      <c r="U799" s="1" t="s">
        <v>30</v>
      </c>
      <c r="V799" s="1">
        <v>0</v>
      </c>
    </row>
    <row r="800" spans="2:22" x14ac:dyDescent="0.15">
      <c r="B800" s="1" t="str">
        <f>"139****6411"</f>
        <v>139****6411</v>
      </c>
      <c r="C800" s="1" t="s">
        <v>23</v>
      </c>
      <c r="D800" s="1" t="str">
        <f t="shared" si="81"/>
        <v>89177328</v>
      </c>
      <c r="E800" s="1" t="s">
        <v>24</v>
      </c>
      <c r="F800" s="1" t="str">
        <f t="shared" si="82"/>
        <v>0010</v>
      </c>
      <c r="G800" s="1" t="str">
        <f>""</f>
        <v/>
      </c>
      <c r="H800" s="1" t="str">
        <f>"0017"</f>
        <v>0017</v>
      </c>
      <c r="I800" s="1" t="s">
        <v>135</v>
      </c>
      <c r="J800" s="1" t="str">
        <f>"01043989717"</f>
        <v>01043989717</v>
      </c>
      <c r="K800" s="1" t="str">
        <f>"2017-04-07 08:25:26"</f>
        <v>2017-04-07 08:25:26</v>
      </c>
      <c r="L800" s="1" t="str">
        <f>"2017-04-07 08:25:35"</f>
        <v>2017-04-07 08:25:35</v>
      </c>
      <c r="M800" s="2">
        <v>2.7546296296296294E-3</v>
      </c>
      <c r="N800" s="1" t="s">
        <v>26</v>
      </c>
      <c r="O800" s="1" t="s">
        <v>34</v>
      </c>
      <c r="P800" s="2">
        <v>2.8587962962962963E-3</v>
      </c>
      <c r="Q800" s="1" t="s">
        <v>705</v>
      </c>
      <c r="R800" s="1">
        <v>0</v>
      </c>
      <c r="S800" s="1" t="str">
        <f>""</f>
        <v/>
      </c>
      <c r="T800" s="1" t="s">
        <v>29</v>
      </c>
      <c r="U800" s="1" t="s">
        <v>30</v>
      </c>
      <c r="V800" s="1">
        <v>0</v>
      </c>
    </row>
    <row r="801" spans="2:22" x14ac:dyDescent="0.15">
      <c r="B801" s="1" t="str">
        <f>"134****2507"</f>
        <v>134****2507</v>
      </c>
      <c r="C801" s="1" t="s">
        <v>23</v>
      </c>
      <c r="D801" s="1" t="str">
        <f t="shared" si="81"/>
        <v>89177328</v>
      </c>
      <c r="E801" s="1" t="s">
        <v>24</v>
      </c>
      <c r="F801" s="1" t="str">
        <f t="shared" si="82"/>
        <v>0010</v>
      </c>
      <c r="G801" s="1" t="str">
        <f>""</f>
        <v/>
      </c>
      <c r="H801" s="1" t="str">
        <f>"0010"</f>
        <v>0010</v>
      </c>
      <c r="I801" s="1" t="s">
        <v>71</v>
      </c>
      <c r="J801" s="1" t="str">
        <f>"01043977571"</f>
        <v>01043977571</v>
      </c>
      <c r="K801" s="1" t="str">
        <f>"2017-04-07 08:12:53"</f>
        <v>2017-04-07 08:12:53</v>
      </c>
      <c r="L801" s="1" t="str">
        <f>"2017-04-07 08:13:04"</f>
        <v>2017-04-07 08:13:04</v>
      </c>
      <c r="M801" s="2">
        <v>6.7361111111111103E-3</v>
      </c>
      <c r="N801" s="1" t="s">
        <v>26</v>
      </c>
      <c r="O801" s="1" t="s">
        <v>27</v>
      </c>
      <c r="P801" s="2">
        <v>6.8634259259259256E-3</v>
      </c>
      <c r="Q801" s="1" t="s">
        <v>706</v>
      </c>
      <c r="R801" s="1">
        <v>0</v>
      </c>
      <c r="S801" s="1" t="str">
        <f>""</f>
        <v/>
      </c>
      <c r="T801" s="1" t="s">
        <v>29</v>
      </c>
      <c r="U801" s="1" t="s">
        <v>30</v>
      </c>
      <c r="V801" s="1">
        <v>0</v>
      </c>
    </row>
    <row r="802" spans="2:22" x14ac:dyDescent="0.15">
      <c r="B802" s="1" t="str">
        <f>"188****7867"</f>
        <v>188****7867</v>
      </c>
      <c r="C802" s="1" t="s">
        <v>23</v>
      </c>
      <c r="D802" s="1" t="str">
        <f t="shared" si="81"/>
        <v>89177328</v>
      </c>
      <c r="E802" s="1" t="s">
        <v>24</v>
      </c>
      <c r="F802" s="1" t="str">
        <f t="shared" si="82"/>
        <v>0010</v>
      </c>
      <c r="G802" s="1" t="str">
        <f>""</f>
        <v/>
      </c>
      <c r="H802" s="1" t="str">
        <f>"0017"</f>
        <v>0017</v>
      </c>
      <c r="I802" s="1" t="s">
        <v>135</v>
      </c>
      <c r="J802" s="1" t="str">
        <f>"01043989717"</f>
        <v>01043989717</v>
      </c>
      <c r="K802" s="1" t="str">
        <f>"2017-04-07 08:00:10"</f>
        <v>2017-04-07 08:00:10</v>
      </c>
      <c r="L802" s="1" t="str">
        <f>"-"</f>
        <v>-</v>
      </c>
      <c r="M802" s="2">
        <v>0</v>
      </c>
      <c r="N802" s="1" t="s">
        <v>33</v>
      </c>
      <c r="O802" s="1" t="s">
        <v>34</v>
      </c>
      <c r="P802" s="2">
        <v>6.5972222222222213E-4</v>
      </c>
      <c r="Q802" s="1" t="str">
        <f>""</f>
        <v/>
      </c>
      <c r="R802" s="1">
        <v>0</v>
      </c>
      <c r="S802" s="1" t="str">
        <f>""</f>
        <v/>
      </c>
      <c r="T802" s="1" t="s">
        <v>29</v>
      </c>
      <c r="U802" s="1" t="s">
        <v>30</v>
      </c>
      <c r="V802" s="1">
        <v>0</v>
      </c>
    </row>
    <row r="803" spans="2:22" x14ac:dyDescent="0.15">
      <c r="B803" s="1" t="str">
        <f>"188****7867"</f>
        <v>188****7867</v>
      </c>
      <c r="C803" s="1" t="s">
        <v>23</v>
      </c>
      <c r="D803" s="1" t="str">
        <f t="shared" si="81"/>
        <v>89177328</v>
      </c>
      <c r="E803" s="1" t="s">
        <v>181</v>
      </c>
      <c r="F803" s="1" t="str">
        <f>""</f>
        <v/>
      </c>
      <c r="G803" s="1" t="str">
        <f>""</f>
        <v/>
      </c>
      <c r="H803" s="1" t="str">
        <f>""</f>
        <v/>
      </c>
      <c r="I803" s="1" t="str">
        <f>""</f>
        <v/>
      </c>
      <c r="J803" s="1" t="str">
        <f>""</f>
        <v/>
      </c>
      <c r="K803" s="1" t="str">
        <f>"2017-04-07 07:59:58"</f>
        <v>2017-04-07 07:59:58</v>
      </c>
      <c r="L803" s="1" t="str">
        <f>"-"</f>
        <v>-</v>
      </c>
      <c r="M803" s="2">
        <v>0</v>
      </c>
      <c r="N803" s="1" t="s">
        <v>55</v>
      </c>
      <c r="O803" s="1" t="s">
        <v>34</v>
      </c>
      <c r="P803" s="2">
        <v>8.1018518518518516E-5</v>
      </c>
      <c r="Q803" s="1" t="str">
        <f>""</f>
        <v/>
      </c>
      <c r="R803" s="1">
        <v>0</v>
      </c>
      <c r="S803" s="1" t="str">
        <f>""</f>
        <v/>
      </c>
      <c r="T803" s="1" t="s">
        <v>183</v>
      </c>
      <c r="U803" s="1" t="s">
        <v>30</v>
      </c>
      <c r="V803" s="1">
        <v>0</v>
      </c>
    </row>
    <row r="804" spans="2:22" x14ac:dyDescent="0.15">
      <c r="B804" s="1" t="str">
        <f>"139****4260"</f>
        <v>139****4260</v>
      </c>
      <c r="C804" s="1" t="s">
        <v>23</v>
      </c>
      <c r="D804" s="1" t="str">
        <f t="shared" si="81"/>
        <v>89177328</v>
      </c>
      <c r="E804" s="1" t="s">
        <v>24</v>
      </c>
      <c r="F804" s="1" t="str">
        <f t="shared" ref="F804:F818" si="83">"0010"</f>
        <v>0010</v>
      </c>
      <c r="G804" s="1" t="str">
        <f>""</f>
        <v/>
      </c>
      <c r="H804" s="1" t="str">
        <f>"0034"</f>
        <v>0034</v>
      </c>
      <c r="I804" s="1" t="s">
        <v>31</v>
      </c>
      <c r="J804" s="1" t="str">
        <f>"01043977568"</f>
        <v>01043977568</v>
      </c>
      <c r="K804" s="1" t="str">
        <f>"2017-04-06 20:24:19"</f>
        <v>2017-04-06 20:24:19</v>
      </c>
      <c r="L804" s="1" t="str">
        <f>"2017-04-06 20:24:24"</f>
        <v>2017-04-06 20:24:24</v>
      </c>
      <c r="M804" s="2">
        <v>5.6134259259259271E-3</v>
      </c>
      <c r="N804" s="1" t="s">
        <v>26</v>
      </c>
      <c r="O804" s="1" t="s">
        <v>34</v>
      </c>
      <c r="P804" s="2">
        <v>5.6712962962962958E-3</v>
      </c>
      <c r="Q804" s="1" t="s">
        <v>707</v>
      </c>
      <c r="R804" s="1">
        <v>0</v>
      </c>
      <c r="S804" s="1" t="str">
        <f>""</f>
        <v/>
      </c>
      <c r="T804" s="1" t="s">
        <v>29</v>
      </c>
      <c r="U804" s="1" t="s">
        <v>30</v>
      </c>
      <c r="V804" s="1">
        <v>0</v>
      </c>
    </row>
    <row r="805" spans="2:22" x14ac:dyDescent="0.15">
      <c r="B805" s="1" t="str">
        <f>"139****4260"</f>
        <v>139****4260</v>
      </c>
      <c r="C805" s="1" t="s">
        <v>23</v>
      </c>
      <c r="D805" s="1" t="str">
        <f t="shared" si="81"/>
        <v>89177328</v>
      </c>
      <c r="E805" s="1" t="s">
        <v>24</v>
      </c>
      <c r="F805" s="1" t="str">
        <f t="shared" si="83"/>
        <v>0010</v>
      </c>
      <c r="G805" s="1" t="str">
        <f>""</f>
        <v/>
      </c>
      <c r="H805" s="1" t="str">
        <f>"0034"</f>
        <v>0034</v>
      </c>
      <c r="I805" s="1" t="s">
        <v>31</v>
      </c>
      <c r="J805" s="1" t="str">
        <f>"01043977568"</f>
        <v>01043977568</v>
      </c>
      <c r="K805" s="1" t="str">
        <f>"2017-04-06 20:23:04"</f>
        <v>2017-04-06 20:23:04</v>
      </c>
      <c r="L805" s="1" t="str">
        <f>"-"</f>
        <v>-</v>
      </c>
      <c r="M805" s="2">
        <v>0</v>
      </c>
      <c r="N805" s="1" t="s">
        <v>33</v>
      </c>
      <c r="O805" s="1" t="s">
        <v>34</v>
      </c>
      <c r="P805" s="2">
        <v>2.3148148148148147E-5</v>
      </c>
      <c r="Q805" s="1" t="str">
        <f>""</f>
        <v/>
      </c>
      <c r="R805" s="1">
        <v>0</v>
      </c>
      <c r="S805" s="1" t="str">
        <f>""</f>
        <v/>
      </c>
      <c r="T805" s="1" t="s">
        <v>29</v>
      </c>
      <c r="U805" s="1" t="s">
        <v>30</v>
      </c>
      <c r="V805" s="1">
        <v>0</v>
      </c>
    </row>
    <row r="806" spans="2:22" x14ac:dyDescent="0.15">
      <c r="B806" s="1" t="str">
        <f>"139****9393"</f>
        <v>139****9393</v>
      </c>
      <c r="C806" s="1" t="s">
        <v>23</v>
      </c>
      <c r="D806" s="1" t="str">
        <f t="shared" si="81"/>
        <v>89177328</v>
      </c>
      <c r="E806" s="1" t="s">
        <v>24</v>
      </c>
      <c r="F806" s="1" t="str">
        <f t="shared" si="83"/>
        <v>0010</v>
      </c>
      <c r="G806" s="1" t="str">
        <f>""</f>
        <v/>
      </c>
      <c r="H806" s="1" t="str">
        <f>"0034"</f>
        <v>0034</v>
      </c>
      <c r="I806" s="1" t="s">
        <v>31</v>
      </c>
      <c r="J806" s="1" t="str">
        <f>"01043977568"</f>
        <v>01043977568</v>
      </c>
      <c r="K806" s="1" t="str">
        <f>"2017-04-06 20:06:32"</f>
        <v>2017-04-06 20:06:32</v>
      </c>
      <c r="L806" s="1" t="str">
        <f>"2017-04-06 20:06:40"</f>
        <v>2017-04-06 20:06:40</v>
      </c>
      <c r="M806" s="2">
        <v>9.6527777777777775E-3</v>
      </c>
      <c r="N806" s="1" t="s">
        <v>26</v>
      </c>
      <c r="O806" s="1" t="s">
        <v>34</v>
      </c>
      <c r="P806" s="2">
        <v>9.7453703703703713E-3</v>
      </c>
      <c r="Q806" s="1" t="s">
        <v>708</v>
      </c>
      <c r="R806" s="1">
        <v>0</v>
      </c>
      <c r="S806" s="1" t="str">
        <f>""</f>
        <v/>
      </c>
      <c r="T806" s="1" t="s">
        <v>29</v>
      </c>
      <c r="U806" s="1" t="s">
        <v>30</v>
      </c>
      <c r="V806" s="1">
        <v>0</v>
      </c>
    </row>
    <row r="807" spans="2:22" x14ac:dyDescent="0.15">
      <c r="B807" s="1" t="str">
        <f>"137****8521"</f>
        <v>137****8521</v>
      </c>
      <c r="C807" s="1" t="s">
        <v>188</v>
      </c>
      <c r="D807" s="1" t="str">
        <f t="shared" si="81"/>
        <v>89177328</v>
      </c>
      <c r="E807" s="1" t="s">
        <v>24</v>
      </c>
      <c r="F807" s="1" t="str">
        <f t="shared" si="83"/>
        <v>0010</v>
      </c>
      <c r="G807" s="1" t="str">
        <f>""</f>
        <v/>
      </c>
      <c r="H807" s="1" t="str">
        <f>"0012"</f>
        <v>0012</v>
      </c>
      <c r="I807" s="1" t="s">
        <v>612</v>
      </c>
      <c r="J807" s="1" t="str">
        <f>"01043989720"</f>
        <v>01043989720</v>
      </c>
      <c r="K807" s="1" t="str">
        <f>"2017-04-06 19:48:36"</f>
        <v>2017-04-06 19:48:36</v>
      </c>
      <c r="L807" s="1" t="str">
        <f>"2017-04-06 19:48:46"</f>
        <v>2017-04-06 19:48:46</v>
      </c>
      <c r="M807" s="2">
        <v>4.7569444444444447E-3</v>
      </c>
      <c r="N807" s="1" t="s">
        <v>26</v>
      </c>
      <c r="O807" s="1" t="s">
        <v>34</v>
      </c>
      <c r="P807" s="2">
        <v>4.8726851851851856E-3</v>
      </c>
      <c r="Q807" s="1" t="s">
        <v>709</v>
      </c>
      <c r="R807" s="1">
        <v>0</v>
      </c>
      <c r="S807" s="1" t="str">
        <f>""</f>
        <v/>
      </c>
      <c r="T807" s="1" t="s">
        <v>29</v>
      </c>
      <c r="U807" s="1" t="s">
        <v>30</v>
      </c>
      <c r="V807" s="1">
        <v>0</v>
      </c>
    </row>
    <row r="808" spans="2:22" x14ac:dyDescent="0.15">
      <c r="B808" s="1" t="str">
        <f>"0313015010254785"</f>
        <v>0313015010254785</v>
      </c>
      <c r="C808" s="1" t="s">
        <v>44</v>
      </c>
      <c r="D808" s="1" t="str">
        <f t="shared" si="81"/>
        <v>89177328</v>
      </c>
      <c r="E808" s="1" t="s">
        <v>24</v>
      </c>
      <c r="F808" s="1" t="str">
        <f t="shared" si="83"/>
        <v>0010</v>
      </c>
      <c r="G808" s="1" t="str">
        <f>""</f>
        <v/>
      </c>
      <c r="H808" s="1" t="str">
        <f>"0012"</f>
        <v>0012</v>
      </c>
      <c r="I808" s="1" t="s">
        <v>612</v>
      </c>
      <c r="J808" s="1" t="str">
        <f>"01043989720"</f>
        <v>01043989720</v>
      </c>
      <c r="K808" s="1" t="str">
        <f>"2017-04-06 19:36:34"</f>
        <v>2017-04-06 19:36:34</v>
      </c>
      <c r="L808" s="1" t="str">
        <f>"-"</f>
        <v>-</v>
      </c>
      <c r="M808" s="2">
        <v>0</v>
      </c>
      <c r="N808" s="1" t="s">
        <v>33</v>
      </c>
      <c r="O808" s="1" t="s">
        <v>34</v>
      </c>
      <c r="P808" s="2">
        <v>2.3148148148148147E-5</v>
      </c>
      <c r="Q808" s="1" t="str">
        <f>""</f>
        <v/>
      </c>
      <c r="R808" s="1">
        <v>0</v>
      </c>
      <c r="S808" s="1" t="str">
        <f>""</f>
        <v/>
      </c>
      <c r="T808" s="1" t="s">
        <v>29</v>
      </c>
      <c r="U808" s="1" t="s">
        <v>30</v>
      </c>
      <c r="V808" s="1">
        <v>0</v>
      </c>
    </row>
    <row r="809" spans="2:22" x14ac:dyDescent="0.15">
      <c r="B809" s="1" t="str">
        <f>"152****9700"</f>
        <v>152****9700</v>
      </c>
      <c r="C809" s="1" t="s">
        <v>23</v>
      </c>
      <c r="D809" s="1" t="str">
        <f t="shared" si="81"/>
        <v>89177328</v>
      </c>
      <c r="E809" s="1" t="s">
        <v>24</v>
      </c>
      <c r="F809" s="1" t="str">
        <f t="shared" si="83"/>
        <v>0010</v>
      </c>
      <c r="G809" s="1" t="str">
        <f>""</f>
        <v/>
      </c>
      <c r="H809" s="1" t="str">
        <f>"0012"</f>
        <v>0012</v>
      </c>
      <c r="I809" s="1" t="s">
        <v>612</v>
      </c>
      <c r="J809" s="1" t="str">
        <f>"01043989720"</f>
        <v>01043989720</v>
      </c>
      <c r="K809" s="1" t="str">
        <f>"2017-04-06 19:18:23"</f>
        <v>2017-04-06 19:18:23</v>
      </c>
      <c r="L809" s="1" t="str">
        <f>"2017-04-06 19:18:33"</f>
        <v>2017-04-06 19:18:33</v>
      </c>
      <c r="M809" s="2">
        <v>7.4074074074074068E-3</v>
      </c>
      <c r="N809" s="1" t="s">
        <v>26</v>
      </c>
      <c r="O809" s="1" t="s">
        <v>34</v>
      </c>
      <c r="P809" s="2">
        <v>7.5231481481481477E-3</v>
      </c>
      <c r="Q809" s="1" t="s">
        <v>710</v>
      </c>
      <c r="R809" s="1">
        <v>0</v>
      </c>
      <c r="S809" s="1" t="str">
        <f>""</f>
        <v/>
      </c>
      <c r="T809" s="1" t="s">
        <v>29</v>
      </c>
      <c r="U809" s="1" t="s">
        <v>30</v>
      </c>
      <c r="V809" s="1">
        <v>0</v>
      </c>
    </row>
    <row r="810" spans="2:22" x14ac:dyDescent="0.15">
      <c r="B810" s="1" t="str">
        <f>"139****5841"</f>
        <v>139****5841</v>
      </c>
      <c r="C810" s="1" t="s">
        <v>23</v>
      </c>
      <c r="D810" s="1" t="str">
        <f t="shared" si="81"/>
        <v>89177328</v>
      </c>
      <c r="E810" s="1" t="s">
        <v>24</v>
      </c>
      <c r="F810" s="1" t="str">
        <f t="shared" si="83"/>
        <v>0010</v>
      </c>
      <c r="G810" s="1" t="str">
        <f>""</f>
        <v/>
      </c>
      <c r="H810" s="1" t="str">
        <f>"0010"</f>
        <v>0010</v>
      </c>
      <c r="I810" s="1" t="s">
        <v>71</v>
      </c>
      <c r="J810" s="1" t="str">
        <f>"01043977571"</f>
        <v>01043977571</v>
      </c>
      <c r="K810" s="1" t="str">
        <f>"2017-04-06 19:02:34"</f>
        <v>2017-04-06 19:02:34</v>
      </c>
      <c r="L810" s="1" t="str">
        <f>"2017-04-06 19:02:41"</f>
        <v>2017-04-06 19:02:41</v>
      </c>
      <c r="M810" s="2">
        <v>8.4722222222222213E-3</v>
      </c>
      <c r="N810" s="1" t="s">
        <v>26</v>
      </c>
      <c r="O810" s="1" t="s">
        <v>34</v>
      </c>
      <c r="P810" s="2">
        <v>8.5532407407407415E-3</v>
      </c>
      <c r="Q810" s="1" t="s">
        <v>711</v>
      </c>
      <c r="R810" s="1">
        <v>0</v>
      </c>
      <c r="S810" s="1" t="str">
        <f>""</f>
        <v/>
      </c>
      <c r="T810" s="1" t="s">
        <v>29</v>
      </c>
      <c r="U810" s="1" t="s">
        <v>30</v>
      </c>
      <c r="V810" s="1">
        <v>0</v>
      </c>
    </row>
    <row r="811" spans="2:22" x14ac:dyDescent="0.15">
      <c r="B811" s="1" t="str">
        <f>"138****4122"</f>
        <v>138****4122</v>
      </c>
      <c r="C811" s="1" t="s">
        <v>102</v>
      </c>
      <c r="D811" s="1" t="str">
        <f t="shared" si="81"/>
        <v>89177328</v>
      </c>
      <c r="E811" s="1" t="s">
        <v>24</v>
      </c>
      <c r="F811" s="1" t="str">
        <f t="shared" si="83"/>
        <v>0010</v>
      </c>
      <c r="G811" s="1" t="str">
        <f>""</f>
        <v/>
      </c>
      <c r="H811" s="1" t="str">
        <f>"0012"</f>
        <v>0012</v>
      </c>
      <c r="I811" s="1" t="s">
        <v>612</v>
      </c>
      <c r="J811" s="1" t="str">
        <f>"01043989720"</f>
        <v>01043989720</v>
      </c>
      <c r="K811" s="1" t="str">
        <f>"2017-04-06 19:00:51"</f>
        <v>2017-04-06 19:00:51</v>
      </c>
      <c r="L811" s="1" t="str">
        <f>"2017-04-06 19:01:00"</f>
        <v>2017-04-06 19:01:00</v>
      </c>
      <c r="M811" s="2">
        <v>3.7731481481481483E-3</v>
      </c>
      <c r="N811" s="1" t="s">
        <v>26</v>
      </c>
      <c r="O811" s="1" t="s">
        <v>34</v>
      </c>
      <c r="P811" s="2">
        <v>3.8773148148148143E-3</v>
      </c>
      <c r="Q811" s="1" t="s">
        <v>712</v>
      </c>
      <c r="R811" s="1">
        <v>0</v>
      </c>
      <c r="S811" s="1" t="str">
        <f>""</f>
        <v/>
      </c>
      <c r="T811" s="1" t="s">
        <v>29</v>
      </c>
      <c r="U811" s="1" t="s">
        <v>30</v>
      </c>
      <c r="V811" s="1">
        <v>0</v>
      </c>
    </row>
    <row r="812" spans="2:22" x14ac:dyDescent="0.15">
      <c r="B812" s="1" t="str">
        <f>"188****5292"</f>
        <v>188****5292</v>
      </c>
      <c r="C812" s="1" t="s">
        <v>23</v>
      </c>
      <c r="D812" s="1" t="str">
        <f t="shared" ref="D812:D818" si="84">"89177328"</f>
        <v>89177328</v>
      </c>
      <c r="E812" s="1" t="s">
        <v>24</v>
      </c>
      <c r="F812" s="1" t="str">
        <f t="shared" si="83"/>
        <v>0010</v>
      </c>
      <c r="G812" s="1" t="str">
        <f>""</f>
        <v/>
      </c>
      <c r="H812" s="1" t="str">
        <f>"0032"</f>
        <v>0032</v>
      </c>
      <c r="I812" s="1" t="s">
        <v>119</v>
      </c>
      <c r="J812" s="1" t="str">
        <f>"01043977566"</f>
        <v>01043977566</v>
      </c>
      <c r="K812" s="1" t="str">
        <f>"2017-04-06 18:55:43"</f>
        <v>2017-04-06 18:55:43</v>
      </c>
      <c r="L812" s="1" t="str">
        <f>"2017-04-06 18:55:55"</f>
        <v>2017-04-06 18:55:55</v>
      </c>
      <c r="M812" s="2">
        <v>1.0532407407407407E-2</v>
      </c>
      <c r="N812" s="1" t="s">
        <v>26</v>
      </c>
      <c r="O812" s="1" t="s">
        <v>27</v>
      </c>
      <c r="P812" s="2">
        <v>1.0671296296296297E-2</v>
      </c>
      <c r="Q812" s="1" t="s">
        <v>713</v>
      </c>
      <c r="R812" s="1">
        <v>0</v>
      </c>
      <c r="S812" s="1" t="str">
        <f>""</f>
        <v/>
      </c>
      <c r="T812" s="1" t="s">
        <v>29</v>
      </c>
      <c r="U812" s="1" t="s">
        <v>30</v>
      </c>
      <c r="V812" s="1">
        <v>0</v>
      </c>
    </row>
    <row r="813" spans="2:22" x14ac:dyDescent="0.15">
      <c r="B813" s="1" t="str">
        <f>"186****5358"</f>
        <v>186****5358</v>
      </c>
      <c r="C813" s="1" t="s">
        <v>102</v>
      </c>
      <c r="D813" s="1" t="str">
        <f t="shared" si="84"/>
        <v>89177328</v>
      </c>
      <c r="E813" s="1" t="s">
        <v>24</v>
      </c>
      <c r="F813" s="1" t="str">
        <f t="shared" si="83"/>
        <v>0010</v>
      </c>
      <c r="G813" s="1" t="str">
        <f>""</f>
        <v/>
      </c>
      <c r="H813" s="1" t="str">
        <f>"0010"</f>
        <v>0010</v>
      </c>
      <c r="I813" s="1" t="s">
        <v>71</v>
      </c>
      <c r="J813" s="1" t="str">
        <f>"01043977571"</f>
        <v>01043977571</v>
      </c>
      <c r="K813" s="1" t="str">
        <f>"2017-04-06 18:50:22"</f>
        <v>2017-04-06 18:50:22</v>
      </c>
      <c r="L813" s="1" t="str">
        <f>"2017-04-06 18:51:42"</f>
        <v>2017-04-06 18:51:42</v>
      </c>
      <c r="M813" s="2">
        <v>7.3263888888888892E-3</v>
      </c>
      <c r="N813" s="1" t="s">
        <v>26</v>
      </c>
      <c r="O813" s="1" t="s">
        <v>27</v>
      </c>
      <c r="P813" s="2">
        <v>8.2523148148148148E-3</v>
      </c>
      <c r="Q813" s="1" t="s">
        <v>714</v>
      </c>
      <c r="R813" s="1">
        <v>0</v>
      </c>
      <c r="S813" s="1" t="str">
        <f>""</f>
        <v/>
      </c>
      <c r="T813" s="1" t="s">
        <v>29</v>
      </c>
      <c r="U813" s="1" t="s">
        <v>30</v>
      </c>
      <c r="V813" s="1">
        <v>0</v>
      </c>
    </row>
    <row r="814" spans="2:22" x14ac:dyDescent="0.15">
      <c r="B814" s="1" t="str">
        <f>"186****6621"</f>
        <v>186****6621</v>
      </c>
      <c r="C814" s="1" t="s">
        <v>715</v>
      </c>
      <c r="D814" s="1" t="str">
        <f t="shared" si="84"/>
        <v>89177328</v>
      </c>
      <c r="E814" s="1" t="s">
        <v>24</v>
      </c>
      <c r="F814" s="1" t="str">
        <f t="shared" si="83"/>
        <v>0010</v>
      </c>
      <c r="G814" s="1" t="str">
        <f>""</f>
        <v/>
      </c>
      <c r="H814" s="1" t="str">
        <f>"0012"</f>
        <v>0012</v>
      </c>
      <c r="I814" s="1" t="s">
        <v>612</v>
      </c>
      <c r="J814" s="1" t="str">
        <f>"01043989720"</f>
        <v>01043989720</v>
      </c>
      <c r="K814" s="1" t="str">
        <f>"2017-04-06 18:50:13"</f>
        <v>2017-04-06 18:50:13</v>
      </c>
      <c r="L814" s="1" t="str">
        <f>"2017-04-06 18:50:28"</f>
        <v>2017-04-06 18:50:28</v>
      </c>
      <c r="M814" s="2">
        <v>4.0393518518518521E-3</v>
      </c>
      <c r="N814" s="1" t="s">
        <v>26</v>
      </c>
      <c r="O814" s="1" t="s">
        <v>34</v>
      </c>
      <c r="P814" s="2">
        <v>4.2129629629629626E-3</v>
      </c>
      <c r="Q814" s="1" t="s">
        <v>716</v>
      </c>
      <c r="R814" s="1">
        <v>0</v>
      </c>
      <c r="S814" s="1" t="str">
        <f>""</f>
        <v/>
      </c>
      <c r="T814" s="1" t="s">
        <v>29</v>
      </c>
      <c r="U814" s="1" t="s">
        <v>30</v>
      </c>
      <c r="V814" s="1">
        <v>0</v>
      </c>
    </row>
    <row r="815" spans="2:22" x14ac:dyDescent="0.15">
      <c r="B815" s="1" t="str">
        <f>"186****3552"</f>
        <v>186****3552</v>
      </c>
      <c r="C815" s="1" t="s">
        <v>23</v>
      </c>
      <c r="D815" s="1" t="str">
        <f t="shared" si="84"/>
        <v>89177328</v>
      </c>
      <c r="E815" s="1" t="s">
        <v>24</v>
      </c>
      <c r="F815" s="1" t="str">
        <f t="shared" si="83"/>
        <v>0010</v>
      </c>
      <c r="G815" s="1" t="str">
        <f>""</f>
        <v/>
      </c>
      <c r="H815" s="1" t="str">
        <f>"0034"</f>
        <v>0034</v>
      </c>
      <c r="I815" s="1" t="s">
        <v>31</v>
      </c>
      <c r="J815" s="1" t="str">
        <f>"01043977568"</f>
        <v>01043977568</v>
      </c>
      <c r="K815" s="1" t="str">
        <f>"2017-04-06 18:46:38"</f>
        <v>2017-04-06 18:46:38</v>
      </c>
      <c r="L815" s="1" t="str">
        <f>"2017-04-06 18:46:49"</f>
        <v>2017-04-06 18:46:49</v>
      </c>
      <c r="M815" s="2">
        <v>1.1481481481481483E-2</v>
      </c>
      <c r="N815" s="1" t="s">
        <v>26</v>
      </c>
      <c r="O815" s="1" t="s">
        <v>34</v>
      </c>
      <c r="P815" s="2">
        <v>1.1608796296296296E-2</v>
      </c>
      <c r="Q815" s="1" t="s">
        <v>717</v>
      </c>
      <c r="R815" s="1">
        <v>0</v>
      </c>
      <c r="S815" s="1" t="str">
        <f>""</f>
        <v/>
      </c>
      <c r="T815" s="1" t="s">
        <v>29</v>
      </c>
      <c r="U815" s="1" t="s">
        <v>30</v>
      </c>
      <c r="V815" s="1">
        <v>0</v>
      </c>
    </row>
    <row r="816" spans="2:22" x14ac:dyDescent="0.15">
      <c r="B816" s="1" t="str">
        <f>"135****2877"</f>
        <v>135****2877</v>
      </c>
      <c r="C816" s="1" t="s">
        <v>23</v>
      </c>
      <c r="D816" s="1" t="str">
        <f t="shared" si="84"/>
        <v>89177328</v>
      </c>
      <c r="E816" s="1" t="s">
        <v>24</v>
      </c>
      <c r="F816" s="1" t="str">
        <f t="shared" si="83"/>
        <v>0010</v>
      </c>
      <c r="G816" s="1" t="str">
        <f>""</f>
        <v/>
      </c>
      <c r="H816" s="1" t="str">
        <f>"0012"</f>
        <v>0012</v>
      </c>
      <c r="I816" s="1" t="s">
        <v>612</v>
      </c>
      <c r="J816" s="1" t="str">
        <f>"01043989720"</f>
        <v>01043989720</v>
      </c>
      <c r="K816" s="1" t="str">
        <f>"2017-04-06 18:45:46"</f>
        <v>2017-04-06 18:45:46</v>
      </c>
      <c r="L816" s="1" t="str">
        <f>"-"</f>
        <v>-</v>
      </c>
      <c r="M816" s="2">
        <v>0</v>
      </c>
      <c r="N816" s="1" t="s">
        <v>33</v>
      </c>
      <c r="O816" s="1" t="s">
        <v>34</v>
      </c>
      <c r="P816" s="2">
        <v>2.3148148148148147E-5</v>
      </c>
      <c r="Q816" s="1" t="str">
        <f>""</f>
        <v/>
      </c>
      <c r="R816" s="1">
        <v>0</v>
      </c>
      <c r="S816" s="1" t="str">
        <f>""</f>
        <v/>
      </c>
      <c r="T816" s="1" t="s">
        <v>29</v>
      </c>
      <c r="U816" s="1" t="s">
        <v>30</v>
      </c>
      <c r="V816" s="1">
        <v>0</v>
      </c>
    </row>
    <row r="817" spans="2:22" x14ac:dyDescent="0.15">
      <c r="B817" s="1" t="str">
        <f>"186****5856"</f>
        <v>186****5856</v>
      </c>
      <c r="C817" s="1" t="s">
        <v>23</v>
      </c>
      <c r="D817" s="1" t="str">
        <f t="shared" si="84"/>
        <v>89177328</v>
      </c>
      <c r="E817" s="1" t="s">
        <v>24</v>
      </c>
      <c r="F817" s="1" t="str">
        <f t="shared" si="83"/>
        <v>0010</v>
      </c>
      <c r="G817" s="1" t="str">
        <f>""</f>
        <v/>
      </c>
      <c r="H817" s="1" t="str">
        <f>"0034"</f>
        <v>0034</v>
      </c>
      <c r="I817" s="1" t="s">
        <v>31</v>
      </c>
      <c r="J817" s="1" t="str">
        <f>"01043977568"</f>
        <v>01043977568</v>
      </c>
      <c r="K817" s="1" t="str">
        <f>"2017-04-06 18:44:45"</f>
        <v>2017-04-06 18:44:45</v>
      </c>
      <c r="L817" s="1" t="str">
        <f>"-"</f>
        <v>-</v>
      </c>
      <c r="M817" s="2">
        <v>0</v>
      </c>
      <c r="N817" s="1" t="s">
        <v>33</v>
      </c>
      <c r="O817" s="1" t="s">
        <v>34</v>
      </c>
      <c r="P817" s="2">
        <v>2.3148148148148147E-5</v>
      </c>
      <c r="Q817" s="1" t="str">
        <f>""</f>
        <v/>
      </c>
      <c r="R817" s="1">
        <v>0</v>
      </c>
      <c r="S817" s="1" t="str">
        <f>""</f>
        <v/>
      </c>
      <c r="T817" s="1" t="s">
        <v>29</v>
      </c>
      <c r="U817" s="1" t="s">
        <v>30</v>
      </c>
      <c r="V817" s="1">
        <v>0</v>
      </c>
    </row>
    <row r="818" spans="2:22" x14ac:dyDescent="0.15">
      <c r="B818" s="1" t="str">
        <f>"159****8089"</f>
        <v>159****8089</v>
      </c>
      <c r="C818" s="1" t="s">
        <v>23</v>
      </c>
      <c r="D818" s="1" t="str">
        <f t="shared" si="84"/>
        <v>89177328</v>
      </c>
      <c r="E818" s="1" t="s">
        <v>24</v>
      </c>
      <c r="F818" s="1" t="str">
        <f t="shared" si="83"/>
        <v>0010</v>
      </c>
      <c r="G818" s="1" t="str">
        <f>""</f>
        <v/>
      </c>
      <c r="H818" s="1" t="str">
        <f>"0012"</f>
        <v>0012</v>
      </c>
      <c r="I818" s="1" t="s">
        <v>612</v>
      </c>
      <c r="J818" s="1" t="str">
        <f>"01043989720"</f>
        <v>01043989720</v>
      </c>
      <c r="K818" s="1" t="str">
        <f>"2017-04-06 18:28:45"</f>
        <v>2017-04-06 18:28:45</v>
      </c>
      <c r="L818" s="1" t="str">
        <f>"2017-04-06 18:28:59"</f>
        <v>2017-04-06 18:28:59</v>
      </c>
      <c r="M818" s="2">
        <v>2.6967592592592594E-3</v>
      </c>
      <c r="N818" s="1" t="s">
        <v>26</v>
      </c>
      <c r="O818" s="1" t="s">
        <v>27</v>
      </c>
      <c r="P818" s="2">
        <v>2.8587962962962963E-3</v>
      </c>
      <c r="Q818" s="1" t="s">
        <v>718</v>
      </c>
      <c r="R818" s="1">
        <v>0</v>
      </c>
      <c r="S818" s="1" t="str">
        <f>""</f>
        <v/>
      </c>
      <c r="T818" s="1" t="s">
        <v>29</v>
      </c>
      <c r="U818" s="1" t="s">
        <v>30</v>
      </c>
      <c r="V818" s="1">
        <v>0</v>
      </c>
    </row>
    <row r="819" spans="2:22" x14ac:dyDescent="0.15">
      <c r="B819" s="1" t="str">
        <f>"138****6979"</f>
        <v>138****6979</v>
      </c>
      <c r="C819" s="1" t="s">
        <v>719</v>
      </c>
      <c r="D819" s="1" t="str">
        <f>"4000108333"</f>
        <v>4000108333</v>
      </c>
      <c r="E819" s="1" t="s">
        <v>53</v>
      </c>
      <c r="F819" s="1" t="str">
        <f>""</f>
        <v/>
      </c>
      <c r="G819" s="1" t="str">
        <f>""</f>
        <v/>
      </c>
      <c r="H819" s="1" t="str">
        <f>""</f>
        <v/>
      </c>
      <c r="I819" s="1" t="str">
        <f>""</f>
        <v/>
      </c>
      <c r="J819" s="1" t="str">
        <f>""</f>
        <v/>
      </c>
      <c r="K819" s="1" t="str">
        <f>"2017-04-06 18:18:45"</f>
        <v>2017-04-06 18:18:45</v>
      </c>
      <c r="L819" s="1" t="str">
        <f>"-"</f>
        <v>-</v>
      </c>
      <c r="M819" s="2">
        <v>0</v>
      </c>
      <c r="N819" s="1" t="s">
        <v>55</v>
      </c>
      <c r="O819" s="1" t="s">
        <v>34</v>
      </c>
      <c r="P819" s="2">
        <v>3.4722222222222222E-5</v>
      </c>
      <c r="Q819" s="1" t="str">
        <f>""</f>
        <v/>
      </c>
      <c r="R819" s="1">
        <v>0.12</v>
      </c>
      <c r="S819" s="1" t="str">
        <f>""</f>
        <v/>
      </c>
      <c r="T819" s="1" t="s">
        <v>29</v>
      </c>
      <c r="U819" s="1" t="s">
        <v>30</v>
      </c>
      <c r="V819" s="1">
        <v>0</v>
      </c>
    </row>
    <row r="820" spans="2:22" x14ac:dyDescent="0.15">
      <c r="B820" s="1" t="str">
        <f>"156****1717"</f>
        <v>156****1717</v>
      </c>
      <c r="C820" s="1" t="s">
        <v>23</v>
      </c>
      <c r="D820" s="1" t="str">
        <f>"89177328"</f>
        <v>89177328</v>
      </c>
      <c r="E820" s="1" t="s">
        <v>24</v>
      </c>
      <c r="F820" s="1" t="str">
        <f>"0010"</f>
        <v>0010</v>
      </c>
      <c r="G820" s="1" t="str">
        <f>""</f>
        <v/>
      </c>
      <c r="H820" s="1" t="str">
        <f>"0034"</f>
        <v>0034</v>
      </c>
      <c r="I820" s="1" t="s">
        <v>31</v>
      </c>
      <c r="J820" s="1" t="str">
        <f>"01043977568"</f>
        <v>01043977568</v>
      </c>
      <c r="K820" s="1" t="str">
        <f>"2017-04-06 18:13:39"</f>
        <v>2017-04-06 18:13:39</v>
      </c>
      <c r="L820" s="1" t="str">
        <f>"2017-04-06 18:13:49"</f>
        <v>2017-04-06 18:13:49</v>
      </c>
      <c r="M820" s="2">
        <v>1.9675925925925926E-4</v>
      </c>
      <c r="N820" s="1" t="s">
        <v>26</v>
      </c>
      <c r="O820" s="1" t="s">
        <v>34</v>
      </c>
      <c r="P820" s="2">
        <v>3.1250000000000001E-4</v>
      </c>
      <c r="Q820" s="1" t="s">
        <v>720</v>
      </c>
      <c r="R820" s="1">
        <v>0</v>
      </c>
      <c r="S820" s="1" t="str">
        <f>""</f>
        <v/>
      </c>
      <c r="T820" s="1" t="s">
        <v>29</v>
      </c>
      <c r="U820" s="1" t="s">
        <v>30</v>
      </c>
      <c r="V820" s="1">
        <v>0</v>
      </c>
    </row>
    <row r="821" spans="2:22" x14ac:dyDescent="0.15">
      <c r="B821" s="1" t="str">
        <f>"138****3963"</f>
        <v>138****3963</v>
      </c>
      <c r="C821" s="1" t="s">
        <v>23</v>
      </c>
      <c r="D821" s="1" t="str">
        <f>"4000108333"</f>
        <v>4000108333</v>
      </c>
      <c r="E821" s="1" t="s">
        <v>53</v>
      </c>
      <c r="F821" s="1" t="str">
        <f>"0000"</f>
        <v>0000</v>
      </c>
      <c r="G821" s="1" t="str">
        <f>""</f>
        <v/>
      </c>
      <c r="H821" s="1" t="str">
        <f>"1010"</f>
        <v>1010</v>
      </c>
      <c r="I821" s="1" t="s">
        <v>148</v>
      </c>
      <c r="J821" s="1" t="str">
        <f>"13718091869"</f>
        <v>13718091869</v>
      </c>
      <c r="K821" s="1" t="str">
        <f>"2017-04-06 17:55:22"</f>
        <v>2017-04-06 17:55:22</v>
      </c>
      <c r="L821" s="1" t="str">
        <f>"2017-04-06 17:55:55"</f>
        <v>2017-04-06 17:55:55</v>
      </c>
      <c r="M821" s="2">
        <v>1.329861111111111E-2</v>
      </c>
      <c r="N821" s="1" t="s">
        <v>26</v>
      </c>
      <c r="O821" s="1" t="s">
        <v>34</v>
      </c>
      <c r="P821" s="2">
        <v>1.3680555555555555E-2</v>
      </c>
      <c r="Q821" s="1" t="s">
        <v>721</v>
      </c>
      <c r="R821" s="1">
        <v>2.4</v>
      </c>
      <c r="S821" s="1" t="str">
        <f>""</f>
        <v/>
      </c>
      <c r="T821" s="1" t="s">
        <v>29</v>
      </c>
      <c r="U821" s="1" t="s">
        <v>30</v>
      </c>
      <c r="V821" s="1">
        <v>0</v>
      </c>
    </row>
    <row r="822" spans="2:22" x14ac:dyDescent="0.15">
      <c r="B822" s="1" t="str">
        <f>"133****1163"</f>
        <v>133****1163</v>
      </c>
      <c r="C822" s="1" t="s">
        <v>23</v>
      </c>
      <c r="D822" s="1" t="str">
        <f t="shared" ref="D822:D857" si="85">"89177328"</f>
        <v>89177328</v>
      </c>
      <c r="E822" s="1" t="s">
        <v>24</v>
      </c>
      <c r="F822" s="1" t="str">
        <f t="shared" ref="F822:F857" si="86">"0010"</f>
        <v>0010</v>
      </c>
      <c r="G822" s="1" t="str">
        <f>""</f>
        <v/>
      </c>
      <c r="H822" s="1" t="str">
        <f>"0012"</f>
        <v>0012</v>
      </c>
      <c r="I822" s="1" t="s">
        <v>612</v>
      </c>
      <c r="J822" s="1" t="str">
        <f>"01043989720"</f>
        <v>01043989720</v>
      </c>
      <c r="K822" s="1" t="str">
        <f>"2017-04-06 17:53:50"</f>
        <v>2017-04-06 17:53:50</v>
      </c>
      <c r="L822" s="1" t="str">
        <f>"2017-04-06 17:54:00"</f>
        <v>2017-04-06 17:54:00</v>
      </c>
      <c r="M822" s="2">
        <v>9.4444444444444445E-3</v>
      </c>
      <c r="N822" s="1" t="s">
        <v>26</v>
      </c>
      <c r="O822" s="1" t="s">
        <v>34</v>
      </c>
      <c r="P822" s="2">
        <v>9.5601851851851855E-3</v>
      </c>
      <c r="Q822" s="1" t="s">
        <v>722</v>
      </c>
      <c r="R822" s="1">
        <v>0</v>
      </c>
      <c r="S822" s="1" t="str">
        <f>""</f>
        <v/>
      </c>
      <c r="T822" s="1" t="s">
        <v>29</v>
      </c>
      <c r="U822" s="1" t="s">
        <v>30</v>
      </c>
      <c r="V822" s="1">
        <v>0</v>
      </c>
    </row>
    <row r="823" spans="2:22" x14ac:dyDescent="0.15">
      <c r="B823" s="1" t="str">
        <f>"183****7998"</f>
        <v>183****7998</v>
      </c>
      <c r="C823" s="1" t="s">
        <v>23</v>
      </c>
      <c r="D823" s="1" t="str">
        <f t="shared" si="85"/>
        <v>89177328</v>
      </c>
      <c r="E823" s="1" t="s">
        <v>24</v>
      </c>
      <c r="F823" s="1" t="str">
        <f t="shared" si="86"/>
        <v>0010</v>
      </c>
      <c r="G823" s="1" t="str">
        <f>""</f>
        <v/>
      </c>
      <c r="H823" s="1" t="str">
        <f>"0031"</f>
        <v>0031</v>
      </c>
      <c r="I823" s="1" t="s">
        <v>95</v>
      </c>
      <c r="J823" s="1" t="str">
        <f>"01043977565"</f>
        <v>01043977565</v>
      </c>
      <c r="K823" s="1" t="str">
        <f>"2017-04-06 17:53:11"</f>
        <v>2017-04-06 17:53:11</v>
      </c>
      <c r="L823" s="1" t="str">
        <f>"2017-04-06 17:53:19"</f>
        <v>2017-04-06 17:53:19</v>
      </c>
      <c r="M823" s="2">
        <v>1.3252314814814814E-2</v>
      </c>
      <c r="N823" s="1" t="s">
        <v>26</v>
      </c>
      <c r="O823" s="1" t="s">
        <v>27</v>
      </c>
      <c r="P823" s="2">
        <v>1.3344907407407408E-2</v>
      </c>
      <c r="Q823" s="1" t="s">
        <v>723</v>
      </c>
      <c r="R823" s="1">
        <v>0</v>
      </c>
      <c r="S823" s="1" t="str">
        <f>""</f>
        <v/>
      </c>
      <c r="T823" s="1" t="s">
        <v>29</v>
      </c>
      <c r="U823" s="1" t="s">
        <v>30</v>
      </c>
      <c r="V823" s="1">
        <v>0</v>
      </c>
    </row>
    <row r="824" spans="2:22" x14ac:dyDescent="0.15">
      <c r="B824" s="1" t="str">
        <f>"010****2577"</f>
        <v>010****2577</v>
      </c>
      <c r="C824" s="1" t="s">
        <v>23</v>
      </c>
      <c r="D824" s="1" t="str">
        <f t="shared" si="85"/>
        <v>89177328</v>
      </c>
      <c r="E824" s="1" t="s">
        <v>24</v>
      </c>
      <c r="F824" s="1" t="str">
        <f t="shared" si="86"/>
        <v>0010</v>
      </c>
      <c r="G824" s="1" t="str">
        <f>""</f>
        <v/>
      </c>
      <c r="H824" s="1" t="str">
        <f>"0034"</f>
        <v>0034</v>
      </c>
      <c r="I824" s="1" t="s">
        <v>31</v>
      </c>
      <c r="J824" s="1" t="str">
        <f>"01043977568"</f>
        <v>01043977568</v>
      </c>
      <c r="K824" s="1" t="str">
        <f>"2017-04-06 17:37:28"</f>
        <v>2017-04-06 17:37:28</v>
      </c>
      <c r="L824" s="1" t="str">
        <f>"-"</f>
        <v>-</v>
      </c>
      <c r="M824" s="2">
        <v>0</v>
      </c>
      <c r="N824" s="1" t="s">
        <v>33</v>
      </c>
      <c r="O824" s="1" t="s">
        <v>34</v>
      </c>
      <c r="P824" s="2">
        <v>2.3148148148148147E-5</v>
      </c>
      <c r="Q824" s="1" t="str">
        <f>""</f>
        <v/>
      </c>
      <c r="R824" s="1">
        <v>0</v>
      </c>
      <c r="S824" s="1" t="str">
        <f>""</f>
        <v/>
      </c>
      <c r="T824" s="1" t="s">
        <v>29</v>
      </c>
      <c r="U824" s="1" t="s">
        <v>30</v>
      </c>
      <c r="V824" s="1">
        <v>0</v>
      </c>
    </row>
    <row r="825" spans="2:22" x14ac:dyDescent="0.15">
      <c r="B825" s="1" t="str">
        <f>"185****5317"</f>
        <v>185****5317</v>
      </c>
      <c r="C825" s="1" t="s">
        <v>23</v>
      </c>
      <c r="D825" s="1" t="str">
        <f t="shared" si="85"/>
        <v>89177328</v>
      </c>
      <c r="E825" s="1" t="s">
        <v>24</v>
      </c>
      <c r="F825" s="1" t="str">
        <f t="shared" si="86"/>
        <v>0010</v>
      </c>
      <c r="G825" s="1" t="str">
        <f>""</f>
        <v/>
      </c>
      <c r="H825" s="1" t="str">
        <f>""</f>
        <v/>
      </c>
      <c r="I825" s="1" t="str">
        <f>""</f>
        <v/>
      </c>
      <c r="J825" s="1" t="str">
        <f>""</f>
        <v/>
      </c>
      <c r="K825" s="1" t="str">
        <f>"2017-04-06 16:59:47"</f>
        <v>2017-04-06 16:59:47</v>
      </c>
      <c r="L825" s="1" t="str">
        <f>"-"</f>
        <v>-</v>
      </c>
      <c r="M825" s="2">
        <v>0</v>
      </c>
      <c r="N825" s="1" t="s">
        <v>55</v>
      </c>
      <c r="O825" s="1" t="s">
        <v>34</v>
      </c>
      <c r="P825" s="2">
        <v>4.3981481481481481E-4</v>
      </c>
      <c r="Q825" s="1" t="str">
        <f>""</f>
        <v/>
      </c>
      <c r="R825" s="1">
        <v>0</v>
      </c>
      <c r="S825" s="1" t="str">
        <f>""</f>
        <v/>
      </c>
      <c r="T825" s="1" t="s">
        <v>29</v>
      </c>
      <c r="U825" s="1" t="s">
        <v>30</v>
      </c>
      <c r="V825" s="1">
        <v>0</v>
      </c>
    </row>
    <row r="826" spans="2:22" x14ac:dyDescent="0.15">
      <c r="B826" s="1" t="str">
        <f>"010****9110"</f>
        <v>010****9110</v>
      </c>
      <c r="C826" s="1" t="s">
        <v>23</v>
      </c>
      <c r="D826" s="1" t="str">
        <f t="shared" si="85"/>
        <v>89177328</v>
      </c>
      <c r="E826" s="1" t="s">
        <v>24</v>
      </c>
      <c r="F826" s="1" t="str">
        <f t="shared" si="86"/>
        <v>0010</v>
      </c>
      <c r="G826" s="1" t="str">
        <f>""</f>
        <v/>
      </c>
      <c r="H826" s="1" t="str">
        <f>""</f>
        <v/>
      </c>
      <c r="I826" s="1" t="str">
        <f>""</f>
        <v/>
      </c>
      <c r="J826" s="1" t="str">
        <f>""</f>
        <v/>
      </c>
      <c r="K826" s="1" t="str">
        <f>"2017-04-06 16:57:38"</f>
        <v>2017-04-06 16:57:38</v>
      </c>
      <c r="L826" s="1" t="str">
        <f>"-"</f>
        <v>-</v>
      </c>
      <c r="M826" s="2">
        <v>0</v>
      </c>
      <c r="N826" s="1" t="s">
        <v>55</v>
      </c>
      <c r="O826" s="1" t="s">
        <v>34</v>
      </c>
      <c r="P826" s="2">
        <v>6.8287037037037025E-4</v>
      </c>
      <c r="Q826" s="1" t="str">
        <f>""</f>
        <v/>
      </c>
      <c r="R826" s="1">
        <v>0</v>
      </c>
      <c r="S826" s="1" t="str">
        <f>""</f>
        <v/>
      </c>
      <c r="T826" s="1" t="s">
        <v>29</v>
      </c>
      <c r="U826" s="1" t="s">
        <v>30</v>
      </c>
      <c r="V826" s="1">
        <v>0</v>
      </c>
    </row>
    <row r="827" spans="2:22" x14ac:dyDescent="0.15">
      <c r="B827" s="1" t="str">
        <f>"134****4145"</f>
        <v>134****4145</v>
      </c>
      <c r="C827" s="1" t="s">
        <v>23</v>
      </c>
      <c r="D827" s="1" t="str">
        <f t="shared" si="85"/>
        <v>89177328</v>
      </c>
      <c r="E827" s="1" t="s">
        <v>24</v>
      </c>
      <c r="F827" s="1" t="str">
        <f t="shared" si="86"/>
        <v>0010</v>
      </c>
      <c r="G827" s="1" t="str">
        <f>""</f>
        <v/>
      </c>
      <c r="H827" s="1" t="str">
        <f>"0010"</f>
        <v>0010</v>
      </c>
      <c r="I827" s="1" t="s">
        <v>71</v>
      </c>
      <c r="J827" s="1" t="str">
        <f>"01043977571"</f>
        <v>01043977571</v>
      </c>
      <c r="K827" s="1" t="str">
        <f>"2017-04-06 16:54:56"</f>
        <v>2017-04-06 16:54:56</v>
      </c>
      <c r="L827" s="1" t="str">
        <f>"2017-04-06 16:55:05"</f>
        <v>2017-04-06 16:55:05</v>
      </c>
      <c r="M827" s="2">
        <v>3.8194444444444443E-3</v>
      </c>
      <c r="N827" s="1" t="s">
        <v>26</v>
      </c>
      <c r="O827" s="1" t="s">
        <v>27</v>
      </c>
      <c r="P827" s="2">
        <v>3.9236111111111112E-3</v>
      </c>
      <c r="Q827" s="1" t="s">
        <v>724</v>
      </c>
      <c r="R827" s="1">
        <v>0</v>
      </c>
      <c r="S827" s="1" t="str">
        <f>""</f>
        <v/>
      </c>
      <c r="T827" s="1" t="s">
        <v>29</v>
      </c>
      <c r="U827" s="1" t="s">
        <v>30</v>
      </c>
      <c r="V827" s="1">
        <v>0</v>
      </c>
    </row>
    <row r="828" spans="2:22" x14ac:dyDescent="0.15">
      <c r="B828" s="1" t="str">
        <f>"158****8660"</f>
        <v>158****8660</v>
      </c>
      <c r="C828" s="1" t="s">
        <v>23</v>
      </c>
      <c r="D828" s="1" t="str">
        <f t="shared" si="85"/>
        <v>89177328</v>
      </c>
      <c r="E828" s="1" t="s">
        <v>24</v>
      </c>
      <c r="F828" s="1" t="str">
        <f t="shared" si="86"/>
        <v>0010</v>
      </c>
      <c r="G828" s="1" t="str">
        <f>""</f>
        <v/>
      </c>
      <c r="H828" s="1" t="str">
        <f>"0017"</f>
        <v>0017</v>
      </c>
      <c r="I828" s="1" t="s">
        <v>135</v>
      </c>
      <c r="J828" s="1" t="str">
        <f>"01043989717"</f>
        <v>01043989717</v>
      </c>
      <c r="K828" s="1" t="str">
        <f>"2017-04-06 16:51:15"</f>
        <v>2017-04-06 16:51:15</v>
      </c>
      <c r="L828" s="1" t="str">
        <f>"2017-04-06 16:51:19"</f>
        <v>2017-04-06 16:51:19</v>
      </c>
      <c r="M828" s="2">
        <v>1.0289351851851852E-2</v>
      </c>
      <c r="N828" s="1" t="s">
        <v>26</v>
      </c>
      <c r="O828" s="1" t="s">
        <v>27</v>
      </c>
      <c r="P828" s="2">
        <v>1.0335648148148148E-2</v>
      </c>
      <c r="Q828" s="1" t="s">
        <v>725</v>
      </c>
      <c r="R828" s="1">
        <v>0</v>
      </c>
      <c r="S828" s="1" t="str">
        <f>""</f>
        <v/>
      </c>
      <c r="T828" s="1" t="s">
        <v>29</v>
      </c>
      <c r="U828" s="1" t="s">
        <v>30</v>
      </c>
      <c r="V828" s="1">
        <v>0</v>
      </c>
    </row>
    <row r="829" spans="2:22" x14ac:dyDescent="0.15">
      <c r="B829" s="1" t="str">
        <f>"156****0414"</f>
        <v>156****0414</v>
      </c>
      <c r="C829" s="1" t="s">
        <v>23</v>
      </c>
      <c r="D829" s="1" t="str">
        <f t="shared" si="85"/>
        <v>89177328</v>
      </c>
      <c r="E829" s="1" t="s">
        <v>24</v>
      </c>
      <c r="F829" s="1" t="str">
        <f t="shared" si="86"/>
        <v>0010</v>
      </c>
      <c r="G829" s="1" t="str">
        <f>""</f>
        <v/>
      </c>
      <c r="H829" s="1" t="str">
        <f>"0035"</f>
        <v>0035</v>
      </c>
      <c r="I829" s="1" t="s">
        <v>25</v>
      </c>
      <c r="J829" s="1" t="str">
        <f>"01043977569"</f>
        <v>01043977569</v>
      </c>
      <c r="K829" s="1" t="str">
        <f>"2017-04-06 16:48:44"</f>
        <v>2017-04-06 16:48:44</v>
      </c>
      <c r="L829" s="1" t="str">
        <f>"2017-04-06 16:48:51"</f>
        <v>2017-04-06 16:48:51</v>
      </c>
      <c r="M829" s="2">
        <v>8.8773148148148153E-3</v>
      </c>
      <c r="N829" s="1" t="s">
        <v>26</v>
      </c>
      <c r="O829" s="1" t="s">
        <v>27</v>
      </c>
      <c r="P829" s="2">
        <v>8.9583333333333338E-3</v>
      </c>
      <c r="Q829" s="1" t="s">
        <v>726</v>
      </c>
      <c r="R829" s="1">
        <v>0</v>
      </c>
      <c r="S829" s="1" t="str">
        <f>""</f>
        <v/>
      </c>
      <c r="T829" s="1" t="s">
        <v>29</v>
      </c>
      <c r="U829" s="1" t="s">
        <v>30</v>
      </c>
      <c r="V829" s="1">
        <v>0</v>
      </c>
    </row>
    <row r="830" spans="2:22" x14ac:dyDescent="0.15">
      <c r="B830" s="1" t="str">
        <f>"177****8619"</f>
        <v>177****8619</v>
      </c>
      <c r="C830" s="1" t="s">
        <v>291</v>
      </c>
      <c r="D830" s="1" t="str">
        <f t="shared" si="85"/>
        <v>89177328</v>
      </c>
      <c r="E830" s="1" t="s">
        <v>24</v>
      </c>
      <c r="F830" s="1" t="str">
        <f t="shared" si="86"/>
        <v>0010</v>
      </c>
      <c r="G830" s="1" t="str">
        <f>""</f>
        <v/>
      </c>
      <c r="H830" s="1" t="str">
        <f>"0012"</f>
        <v>0012</v>
      </c>
      <c r="I830" s="1" t="s">
        <v>612</v>
      </c>
      <c r="J830" s="1" t="str">
        <f>"01043989720"</f>
        <v>01043989720</v>
      </c>
      <c r="K830" s="1" t="str">
        <f>"2017-04-06 16:48:07"</f>
        <v>2017-04-06 16:48:07</v>
      </c>
      <c r="L830" s="1" t="str">
        <f>"2017-04-06 16:48:19"</f>
        <v>2017-04-06 16:48:19</v>
      </c>
      <c r="M830" s="2">
        <v>1.4872685185185185E-2</v>
      </c>
      <c r="N830" s="1" t="s">
        <v>26</v>
      </c>
      <c r="O830" s="1" t="s">
        <v>27</v>
      </c>
      <c r="P830" s="2">
        <v>1.5011574074074075E-2</v>
      </c>
      <c r="Q830" s="1" t="s">
        <v>727</v>
      </c>
      <c r="R830" s="1">
        <v>0</v>
      </c>
      <c r="S830" s="1" t="str">
        <f>""</f>
        <v/>
      </c>
      <c r="T830" s="1" t="s">
        <v>29</v>
      </c>
      <c r="U830" s="1" t="s">
        <v>30</v>
      </c>
      <c r="V830" s="1">
        <v>0</v>
      </c>
    </row>
    <row r="831" spans="2:22" x14ac:dyDescent="0.15">
      <c r="B831" s="1" t="str">
        <f>"139****8083"</f>
        <v>139****8083</v>
      </c>
      <c r="C831" s="1" t="s">
        <v>23</v>
      </c>
      <c r="D831" s="1" t="str">
        <f t="shared" si="85"/>
        <v>89177328</v>
      </c>
      <c r="E831" s="1" t="s">
        <v>24</v>
      </c>
      <c r="F831" s="1" t="str">
        <f t="shared" si="86"/>
        <v>0010</v>
      </c>
      <c r="G831" s="1" t="str">
        <f>""</f>
        <v/>
      </c>
      <c r="H831" s="1" t="str">
        <f>"0035"</f>
        <v>0035</v>
      </c>
      <c r="I831" s="1" t="s">
        <v>25</v>
      </c>
      <c r="J831" s="1" t="str">
        <f>"01043977569"</f>
        <v>01043977569</v>
      </c>
      <c r="K831" s="1" t="str">
        <f>"2017-04-06 16:42:59"</f>
        <v>2017-04-06 16:42:59</v>
      </c>
      <c r="L831" s="1" t="str">
        <f>"2017-04-06 16:43:32"</f>
        <v>2017-04-06 16:43:32</v>
      </c>
      <c r="M831" s="2">
        <v>1.3888888888888889E-4</v>
      </c>
      <c r="N831" s="1" t="s">
        <v>26</v>
      </c>
      <c r="O831" s="1" t="s">
        <v>34</v>
      </c>
      <c r="P831" s="2">
        <v>5.2083333333333333E-4</v>
      </c>
      <c r="Q831" s="1" t="s">
        <v>728</v>
      </c>
      <c r="R831" s="1">
        <v>0</v>
      </c>
      <c r="S831" s="1" t="str">
        <f>""</f>
        <v/>
      </c>
      <c r="T831" s="1" t="s">
        <v>29</v>
      </c>
      <c r="U831" s="1" t="s">
        <v>30</v>
      </c>
      <c r="V831" s="1">
        <v>0</v>
      </c>
    </row>
    <row r="832" spans="2:22" x14ac:dyDescent="0.15">
      <c r="B832" s="1" t="str">
        <f>"186****4066"</f>
        <v>186****4066</v>
      </c>
      <c r="C832" s="1" t="s">
        <v>23</v>
      </c>
      <c r="D832" s="1" t="str">
        <f t="shared" si="85"/>
        <v>89177328</v>
      </c>
      <c r="E832" s="1" t="s">
        <v>24</v>
      </c>
      <c r="F832" s="1" t="str">
        <f t="shared" si="86"/>
        <v>0010</v>
      </c>
      <c r="G832" s="1" t="str">
        <f>""</f>
        <v/>
      </c>
      <c r="H832" s="1" t="str">
        <f>"0031"</f>
        <v>0031</v>
      </c>
      <c r="I832" s="1" t="s">
        <v>95</v>
      </c>
      <c r="J832" s="1" t="str">
        <f>"01043977565"</f>
        <v>01043977565</v>
      </c>
      <c r="K832" s="1" t="str">
        <f>"2017-04-06 16:42:52"</f>
        <v>2017-04-06 16:42:52</v>
      </c>
      <c r="L832" s="1" t="str">
        <f>"2017-04-06 16:43:01"</f>
        <v>2017-04-06 16:43:01</v>
      </c>
      <c r="M832" s="2">
        <v>1.2118055555555556E-2</v>
      </c>
      <c r="N832" s="1" t="s">
        <v>26</v>
      </c>
      <c r="O832" s="1" t="s">
        <v>27</v>
      </c>
      <c r="P832" s="2">
        <v>1.2222222222222223E-2</v>
      </c>
      <c r="Q832" s="1" t="s">
        <v>729</v>
      </c>
      <c r="R832" s="1">
        <v>0</v>
      </c>
      <c r="S832" s="1" t="str">
        <f>""</f>
        <v/>
      </c>
      <c r="T832" s="1" t="s">
        <v>29</v>
      </c>
      <c r="U832" s="1" t="s">
        <v>30</v>
      </c>
      <c r="V832" s="1">
        <v>0</v>
      </c>
    </row>
    <row r="833" spans="2:22" x14ac:dyDescent="0.15">
      <c r="B833" s="1" t="str">
        <f>"176****3895"</f>
        <v>176****3895</v>
      </c>
      <c r="C833" s="1" t="s">
        <v>730</v>
      </c>
      <c r="D833" s="1" t="str">
        <f t="shared" si="85"/>
        <v>89177328</v>
      </c>
      <c r="E833" s="1" t="s">
        <v>24</v>
      </c>
      <c r="F833" s="1" t="str">
        <f t="shared" si="86"/>
        <v>0010</v>
      </c>
      <c r="G833" s="1" t="str">
        <f>""</f>
        <v/>
      </c>
      <c r="H833" s="1" t="str">
        <f>"0012"</f>
        <v>0012</v>
      </c>
      <c r="I833" s="1" t="s">
        <v>612</v>
      </c>
      <c r="J833" s="1" t="str">
        <f>"01043989720"</f>
        <v>01043989720</v>
      </c>
      <c r="K833" s="1" t="str">
        <f>"2017-04-06 16:40:36"</f>
        <v>2017-04-06 16:40:36</v>
      </c>
      <c r="L833" s="1" t="str">
        <f>"2017-04-06 16:40:50"</f>
        <v>2017-04-06 16:40:50</v>
      </c>
      <c r="M833" s="2">
        <v>2.3379629629629631E-3</v>
      </c>
      <c r="N833" s="1" t="s">
        <v>26</v>
      </c>
      <c r="O833" s="1" t="s">
        <v>34</v>
      </c>
      <c r="P833" s="2">
        <v>2.5000000000000001E-3</v>
      </c>
      <c r="Q833" s="1" t="s">
        <v>731</v>
      </c>
      <c r="R833" s="1">
        <v>0</v>
      </c>
      <c r="S833" s="1" t="str">
        <f>""</f>
        <v/>
      </c>
      <c r="T833" s="1" t="s">
        <v>29</v>
      </c>
      <c r="U833" s="1" t="s">
        <v>30</v>
      </c>
      <c r="V833" s="1">
        <v>0</v>
      </c>
    </row>
    <row r="834" spans="2:22" x14ac:dyDescent="0.15">
      <c r="B834" s="1" t="str">
        <f>"133****5212"</f>
        <v>133****5212</v>
      </c>
      <c r="C834" s="1" t="s">
        <v>99</v>
      </c>
      <c r="D834" s="1" t="str">
        <f t="shared" si="85"/>
        <v>89177328</v>
      </c>
      <c r="E834" s="1" t="s">
        <v>24</v>
      </c>
      <c r="F834" s="1" t="str">
        <f t="shared" si="86"/>
        <v>0010</v>
      </c>
      <c r="G834" s="1" t="str">
        <f>""</f>
        <v/>
      </c>
      <c r="H834" s="1" t="str">
        <f>"0034"</f>
        <v>0034</v>
      </c>
      <c r="I834" s="1" t="s">
        <v>31</v>
      </c>
      <c r="J834" s="1" t="str">
        <f>"01043977568"</f>
        <v>01043977568</v>
      </c>
      <c r="K834" s="1" t="str">
        <f>"2017-04-06 16:39:58"</f>
        <v>2017-04-06 16:39:58</v>
      </c>
      <c r="L834" s="1" t="str">
        <f>"2017-04-06 16:40:10"</f>
        <v>2017-04-06 16:40:10</v>
      </c>
      <c r="M834" s="2">
        <v>1.4212962962962962E-2</v>
      </c>
      <c r="N834" s="1" t="s">
        <v>26</v>
      </c>
      <c r="O834" s="1" t="s">
        <v>34</v>
      </c>
      <c r="P834" s="2">
        <v>1.4351851851851852E-2</v>
      </c>
      <c r="Q834" s="1" t="s">
        <v>732</v>
      </c>
      <c r="R834" s="1">
        <v>0</v>
      </c>
      <c r="S834" s="1" t="str">
        <f>""</f>
        <v/>
      </c>
      <c r="T834" s="1" t="s">
        <v>29</v>
      </c>
      <c r="U834" s="1" t="s">
        <v>30</v>
      </c>
      <c r="V834" s="1">
        <v>0</v>
      </c>
    </row>
    <row r="835" spans="2:22" x14ac:dyDescent="0.15">
      <c r="B835" s="1" t="str">
        <f>"178****3872"</f>
        <v>178****3872</v>
      </c>
      <c r="C835" s="1" t="s">
        <v>205</v>
      </c>
      <c r="D835" s="1" t="str">
        <f t="shared" si="85"/>
        <v>89177328</v>
      </c>
      <c r="E835" s="1" t="s">
        <v>24</v>
      </c>
      <c r="F835" s="1" t="str">
        <f t="shared" si="86"/>
        <v>0010</v>
      </c>
      <c r="G835" s="1" t="str">
        <f>""</f>
        <v/>
      </c>
      <c r="H835" s="1" t="str">
        <f>"0017"</f>
        <v>0017</v>
      </c>
      <c r="I835" s="1" t="s">
        <v>135</v>
      </c>
      <c r="J835" s="1" t="str">
        <f>"01043989717"</f>
        <v>01043989717</v>
      </c>
      <c r="K835" s="1" t="str">
        <f>"2017-04-06 16:35:28"</f>
        <v>2017-04-06 16:35:28</v>
      </c>
      <c r="L835" s="1" t="str">
        <f>"2017-04-06 16:35:34"</f>
        <v>2017-04-06 16:35:34</v>
      </c>
      <c r="M835" s="2">
        <v>1.0011574074074074E-2</v>
      </c>
      <c r="N835" s="1" t="s">
        <v>26</v>
      </c>
      <c r="O835" s="1" t="s">
        <v>27</v>
      </c>
      <c r="P835" s="2">
        <v>1.0081018518518519E-2</v>
      </c>
      <c r="Q835" s="1" t="s">
        <v>733</v>
      </c>
      <c r="R835" s="1">
        <v>0</v>
      </c>
      <c r="S835" s="1" t="str">
        <f>""</f>
        <v/>
      </c>
      <c r="T835" s="1" t="s">
        <v>29</v>
      </c>
      <c r="U835" s="1" t="s">
        <v>30</v>
      </c>
      <c r="V835" s="1">
        <v>0</v>
      </c>
    </row>
    <row r="836" spans="2:22" x14ac:dyDescent="0.15">
      <c r="B836" s="1" t="str">
        <f>"158****0990"</f>
        <v>158****0990</v>
      </c>
      <c r="C836" s="1" t="s">
        <v>468</v>
      </c>
      <c r="D836" s="1" t="str">
        <f t="shared" si="85"/>
        <v>89177328</v>
      </c>
      <c r="E836" s="1" t="s">
        <v>24</v>
      </c>
      <c r="F836" s="1" t="str">
        <f t="shared" si="86"/>
        <v>0010</v>
      </c>
      <c r="G836" s="1" t="str">
        <f>""</f>
        <v/>
      </c>
      <c r="H836" s="1" t="str">
        <f>"0031"</f>
        <v>0031</v>
      </c>
      <c r="I836" s="1" t="s">
        <v>95</v>
      </c>
      <c r="J836" s="1" t="str">
        <f>"01043977565"</f>
        <v>01043977565</v>
      </c>
      <c r="K836" s="1" t="str">
        <f>"2017-04-06 16:25:08"</f>
        <v>2017-04-06 16:25:08</v>
      </c>
      <c r="L836" s="1" t="str">
        <f>"2017-04-06 16:25:17"</f>
        <v>2017-04-06 16:25:17</v>
      </c>
      <c r="M836" s="2">
        <v>1.0081018518518519E-2</v>
      </c>
      <c r="N836" s="1" t="s">
        <v>26</v>
      </c>
      <c r="O836" s="1" t="s">
        <v>27</v>
      </c>
      <c r="P836" s="2">
        <v>1.0185185185185184E-2</v>
      </c>
      <c r="Q836" s="1" t="s">
        <v>734</v>
      </c>
      <c r="R836" s="1">
        <v>0</v>
      </c>
      <c r="S836" s="1" t="str">
        <f>""</f>
        <v/>
      </c>
      <c r="T836" s="1" t="s">
        <v>29</v>
      </c>
      <c r="U836" s="1" t="s">
        <v>30</v>
      </c>
      <c r="V836" s="1">
        <v>0</v>
      </c>
    </row>
    <row r="837" spans="2:22" x14ac:dyDescent="0.15">
      <c r="B837" s="1" t="str">
        <f>"134****9395"</f>
        <v>134****9395</v>
      </c>
      <c r="C837" s="1" t="s">
        <v>137</v>
      </c>
      <c r="D837" s="1" t="str">
        <f t="shared" si="85"/>
        <v>89177328</v>
      </c>
      <c r="E837" s="1" t="s">
        <v>24</v>
      </c>
      <c r="F837" s="1" t="str">
        <f t="shared" si="86"/>
        <v>0010</v>
      </c>
      <c r="G837" s="1" t="str">
        <f>""</f>
        <v/>
      </c>
      <c r="H837" s="1" t="str">
        <f>"0034"</f>
        <v>0034</v>
      </c>
      <c r="I837" s="1" t="s">
        <v>31</v>
      </c>
      <c r="J837" s="1" t="str">
        <f>"01043977568"</f>
        <v>01043977568</v>
      </c>
      <c r="K837" s="1" t="str">
        <f>"2017-04-06 16:20:29"</f>
        <v>2017-04-06 16:20:29</v>
      </c>
      <c r="L837" s="1" t="str">
        <f>"2017-04-06 16:20:35"</f>
        <v>2017-04-06 16:20:35</v>
      </c>
      <c r="M837" s="2">
        <v>1.0474537037037037E-2</v>
      </c>
      <c r="N837" s="1" t="s">
        <v>26</v>
      </c>
      <c r="O837" s="1" t="s">
        <v>34</v>
      </c>
      <c r="P837" s="2">
        <v>1.0543981481481481E-2</v>
      </c>
      <c r="Q837" s="1" t="s">
        <v>735</v>
      </c>
      <c r="R837" s="1">
        <v>0</v>
      </c>
      <c r="S837" s="1" t="str">
        <f>""</f>
        <v/>
      </c>
      <c r="T837" s="1" t="s">
        <v>29</v>
      </c>
      <c r="U837" s="1" t="s">
        <v>30</v>
      </c>
      <c r="V837" s="1">
        <v>0</v>
      </c>
    </row>
    <row r="838" spans="2:22" x14ac:dyDescent="0.15">
      <c r="B838" s="1" t="str">
        <f>"135****2901"</f>
        <v>135****2901</v>
      </c>
      <c r="C838" s="1" t="s">
        <v>283</v>
      </c>
      <c r="D838" s="1" t="str">
        <f t="shared" si="85"/>
        <v>89177328</v>
      </c>
      <c r="E838" s="1" t="s">
        <v>24</v>
      </c>
      <c r="F838" s="1" t="str">
        <f t="shared" si="86"/>
        <v>0010</v>
      </c>
      <c r="G838" s="1" t="str">
        <f>""</f>
        <v/>
      </c>
      <c r="H838" s="1" t="str">
        <f>"0034"</f>
        <v>0034</v>
      </c>
      <c r="I838" s="1" t="s">
        <v>31</v>
      </c>
      <c r="J838" s="1" t="str">
        <f>"01043977568"</f>
        <v>01043977568</v>
      </c>
      <c r="K838" s="1" t="str">
        <f>"2017-04-06 16:09:45"</f>
        <v>2017-04-06 16:09:45</v>
      </c>
      <c r="L838" s="1" t="str">
        <f>"2017-04-06 16:09:57"</f>
        <v>2017-04-06 16:09:57</v>
      </c>
      <c r="M838" s="2">
        <v>2.3611111111111111E-3</v>
      </c>
      <c r="N838" s="1" t="s">
        <v>26</v>
      </c>
      <c r="O838" s="1" t="s">
        <v>27</v>
      </c>
      <c r="P838" s="2">
        <v>2.5000000000000001E-3</v>
      </c>
      <c r="Q838" s="1" t="s">
        <v>736</v>
      </c>
      <c r="R838" s="1">
        <v>0</v>
      </c>
      <c r="S838" s="1" t="str">
        <f>""</f>
        <v/>
      </c>
      <c r="T838" s="1" t="s">
        <v>29</v>
      </c>
      <c r="U838" s="1" t="s">
        <v>30</v>
      </c>
      <c r="V838" s="1">
        <v>0</v>
      </c>
    </row>
    <row r="839" spans="2:22" x14ac:dyDescent="0.15">
      <c r="B839" s="1" t="str">
        <f>"176****5270"</f>
        <v>176****5270</v>
      </c>
      <c r="C839" s="1" t="s">
        <v>23</v>
      </c>
      <c r="D839" s="1" t="str">
        <f t="shared" si="85"/>
        <v>89177328</v>
      </c>
      <c r="E839" s="1" t="s">
        <v>24</v>
      </c>
      <c r="F839" s="1" t="str">
        <f t="shared" si="86"/>
        <v>0010</v>
      </c>
      <c r="G839" s="1" t="str">
        <f>""</f>
        <v/>
      </c>
      <c r="H839" s="1" t="str">
        <f>"0034"</f>
        <v>0034</v>
      </c>
      <c r="I839" s="1" t="s">
        <v>31</v>
      </c>
      <c r="J839" s="1" t="str">
        <f>"01043977568"</f>
        <v>01043977568</v>
      </c>
      <c r="K839" s="1" t="str">
        <f>"2017-04-06 15:43:26"</f>
        <v>2017-04-06 15:43:26</v>
      </c>
      <c r="L839" s="1" t="str">
        <f>"-"</f>
        <v>-</v>
      </c>
      <c r="M839" s="2">
        <v>0</v>
      </c>
      <c r="N839" s="1" t="s">
        <v>33</v>
      </c>
      <c r="O839" s="1" t="s">
        <v>34</v>
      </c>
      <c r="P839" s="2">
        <v>1.3888888888888889E-4</v>
      </c>
      <c r="Q839" s="1" t="str">
        <f>""</f>
        <v/>
      </c>
      <c r="R839" s="1">
        <v>0</v>
      </c>
      <c r="S839" s="1" t="str">
        <f>""</f>
        <v/>
      </c>
      <c r="T839" s="1" t="s">
        <v>29</v>
      </c>
      <c r="U839" s="1" t="s">
        <v>30</v>
      </c>
      <c r="V839" s="1">
        <v>0</v>
      </c>
    </row>
    <row r="840" spans="2:22" x14ac:dyDescent="0.15">
      <c r="B840" s="1" t="str">
        <f>"187****8895"</f>
        <v>187****8895</v>
      </c>
      <c r="C840" s="1" t="s">
        <v>23</v>
      </c>
      <c r="D840" s="1" t="str">
        <f t="shared" si="85"/>
        <v>89177328</v>
      </c>
      <c r="E840" s="1" t="s">
        <v>24</v>
      </c>
      <c r="F840" s="1" t="str">
        <f t="shared" si="86"/>
        <v>0010</v>
      </c>
      <c r="G840" s="1" t="str">
        <f>""</f>
        <v/>
      </c>
      <c r="H840" s="1" t="str">
        <f>"0034"</f>
        <v>0034</v>
      </c>
      <c r="I840" s="1" t="s">
        <v>31</v>
      </c>
      <c r="J840" s="1" t="str">
        <f>"01043977568"</f>
        <v>01043977568</v>
      </c>
      <c r="K840" s="1" t="str">
        <f>"2017-04-06 15:41:56"</f>
        <v>2017-04-06 15:41:56</v>
      </c>
      <c r="L840" s="1" t="str">
        <f>"-"</f>
        <v>-</v>
      </c>
      <c r="M840" s="2">
        <v>0</v>
      </c>
      <c r="N840" s="1" t="s">
        <v>33</v>
      </c>
      <c r="O840" s="1" t="s">
        <v>34</v>
      </c>
      <c r="P840" s="2">
        <v>5.7870370370370366E-5</v>
      </c>
      <c r="Q840" s="1" t="str">
        <f>""</f>
        <v/>
      </c>
      <c r="R840" s="1">
        <v>0</v>
      </c>
      <c r="S840" s="1" t="str">
        <f>""</f>
        <v/>
      </c>
      <c r="T840" s="1" t="s">
        <v>29</v>
      </c>
      <c r="U840" s="1" t="s">
        <v>30</v>
      </c>
      <c r="V840" s="1">
        <v>0</v>
      </c>
    </row>
    <row r="841" spans="2:22" x14ac:dyDescent="0.15">
      <c r="B841" s="1" t="str">
        <f>"176****5270"</f>
        <v>176****5270</v>
      </c>
      <c r="C841" s="1" t="s">
        <v>23</v>
      </c>
      <c r="D841" s="1" t="str">
        <f t="shared" si="85"/>
        <v>89177328</v>
      </c>
      <c r="E841" s="1" t="s">
        <v>24</v>
      </c>
      <c r="F841" s="1" t="str">
        <f t="shared" si="86"/>
        <v>0010</v>
      </c>
      <c r="G841" s="1" t="str">
        <f>""</f>
        <v/>
      </c>
      <c r="H841" s="1" t="str">
        <f>"0012"</f>
        <v>0012</v>
      </c>
      <c r="I841" s="1" t="s">
        <v>612</v>
      </c>
      <c r="J841" s="1" t="str">
        <f>"01043989720"</f>
        <v>01043989720</v>
      </c>
      <c r="K841" s="1" t="str">
        <f>"2017-04-06 15:41:31"</f>
        <v>2017-04-06 15:41:31</v>
      </c>
      <c r="L841" s="1" t="str">
        <f>"-"</f>
        <v>-</v>
      </c>
      <c r="M841" s="2">
        <v>0</v>
      </c>
      <c r="N841" s="1" t="s">
        <v>33</v>
      </c>
      <c r="O841" s="1" t="s">
        <v>34</v>
      </c>
      <c r="P841" s="2">
        <v>6.9444444444444444E-5</v>
      </c>
      <c r="Q841" s="1" t="str">
        <f>""</f>
        <v/>
      </c>
      <c r="R841" s="1">
        <v>0</v>
      </c>
      <c r="S841" s="1" t="str">
        <f>""</f>
        <v/>
      </c>
      <c r="T841" s="1" t="s">
        <v>29</v>
      </c>
      <c r="U841" s="1" t="s">
        <v>30</v>
      </c>
      <c r="V841" s="1">
        <v>0</v>
      </c>
    </row>
    <row r="842" spans="2:22" x14ac:dyDescent="0.15">
      <c r="B842" s="1" t="str">
        <f>"183****4280"</f>
        <v>183****4280</v>
      </c>
      <c r="C842" s="1" t="s">
        <v>23</v>
      </c>
      <c r="D842" s="1" t="str">
        <f t="shared" si="85"/>
        <v>89177328</v>
      </c>
      <c r="E842" s="1" t="s">
        <v>24</v>
      </c>
      <c r="F842" s="1" t="str">
        <f t="shared" si="86"/>
        <v>0010</v>
      </c>
      <c r="G842" s="1" t="str">
        <f>""</f>
        <v/>
      </c>
      <c r="H842" s="1" t="str">
        <f>"0012"</f>
        <v>0012</v>
      </c>
      <c r="I842" s="1" t="s">
        <v>612</v>
      </c>
      <c r="J842" s="1" t="str">
        <f>"01043989720"</f>
        <v>01043989720</v>
      </c>
      <c r="K842" s="1" t="str">
        <f>"2017-04-06 15:39:17"</f>
        <v>2017-04-06 15:39:17</v>
      </c>
      <c r="L842" s="1" t="str">
        <f>"-"</f>
        <v>-</v>
      </c>
      <c r="M842" s="2">
        <v>0</v>
      </c>
      <c r="N842" s="1" t="s">
        <v>33</v>
      </c>
      <c r="O842" s="1" t="s">
        <v>34</v>
      </c>
      <c r="P842" s="2">
        <v>5.7870370370370366E-5</v>
      </c>
      <c r="Q842" s="1" t="str">
        <f>""</f>
        <v/>
      </c>
      <c r="R842" s="1">
        <v>0</v>
      </c>
      <c r="S842" s="1" t="str">
        <f>""</f>
        <v/>
      </c>
      <c r="T842" s="1" t="s">
        <v>29</v>
      </c>
      <c r="U842" s="1" t="s">
        <v>30</v>
      </c>
      <c r="V842" s="1">
        <v>0</v>
      </c>
    </row>
    <row r="843" spans="2:22" x14ac:dyDescent="0.15">
      <c r="B843" s="1" t="str">
        <f>"187****8895"</f>
        <v>187****8895</v>
      </c>
      <c r="C843" s="1" t="s">
        <v>23</v>
      </c>
      <c r="D843" s="1" t="str">
        <f t="shared" si="85"/>
        <v>89177328</v>
      </c>
      <c r="E843" s="1" t="s">
        <v>24</v>
      </c>
      <c r="F843" s="1" t="str">
        <f t="shared" si="86"/>
        <v>0010</v>
      </c>
      <c r="G843" s="1" t="str">
        <f>""</f>
        <v/>
      </c>
      <c r="H843" s="1" t="str">
        <f>"0012"</f>
        <v>0012</v>
      </c>
      <c r="I843" s="1" t="s">
        <v>612</v>
      </c>
      <c r="J843" s="1" t="str">
        <f>"01043989720"</f>
        <v>01043989720</v>
      </c>
      <c r="K843" s="1" t="str">
        <f>"2017-04-06 15:39:11"</f>
        <v>2017-04-06 15:39:11</v>
      </c>
      <c r="L843" s="1" t="str">
        <f>"-"</f>
        <v>-</v>
      </c>
      <c r="M843" s="2">
        <v>0</v>
      </c>
      <c r="N843" s="1" t="s">
        <v>33</v>
      </c>
      <c r="O843" s="1" t="s">
        <v>34</v>
      </c>
      <c r="P843" s="2">
        <v>4.6296296296296294E-5</v>
      </c>
      <c r="Q843" s="1" t="str">
        <f>""</f>
        <v/>
      </c>
      <c r="R843" s="1">
        <v>0</v>
      </c>
      <c r="S843" s="1" t="str">
        <f>""</f>
        <v/>
      </c>
      <c r="T843" s="1" t="s">
        <v>29</v>
      </c>
      <c r="U843" s="1" t="s">
        <v>30</v>
      </c>
      <c r="V843" s="1">
        <v>0</v>
      </c>
    </row>
    <row r="844" spans="2:22" x14ac:dyDescent="0.15">
      <c r="B844" s="1" t="str">
        <f>"139****4051"</f>
        <v>139****4051</v>
      </c>
      <c r="C844" s="1" t="s">
        <v>23</v>
      </c>
      <c r="D844" s="1" t="str">
        <f t="shared" si="85"/>
        <v>89177328</v>
      </c>
      <c r="E844" s="1" t="s">
        <v>24</v>
      </c>
      <c r="F844" s="1" t="str">
        <f t="shared" si="86"/>
        <v>0010</v>
      </c>
      <c r="G844" s="1" t="str">
        <f>""</f>
        <v/>
      </c>
      <c r="H844" s="1" t="str">
        <f>"0017"</f>
        <v>0017</v>
      </c>
      <c r="I844" s="1" t="s">
        <v>135</v>
      </c>
      <c r="J844" s="1" t="str">
        <f>"01043989717"</f>
        <v>01043989717</v>
      </c>
      <c r="K844" s="1" t="str">
        <f>"2017-04-06 15:35:36"</f>
        <v>2017-04-06 15:35:36</v>
      </c>
      <c r="L844" s="1" t="str">
        <f>"2017-04-06 15:35:41"</f>
        <v>2017-04-06 15:35:41</v>
      </c>
      <c r="M844" s="2">
        <v>3.3564814814814812E-4</v>
      </c>
      <c r="N844" s="1" t="s">
        <v>26</v>
      </c>
      <c r="O844" s="1" t="s">
        <v>34</v>
      </c>
      <c r="P844" s="2">
        <v>3.9351851851851852E-4</v>
      </c>
      <c r="Q844" s="1" t="s">
        <v>737</v>
      </c>
      <c r="R844" s="1">
        <v>0</v>
      </c>
      <c r="S844" s="1" t="str">
        <f>""</f>
        <v/>
      </c>
      <c r="T844" s="1" t="s">
        <v>29</v>
      </c>
      <c r="U844" s="1" t="s">
        <v>30</v>
      </c>
      <c r="V844" s="1">
        <v>0</v>
      </c>
    </row>
    <row r="845" spans="2:22" x14ac:dyDescent="0.15">
      <c r="B845" s="1" t="str">
        <f>"130****5656"</f>
        <v>130****5656</v>
      </c>
      <c r="C845" s="1" t="s">
        <v>112</v>
      </c>
      <c r="D845" s="1" t="str">
        <f t="shared" si="85"/>
        <v>89177328</v>
      </c>
      <c r="E845" s="1" t="s">
        <v>24</v>
      </c>
      <c r="F845" s="1" t="str">
        <f t="shared" si="86"/>
        <v>0010</v>
      </c>
      <c r="G845" s="1" t="str">
        <f>""</f>
        <v/>
      </c>
      <c r="H845" s="1" t="str">
        <f>"0031"</f>
        <v>0031</v>
      </c>
      <c r="I845" s="1" t="s">
        <v>95</v>
      </c>
      <c r="J845" s="1" t="str">
        <f>"01043977565"</f>
        <v>01043977565</v>
      </c>
      <c r="K845" s="1" t="str">
        <f>"2017-04-06 15:24:57"</f>
        <v>2017-04-06 15:24:57</v>
      </c>
      <c r="L845" s="1" t="str">
        <f>"-"</f>
        <v>-</v>
      </c>
      <c r="M845" s="2">
        <v>0</v>
      </c>
      <c r="N845" s="1" t="s">
        <v>33</v>
      </c>
      <c r="O845" s="1" t="s">
        <v>34</v>
      </c>
      <c r="P845" s="2">
        <v>6.9444444444444444E-5</v>
      </c>
      <c r="Q845" s="1" t="str">
        <f>""</f>
        <v/>
      </c>
      <c r="R845" s="1">
        <v>0</v>
      </c>
      <c r="S845" s="1" t="str">
        <f>""</f>
        <v/>
      </c>
      <c r="T845" s="1" t="s">
        <v>29</v>
      </c>
      <c r="U845" s="1" t="s">
        <v>30</v>
      </c>
      <c r="V845" s="1">
        <v>0</v>
      </c>
    </row>
    <row r="846" spans="2:22" x14ac:dyDescent="0.15">
      <c r="B846" s="1" t="str">
        <f>"130****5656"</f>
        <v>130****5656</v>
      </c>
      <c r="C846" s="1" t="s">
        <v>112</v>
      </c>
      <c r="D846" s="1" t="str">
        <f t="shared" si="85"/>
        <v>89177328</v>
      </c>
      <c r="E846" s="1" t="s">
        <v>24</v>
      </c>
      <c r="F846" s="1" t="str">
        <f t="shared" si="86"/>
        <v>0010</v>
      </c>
      <c r="G846" s="1" t="str">
        <f>""</f>
        <v/>
      </c>
      <c r="H846" s="1" t="str">
        <f>"0031"</f>
        <v>0031</v>
      </c>
      <c r="I846" s="1" t="s">
        <v>95</v>
      </c>
      <c r="J846" s="1" t="str">
        <f>"01043977565"</f>
        <v>01043977565</v>
      </c>
      <c r="K846" s="1" t="str">
        <f>"2017-04-06 15:22:42"</f>
        <v>2017-04-06 15:22:42</v>
      </c>
      <c r="L846" s="1" t="str">
        <f>"-"</f>
        <v>-</v>
      </c>
      <c r="M846" s="2">
        <v>0</v>
      </c>
      <c r="N846" s="1" t="s">
        <v>33</v>
      </c>
      <c r="O846" s="1" t="s">
        <v>34</v>
      </c>
      <c r="P846" s="2">
        <v>4.6296296296296294E-5</v>
      </c>
      <c r="Q846" s="1" t="str">
        <f>""</f>
        <v/>
      </c>
      <c r="R846" s="1">
        <v>0</v>
      </c>
      <c r="S846" s="1" t="str">
        <f>""</f>
        <v/>
      </c>
      <c r="T846" s="1" t="s">
        <v>29</v>
      </c>
      <c r="U846" s="1" t="s">
        <v>30</v>
      </c>
      <c r="V846" s="1">
        <v>0</v>
      </c>
    </row>
    <row r="847" spans="2:22" x14ac:dyDescent="0.15">
      <c r="B847" s="1" t="str">
        <f>"183****4280"</f>
        <v>183****4280</v>
      </c>
      <c r="C847" s="1" t="s">
        <v>23</v>
      </c>
      <c r="D847" s="1" t="str">
        <f t="shared" si="85"/>
        <v>89177328</v>
      </c>
      <c r="E847" s="1" t="s">
        <v>24</v>
      </c>
      <c r="F847" s="1" t="str">
        <f t="shared" si="86"/>
        <v>0010</v>
      </c>
      <c r="G847" s="1" t="str">
        <f>""</f>
        <v/>
      </c>
      <c r="H847" s="1" t="str">
        <f>"0031"</f>
        <v>0031</v>
      </c>
      <c r="I847" s="1" t="s">
        <v>95</v>
      </c>
      <c r="J847" s="1" t="str">
        <f>"01043977565"</f>
        <v>01043977565</v>
      </c>
      <c r="K847" s="1" t="str">
        <f>"2017-04-06 15:21:31"</f>
        <v>2017-04-06 15:21:31</v>
      </c>
      <c r="L847" s="1" t="str">
        <f>"-"</f>
        <v>-</v>
      </c>
      <c r="M847" s="2">
        <v>0</v>
      </c>
      <c r="N847" s="1" t="s">
        <v>33</v>
      </c>
      <c r="O847" s="1" t="s">
        <v>34</v>
      </c>
      <c r="P847" s="2">
        <v>5.7870370370370366E-5</v>
      </c>
      <c r="Q847" s="1" t="str">
        <f>""</f>
        <v/>
      </c>
      <c r="R847" s="1">
        <v>0</v>
      </c>
      <c r="S847" s="1" t="str">
        <f>""</f>
        <v/>
      </c>
      <c r="T847" s="1" t="s">
        <v>29</v>
      </c>
      <c r="U847" s="1" t="s">
        <v>30</v>
      </c>
      <c r="V847" s="1">
        <v>0</v>
      </c>
    </row>
    <row r="848" spans="2:22" x14ac:dyDescent="0.15">
      <c r="B848" s="1" t="str">
        <f>"130****5656"</f>
        <v>130****5656</v>
      </c>
      <c r="C848" s="1" t="s">
        <v>112</v>
      </c>
      <c r="D848" s="1" t="str">
        <f t="shared" si="85"/>
        <v>89177328</v>
      </c>
      <c r="E848" s="1" t="s">
        <v>24</v>
      </c>
      <c r="F848" s="1" t="str">
        <f t="shared" si="86"/>
        <v>0010</v>
      </c>
      <c r="G848" s="1" t="str">
        <f>""</f>
        <v/>
      </c>
      <c r="H848" s="1" t="str">
        <f>"0031"</f>
        <v>0031</v>
      </c>
      <c r="I848" s="1" t="s">
        <v>95</v>
      </c>
      <c r="J848" s="1" t="str">
        <f>"01043977565"</f>
        <v>01043977565</v>
      </c>
      <c r="K848" s="1" t="str">
        <f>"2017-04-06 15:20:51"</f>
        <v>2017-04-06 15:20:51</v>
      </c>
      <c r="L848" s="1" t="str">
        <f>"-"</f>
        <v>-</v>
      </c>
      <c r="M848" s="2">
        <v>0</v>
      </c>
      <c r="N848" s="1" t="s">
        <v>33</v>
      </c>
      <c r="O848" s="1" t="s">
        <v>34</v>
      </c>
      <c r="P848" s="2">
        <v>5.7870370370370366E-5</v>
      </c>
      <c r="Q848" s="1" t="str">
        <f>""</f>
        <v/>
      </c>
      <c r="R848" s="1">
        <v>0</v>
      </c>
      <c r="S848" s="1" t="str">
        <f>""</f>
        <v/>
      </c>
      <c r="T848" s="1" t="s">
        <v>29</v>
      </c>
      <c r="U848" s="1" t="s">
        <v>30</v>
      </c>
      <c r="V848" s="1">
        <v>0</v>
      </c>
    </row>
    <row r="849" spans="2:22" x14ac:dyDescent="0.15">
      <c r="B849" s="1" t="str">
        <f>"185****2389"</f>
        <v>185****2389</v>
      </c>
      <c r="C849" s="1" t="s">
        <v>23</v>
      </c>
      <c r="D849" s="1" t="str">
        <f t="shared" si="85"/>
        <v>89177328</v>
      </c>
      <c r="E849" s="1" t="s">
        <v>24</v>
      </c>
      <c r="F849" s="1" t="str">
        <f t="shared" si="86"/>
        <v>0010</v>
      </c>
      <c r="G849" s="1" t="str">
        <f>""</f>
        <v/>
      </c>
      <c r="H849" s="1" t="str">
        <f>"0032"</f>
        <v>0032</v>
      </c>
      <c r="I849" s="1" t="s">
        <v>119</v>
      </c>
      <c r="J849" s="1" t="str">
        <f>"01043977566"</f>
        <v>01043977566</v>
      </c>
      <c r="K849" s="1" t="str">
        <f>"2017-04-06 15:16:39"</f>
        <v>2017-04-06 15:16:39</v>
      </c>
      <c r="L849" s="1" t="str">
        <f>"2017-04-06 15:16:54"</f>
        <v>2017-04-06 15:16:54</v>
      </c>
      <c r="M849" s="2">
        <v>2.1412037037037038E-3</v>
      </c>
      <c r="N849" s="1" t="s">
        <v>26</v>
      </c>
      <c r="O849" s="1" t="s">
        <v>34</v>
      </c>
      <c r="P849" s="2">
        <v>2.3148148148148151E-3</v>
      </c>
      <c r="Q849" s="1" t="s">
        <v>738</v>
      </c>
      <c r="R849" s="1">
        <v>0</v>
      </c>
      <c r="S849" s="1" t="str">
        <f>""</f>
        <v/>
      </c>
      <c r="T849" s="1" t="s">
        <v>29</v>
      </c>
      <c r="U849" s="1" t="s">
        <v>30</v>
      </c>
      <c r="V849" s="1">
        <v>0</v>
      </c>
    </row>
    <row r="850" spans="2:22" x14ac:dyDescent="0.15">
      <c r="B850" s="1" t="str">
        <f>"185****2389"</f>
        <v>185****2389</v>
      </c>
      <c r="C850" s="1" t="s">
        <v>23</v>
      </c>
      <c r="D850" s="1" t="str">
        <f t="shared" si="85"/>
        <v>89177328</v>
      </c>
      <c r="E850" s="1" t="s">
        <v>24</v>
      </c>
      <c r="F850" s="1" t="str">
        <f t="shared" si="86"/>
        <v>0010</v>
      </c>
      <c r="G850" s="1" t="str">
        <f>""</f>
        <v/>
      </c>
      <c r="H850" s="1" t="str">
        <f>"0017"</f>
        <v>0017</v>
      </c>
      <c r="I850" s="1" t="s">
        <v>135</v>
      </c>
      <c r="J850" s="1" t="str">
        <f>"01043989717"</f>
        <v>01043989717</v>
      </c>
      <c r="K850" s="1" t="str">
        <f>"2017-04-06 15:10:40"</f>
        <v>2017-04-06 15:10:40</v>
      </c>
      <c r="L850" s="1" t="str">
        <f>"-"</f>
        <v>-</v>
      </c>
      <c r="M850" s="2">
        <v>0</v>
      </c>
      <c r="N850" s="1" t="s">
        <v>33</v>
      </c>
      <c r="O850" s="1" t="s">
        <v>34</v>
      </c>
      <c r="P850" s="2">
        <v>2.3148148148148147E-5</v>
      </c>
      <c r="Q850" s="1" t="str">
        <f>""</f>
        <v/>
      </c>
      <c r="R850" s="1">
        <v>0</v>
      </c>
      <c r="S850" s="1" t="str">
        <f>""</f>
        <v/>
      </c>
      <c r="T850" s="1" t="s">
        <v>29</v>
      </c>
      <c r="U850" s="1" t="s">
        <v>30</v>
      </c>
      <c r="V850" s="1">
        <v>0</v>
      </c>
    </row>
    <row r="851" spans="2:22" x14ac:dyDescent="0.15">
      <c r="B851" s="1" t="str">
        <f>"139****1565"</f>
        <v>139****1565</v>
      </c>
      <c r="C851" s="1" t="s">
        <v>237</v>
      </c>
      <c r="D851" s="1" t="str">
        <f t="shared" si="85"/>
        <v>89177328</v>
      </c>
      <c r="E851" s="1" t="s">
        <v>24</v>
      </c>
      <c r="F851" s="1" t="str">
        <f t="shared" si="86"/>
        <v>0010</v>
      </c>
      <c r="G851" s="1" t="str">
        <f>""</f>
        <v/>
      </c>
      <c r="H851" s="1" t="str">
        <f>"0034"</f>
        <v>0034</v>
      </c>
      <c r="I851" s="1" t="s">
        <v>31</v>
      </c>
      <c r="J851" s="1" t="str">
        <f>"01043977568"</f>
        <v>01043977568</v>
      </c>
      <c r="K851" s="1" t="str">
        <f>"2017-04-06 15:01:25"</f>
        <v>2017-04-06 15:01:25</v>
      </c>
      <c r="L851" s="1" t="str">
        <f>"2017-04-06 15:01:34"</f>
        <v>2017-04-06 15:01:34</v>
      </c>
      <c r="M851" s="2">
        <v>1.1863425925925925E-2</v>
      </c>
      <c r="N851" s="1" t="s">
        <v>26</v>
      </c>
      <c r="O851" s="1" t="s">
        <v>27</v>
      </c>
      <c r="P851" s="2">
        <v>1.1967592592592592E-2</v>
      </c>
      <c r="Q851" s="1" t="s">
        <v>739</v>
      </c>
      <c r="R851" s="1">
        <v>0</v>
      </c>
      <c r="S851" s="1" t="str">
        <f>""</f>
        <v/>
      </c>
      <c r="T851" s="1" t="s">
        <v>29</v>
      </c>
      <c r="U851" s="1" t="s">
        <v>30</v>
      </c>
      <c r="V851" s="1">
        <v>0</v>
      </c>
    </row>
    <row r="852" spans="2:22" x14ac:dyDescent="0.15">
      <c r="B852" s="1" t="str">
        <f>"159****9198"</f>
        <v>159****9198</v>
      </c>
      <c r="C852" s="1" t="s">
        <v>740</v>
      </c>
      <c r="D852" s="1" t="str">
        <f t="shared" si="85"/>
        <v>89177328</v>
      </c>
      <c r="E852" s="1" t="s">
        <v>24</v>
      </c>
      <c r="F852" s="1" t="str">
        <f t="shared" si="86"/>
        <v>0010</v>
      </c>
      <c r="G852" s="1" t="str">
        <f>""</f>
        <v/>
      </c>
      <c r="H852" s="1" t="str">
        <f>"0017"</f>
        <v>0017</v>
      </c>
      <c r="I852" s="1" t="s">
        <v>135</v>
      </c>
      <c r="J852" s="1" t="str">
        <f>"01043989717"</f>
        <v>01043989717</v>
      </c>
      <c r="K852" s="1" t="str">
        <f>"2017-04-06 14:58:17"</f>
        <v>2017-04-06 14:58:17</v>
      </c>
      <c r="L852" s="1" t="str">
        <f>"2017-04-06 14:58:25"</f>
        <v>2017-04-06 14:58:25</v>
      </c>
      <c r="M852" s="2">
        <v>6.4583333333333333E-3</v>
      </c>
      <c r="N852" s="1" t="s">
        <v>26</v>
      </c>
      <c r="O852" s="1" t="s">
        <v>27</v>
      </c>
      <c r="P852" s="2">
        <v>6.5509259259259262E-3</v>
      </c>
      <c r="Q852" s="1" t="s">
        <v>741</v>
      </c>
      <c r="R852" s="1">
        <v>0</v>
      </c>
      <c r="S852" s="1" t="str">
        <f>""</f>
        <v/>
      </c>
      <c r="T852" s="1" t="s">
        <v>29</v>
      </c>
      <c r="U852" s="1" t="s">
        <v>30</v>
      </c>
      <c r="V852" s="1">
        <v>0</v>
      </c>
    </row>
    <row r="853" spans="2:22" x14ac:dyDescent="0.15">
      <c r="B853" s="1" t="str">
        <f>"185****4082"</f>
        <v>185****4082</v>
      </c>
      <c r="C853" s="1" t="s">
        <v>23</v>
      </c>
      <c r="D853" s="1" t="str">
        <f t="shared" si="85"/>
        <v>89177328</v>
      </c>
      <c r="E853" s="1" t="s">
        <v>24</v>
      </c>
      <c r="F853" s="1" t="str">
        <f t="shared" si="86"/>
        <v>0010</v>
      </c>
      <c r="G853" s="1" t="str">
        <f>""</f>
        <v/>
      </c>
      <c r="H853" s="1" t="str">
        <f>"0035"</f>
        <v>0035</v>
      </c>
      <c r="I853" s="1" t="s">
        <v>25</v>
      </c>
      <c r="J853" s="1" t="str">
        <f>"01043977569"</f>
        <v>01043977569</v>
      </c>
      <c r="K853" s="1" t="str">
        <f>"2017-04-06 14:50:27"</f>
        <v>2017-04-06 14:50:27</v>
      </c>
      <c r="L853" s="1" t="str">
        <f>"2017-04-06 14:50:35"</f>
        <v>2017-04-06 14:50:35</v>
      </c>
      <c r="M853" s="2">
        <v>2.9629629629629628E-3</v>
      </c>
      <c r="N853" s="1" t="s">
        <v>26</v>
      </c>
      <c r="O853" s="1" t="s">
        <v>27</v>
      </c>
      <c r="P853" s="2">
        <v>3.0555555555555557E-3</v>
      </c>
      <c r="Q853" s="1" t="s">
        <v>742</v>
      </c>
      <c r="R853" s="1">
        <v>0</v>
      </c>
      <c r="S853" s="1" t="str">
        <f>""</f>
        <v/>
      </c>
      <c r="T853" s="1" t="s">
        <v>29</v>
      </c>
      <c r="U853" s="1" t="s">
        <v>30</v>
      </c>
      <c r="V853" s="1">
        <v>0</v>
      </c>
    </row>
    <row r="854" spans="2:22" x14ac:dyDescent="0.15">
      <c r="B854" s="1" t="str">
        <f>"188****7141"</f>
        <v>188****7141</v>
      </c>
      <c r="C854" s="1" t="s">
        <v>23</v>
      </c>
      <c r="D854" s="1" t="str">
        <f t="shared" si="85"/>
        <v>89177328</v>
      </c>
      <c r="E854" s="1" t="s">
        <v>24</v>
      </c>
      <c r="F854" s="1" t="str">
        <f t="shared" si="86"/>
        <v>0010</v>
      </c>
      <c r="G854" s="1" t="str">
        <f>""</f>
        <v/>
      </c>
      <c r="H854" s="1" t="str">
        <f>"0017"</f>
        <v>0017</v>
      </c>
      <c r="I854" s="1" t="s">
        <v>135</v>
      </c>
      <c r="J854" s="1" t="str">
        <f>"01043989717"</f>
        <v>01043989717</v>
      </c>
      <c r="K854" s="1" t="str">
        <f>"2017-04-06 14:49:03"</f>
        <v>2017-04-06 14:49:03</v>
      </c>
      <c r="L854" s="1" t="str">
        <f>"2017-04-06 14:49:19"</f>
        <v>2017-04-06 14:49:19</v>
      </c>
      <c r="M854" s="2">
        <v>5.3125000000000004E-3</v>
      </c>
      <c r="N854" s="1" t="s">
        <v>26</v>
      </c>
      <c r="O854" s="1" t="s">
        <v>27</v>
      </c>
      <c r="P854" s="2">
        <v>5.4976851851851853E-3</v>
      </c>
      <c r="Q854" s="1" t="s">
        <v>743</v>
      </c>
      <c r="R854" s="1">
        <v>0</v>
      </c>
      <c r="S854" s="1" t="str">
        <f>""</f>
        <v/>
      </c>
      <c r="T854" s="1" t="s">
        <v>29</v>
      </c>
      <c r="U854" s="1" t="s">
        <v>30</v>
      </c>
      <c r="V854" s="1">
        <v>0</v>
      </c>
    </row>
    <row r="855" spans="2:22" x14ac:dyDescent="0.15">
      <c r="B855" s="1" t="str">
        <f>"185****2389"</f>
        <v>185****2389</v>
      </c>
      <c r="C855" s="1" t="s">
        <v>23</v>
      </c>
      <c r="D855" s="1" t="str">
        <f t="shared" si="85"/>
        <v>89177328</v>
      </c>
      <c r="E855" s="1" t="s">
        <v>24</v>
      </c>
      <c r="F855" s="1" t="str">
        <f t="shared" si="86"/>
        <v>0010</v>
      </c>
      <c r="G855" s="1" t="str">
        <f>""</f>
        <v/>
      </c>
      <c r="H855" s="1" t="str">
        <f>"0032"</f>
        <v>0032</v>
      </c>
      <c r="I855" s="1" t="s">
        <v>119</v>
      </c>
      <c r="J855" s="1" t="str">
        <f>"01043977566"</f>
        <v>01043977566</v>
      </c>
      <c r="K855" s="1" t="str">
        <f>"2017-04-06 14:36:22"</f>
        <v>2017-04-06 14:36:22</v>
      </c>
      <c r="L855" s="1" t="str">
        <f>"2017-04-06 14:36:42"</f>
        <v>2017-04-06 14:36:42</v>
      </c>
      <c r="M855" s="2">
        <v>1.5092592592592593E-2</v>
      </c>
      <c r="N855" s="1" t="s">
        <v>26</v>
      </c>
      <c r="O855" s="1" t="s">
        <v>34</v>
      </c>
      <c r="P855" s="2">
        <v>1.5324074074074073E-2</v>
      </c>
      <c r="Q855" s="1" t="s">
        <v>744</v>
      </c>
      <c r="R855" s="1">
        <v>0</v>
      </c>
      <c r="S855" s="1" t="str">
        <f>""</f>
        <v/>
      </c>
      <c r="T855" s="1" t="s">
        <v>29</v>
      </c>
      <c r="U855" s="1" t="s">
        <v>30</v>
      </c>
      <c r="V855" s="1">
        <v>0</v>
      </c>
    </row>
    <row r="856" spans="2:22" x14ac:dyDescent="0.15">
      <c r="B856" s="1" t="str">
        <f>"138****9516"</f>
        <v>138****9516</v>
      </c>
      <c r="C856" s="1" t="s">
        <v>23</v>
      </c>
      <c r="D856" s="1" t="str">
        <f t="shared" si="85"/>
        <v>89177328</v>
      </c>
      <c r="E856" s="1" t="s">
        <v>24</v>
      </c>
      <c r="F856" s="1" t="str">
        <f t="shared" si="86"/>
        <v>0010</v>
      </c>
      <c r="G856" s="1" t="str">
        <f>""</f>
        <v/>
      </c>
      <c r="H856" s="1" t="str">
        <f>"0033"</f>
        <v>0033</v>
      </c>
      <c r="I856" s="1" t="s">
        <v>106</v>
      </c>
      <c r="J856" s="1" t="str">
        <f>"01043977567"</f>
        <v>01043977567</v>
      </c>
      <c r="K856" s="1" t="str">
        <f>"2017-04-06 14:33:39"</f>
        <v>2017-04-06 14:33:39</v>
      </c>
      <c r="L856" s="1" t="str">
        <f>"2017-04-06 14:33:48"</f>
        <v>2017-04-06 14:33:48</v>
      </c>
      <c r="M856" s="2">
        <v>9.1203703703703707E-3</v>
      </c>
      <c r="N856" s="1" t="s">
        <v>26</v>
      </c>
      <c r="O856" s="1" t="s">
        <v>27</v>
      </c>
      <c r="P856" s="2">
        <v>9.2245370370370363E-3</v>
      </c>
      <c r="Q856" s="1" t="s">
        <v>745</v>
      </c>
      <c r="R856" s="1">
        <v>0</v>
      </c>
      <c r="S856" s="1" t="str">
        <f>""</f>
        <v/>
      </c>
      <c r="T856" s="1" t="s">
        <v>29</v>
      </c>
      <c r="U856" s="1" t="s">
        <v>30</v>
      </c>
      <c r="V856" s="1">
        <v>0</v>
      </c>
    </row>
    <row r="857" spans="2:22" x14ac:dyDescent="0.15">
      <c r="B857" s="1" t="str">
        <f>"158****1274"</f>
        <v>158****1274</v>
      </c>
      <c r="C857" s="1" t="s">
        <v>23</v>
      </c>
      <c r="D857" s="1" t="str">
        <f t="shared" si="85"/>
        <v>89177328</v>
      </c>
      <c r="E857" s="1" t="s">
        <v>24</v>
      </c>
      <c r="F857" s="1" t="str">
        <f t="shared" si="86"/>
        <v>0010</v>
      </c>
      <c r="G857" s="1" t="str">
        <f>""</f>
        <v/>
      </c>
      <c r="H857" s="1" t="str">
        <f>"0031"</f>
        <v>0031</v>
      </c>
      <c r="I857" s="1" t="s">
        <v>95</v>
      </c>
      <c r="J857" s="1" t="str">
        <f>"01043977565"</f>
        <v>01043977565</v>
      </c>
      <c r="K857" s="1" t="str">
        <f>"2017-04-06 14:33:15"</f>
        <v>2017-04-06 14:33:15</v>
      </c>
      <c r="L857" s="1" t="str">
        <f>"2017-04-06 14:33:24"</f>
        <v>2017-04-06 14:33:24</v>
      </c>
      <c r="M857" s="2">
        <v>2.2569444444444447E-3</v>
      </c>
      <c r="N857" s="1" t="s">
        <v>26</v>
      </c>
      <c r="O857" s="1" t="s">
        <v>34</v>
      </c>
      <c r="P857" s="2">
        <v>2.3611111111111111E-3</v>
      </c>
      <c r="Q857" s="1" t="s">
        <v>746</v>
      </c>
      <c r="R857" s="1">
        <v>0</v>
      </c>
      <c r="S857" s="1" t="str">
        <f>""</f>
        <v/>
      </c>
      <c r="T857" s="1" t="s">
        <v>29</v>
      </c>
      <c r="U857" s="1" t="s">
        <v>30</v>
      </c>
      <c r="V857" s="1">
        <v>0</v>
      </c>
    </row>
    <row r="858" spans="2:22" x14ac:dyDescent="0.15">
      <c r="B858" s="1" t="str">
        <f>"137****0011"</f>
        <v>137****0011</v>
      </c>
      <c r="C858" s="1" t="s">
        <v>23</v>
      </c>
      <c r="D858" s="1" t="str">
        <f>"4000108333"</f>
        <v>4000108333</v>
      </c>
      <c r="E858" s="1" t="s">
        <v>53</v>
      </c>
      <c r="F858" s="1" t="str">
        <f>"0000"</f>
        <v>0000</v>
      </c>
      <c r="G858" s="1" t="str">
        <f>""</f>
        <v/>
      </c>
      <c r="H858" s="1" t="str">
        <f>"1010"</f>
        <v>1010</v>
      </c>
      <c r="I858" s="1" t="s">
        <v>148</v>
      </c>
      <c r="J858" s="1" t="str">
        <f>"13718091869"</f>
        <v>13718091869</v>
      </c>
      <c r="K858" s="1" t="str">
        <f>"2017-04-06 14:32:19"</f>
        <v>2017-04-06 14:32:19</v>
      </c>
      <c r="L858" s="1" t="str">
        <f>"2017-04-06 14:32:59"</f>
        <v>2017-04-06 14:32:59</v>
      </c>
      <c r="M858" s="2">
        <v>6.5856481481481469E-3</v>
      </c>
      <c r="N858" s="1" t="s">
        <v>26</v>
      </c>
      <c r="O858" s="1" t="s">
        <v>27</v>
      </c>
      <c r="P858" s="2">
        <v>7.0486111111111105E-3</v>
      </c>
      <c r="Q858" s="1" t="s">
        <v>747</v>
      </c>
      <c r="R858" s="1">
        <v>1.32</v>
      </c>
      <c r="S858" s="1" t="str">
        <f>""</f>
        <v/>
      </c>
      <c r="T858" s="1" t="s">
        <v>29</v>
      </c>
      <c r="U858" s="1" t="s">
        <v>30</v>
      </c>
      <c r="V858" s="1">
        <v>0</v>
      </c>
    </row>
    <row r="859" spans="2:22" x14ac:dyDescent="0.15">
      <c r="B859" s="1" t="str">
        <f>"137****5949"</f>
        <v>137****5949</v>
      </c>
      <c r="C859" s="1" t="s">
        <v>23</v>
      </c>
      <c r="D859" s="1" t="str">
        <f t="shared" ref="D859:D873" si="87">"89177328"</f>
        <v>89177328</v>
      </c>
      <c r="E859" s="1" t="s">
        <v>24</v>
      </c>
      <c r="F859" s="1" t="str">
        <f t="shared" ref="F859:F873" si="88">"0010"</f>
        <v>0010</v>
      </c>
      <c r="G859" s="1" t="str">
        <f>""</f>
        <v/>
      </c>
      <c r="H859" s="1" t="str">
        <f>"0033"</f>
        <v>0033</v>
      </c>
      <c r="I859" s="1" t="s">
        <v>106</v>
      </c>
      <c r="J859" s="1" t="str">
        <f>"01043977567"</f>
        <v>01043977567</v>
      </c>
      <c r="K859" s="1" t="str">
        <f>"2017-04-06 14:32:05"</f>
        <v>2017-04-06 14:32:05</v>
      </c>
      <c r="L859" s="1" t="str">
        <f>"2017-04-06 14:32:16"</f>
        <v>2017-04-06 14:32:16</v>
      </c>
      <c r="M859" s="2">
        <v>8.2175925925925917E-4</v>
      </c>
      <c r="N859" s="1" t="s">
        <v>26</v>
      </c>
      <c r="O859" s="1" t="s">
        <v>27</v>
      </c>
      <c r="P859" s="2">
        <v>9.4907407407407408E-4</v>
      </c>
      <c r="Q859" s="1" t="s">
        <v>748</v>
      </c>
      <c r="R859" s="1">
        <v>0</v>
      </c>
      <c r="S859" s="1" t="str">
        <f>""</f>
        <v/>
      </c>
      <c r="T859" s="1" t="s">
        <v>29</v>
      </c>
      <c r="U859" s="1" t="s">
        <v>30</v>
      </c>
      <c r="V859" s="1">
        <v>0</v>
      </c>
    </row>
    <row r="860" spans="2:22" x14ac:dyDescent="0.15">
      <c r="B860" s="1" t="str">
        <f>"150****6723"</f>
        <v>150****6723</v>
      </c>
      <c r="C860" s="1" t="s">
        <v>23</v>
      </c>
      <c r="D860" s="1" t="str">
        <f t="shared" si="87"/>
        <v>89177328</v>
      </c>
      <c r="E860" s="1" t="s">
        <v>24</v>
      </c>
      <c r="F860" s="1" t="str">
        <f t="shared" si="88"/>
        <v>0010</v>
      </c>
      <c r="G860" s="1" t="str">
        <f>""</f>
        <v/>
      </c>
      <c r="H860" s="1" t="str">
        <f>"0031"</f>
        <v>0031</v>
      </c>
      <c r="I860" s="1" t="s">
        <v>95</v>
      </c>
      <c r="J860" s="1" t="str">
        <f>"01043977565"</f>
        <v>01043977565</v>
      </c>
      <c r="K860" s="1" t="str">
        <f>"2017-04-06 14:27:03"</f>
        <v>2017-04-06 14:27:03</v>
      </c>
      <c r="L860" s="1" t="str">
        <f>"2017-04-06 14:27:12"</f>
        <v>2017-04-06 14:27:12</v>
      </c>
      <c r="M860" s="2">
        <v>1.9444444444444442E-3</v>
      </c>
      <c r="N860" s="1" t="s">
        <v>26</v>
      </c>
      <c r="O860" s="1" t="s">
        <v>27</v>
      </c>
      <c r="P860" s="2">
        <v>2.0486111111111113E-3</v>
      </c>
      <c r="Q860" s="1" t="s">
        <v>749</v>
      </c>
      <c r="R860" s="1">
        <v>0</v>
      </c>
      <c r="S860" s="1" t="str">
        <f>""</f>
        <v/>
      </c>
      <c r="T860" s="1" t="s">
        <v>29</v>
      </c>
      <c r="U860" s="1" t="s">
        <v>30</v>
      </c>
      <c r="V860" s="1">
        <v>0</v>
      </c>
    </row>
    <row r="861" spans="2:22" x14ac:dyDescent="0.15">
      <c r="B861" s="1" t="str">
        <f>"158****0802"</f>
        <v>158****0802</v>
      </c>
      <c r="C861" s="1" t="s">
        <v>23</v>
      </c>
      <c r="D861" s="1" t="str">
        <f t="shared" si="87"/>
        <v>89177328</v>
      </c>
      <c r="E861" s="1" t="s">
        <v>24</v>
      </c>
      <c r="F861" s="1" t="str">
        <f t="shared" si="88"/>
        <v>0010</v>
      </c>
      <c r="G861" s="1" t="str">
        <f>""</f>
        <v/>
      </c>
      <c r="H861" s="1" t="str">
        <f>"0033"</f>
        <v>0033</v>
      </c>
      <c r="I861" s="1" t="s">
        <v>106</v>
      </c>
      <c r="J861" s="1" t="str">
        <f>"01043977567"</f>
        <v>01043977567</v>
      </c>
      <c r="K861" s="1" t="str">
        <f>"2017-04-06 14:19:53"</f>
        <v>2017-04-06 14:19:53</v>
      </c>
      <c r="L861" s="1" t="str">
        <f>"2017-04-06 14:20:01"</f>
        <v>2017-04-06 14:20:01</v>
      </c>
      <c r="M861" s="2">
        <v>5.162037037037037E-3</v>
      </c>
      <c r="N861" s="1" t="s">
        <v>26</v>
      </c>
      <c r="O861" s="1" t="s">
        <v>27</v>
      </c>
      <c r="P861" s="2">
        <v>5.2546296296296299E-3</v>
      </c>
      <c r="Q861" s="1" t="s">
        <v>750</v>
      </c>
      <c r="R861" s="1">
        <v>0</v>
      </c>
      <c r="S861" s="1" t="str">
        <f>""</f>
        <v/>
      </c>
      <c r="T861" s="1" t="s">
        <v>29</v>
      </c>
      <c r="U861" s="1" t="s">
        <v>30</v>
      </c>
      <c r="V861" s="1">
        <v>0</v>
      </c>
    </row>
    <row r="862" spans="2:22" x14ac:dyDescent="0.15">
      <c r="B862" s="1" t="str">
        <f>"010****0802"</f>
        <v>010****0802</v>
      </c>
      <c r="C862" s="1" t="s">
        <v>23</v>
      </c>
      <c r="D862" s="1" t="str">
        <f t="shared" si="87"/>
        <v>89177328</v>
      </c>
      <c r="E862" s="1" t="s">
        <v>24</v>
      </c>
      <c r="F862" s="1" t="str">
        <f t="shared" si="88"/>
        <v>0010</v>
      </c>
      <c r="G862" s="1" t="str">
        <f>""</f>
        <v/>
      </c>
      <c r="H862" s="1" t="str">
        <f>"0010"</f>
        <v>0010</v>
      </c>
      <c r="I862" s="1" t="s">
        <v>71</v>
      </c>
      <c r="J862" s="1" t="str">
        <f>"01043977571"</f>
        <v>01043977571</v>
      </c>
      <c r="K862" s="1" t="str">
        <f>"2017-04-06 14:18:03"</f>
        <v>2017-04-06 14:18:03</v>
      </c>
      <c r="L862" s="1" t="str">
        <f>"2017-04-06 14:18:13"</f>
        <v>2017-04-06 14:18:13</v>
      </c>
      <c r="M862" s="2">
        <v>6.5740740740740733E-3</v>
      </c>
      <c r="N862" s="1" t="s">
        <v>26</v>
      </c>
      <c r="O862" s="1" t="s">
        <v>27</v>
      </c>
      <c r="P862" s="2">
        <v>6.6898148148148142E-3</v>
      </c>
      <c r="Q862" s="1" t="s">
        <v>751</v>
      </c>
      <c r="R862" s="1">
        <v>0</v>
      </c>
      <c r="S862" s="1" t="str">
        <f>""</f>
        <v/>
      </c>
      <c r="T862" s="1" t="s">
        <v>29</v>
      </c>
      <c r="U862" s="1" t="s">
        <v>30</v>
      </c>
      <c r="V862" s="1">
        <v>0</v>
      </c>
    </row>
    <row r="863" spans="2:22" x14ac:dyDescent="0.15">
      <c r="B863" s="1" t="str">
        <f>"010****0721"</f>
        <v>010****0721</v>
      </c>
      <c r="C863" s="1" t="s">
        <v>23</v>
      </c>
      <c r="D863" s="1" t="str">
        <f t="shared" si="87"/>
        <v>89177328</v>
      </c>
      <c r="E863" s="1" t="s">
        <v>24</v>
      </c>
      <c r="F863" s="1" t="str">
        <f t="shared" si="88"/>
        <v>0010</v>
      </c>
      <c r="G863" s="1" t="str">
        <f>""</f>
        <v/>
      </c>
      <c r="H863" s="1" t="str">
        <f>"0033"</f>
        <v>0033</v>
      </c>
      <c r="I863" s="1" t="s">
        <v>106</v>
      </c>
      <c r="J863" s="1" t="str">
        <f>"01043977567"</f>
        <v>01043977567</v>
      </c>
      <c r="K863" s="1" t="str">
        <f>"2017-04-06 13:52:30"</f>
        <v>2017-04-06 13:52:30</v>
      </c>
      <c r="L863" s="1" t="str">
        <f>"2017-04-06 13:52:42"</f>
        <v>2017-04-06 13:52:42</v>
      </c>
      <c r="M863" s="2">
        <v>9.5023148148148159E-3</v>
      </c>
      <c r="N863" s="1" t="s">
        <v>26</v>
      </c>
      <c r="O863" s="1" t="s">
        <v>27</v>
      </c>
      <c r="P863" s="2">
        <v>9.6412037037037039E-3</v>
      </c>
      <c r="Q863" s="1" t="s">
        <v>752</v>
      </c>
      <c r="R863" s="1">
        <v>0</v>
      </c>
      <c r="S863" s="1" t="str">
        <f>""</f>
        <v/>
      </c>
      <c r="T863" s="1" t="s">
        <v>29</v>
      </c>
      <c r="U863" s="1" t="s">
        <v>30</v>
      </c>
      <c r="V863" s="1">
        <v>0</v>
      </c>
    </row>
    <row r="864" spans="2:22" x14ac:dyDescent="0.15">
      <c r="B864" s="1" t="str">
        <f>"159****2008"</f>
        <v>159****2008</v>
      </c>
      <c r="C864" s="1" t="s">
        <v>97</v>
      </c>
      <c r="D864" s="1" t="str">
        <f t="shared" si="87"/>
        <v>89177328</v>
      </c>
      <c r="E864" s="1" t="s">
        <v>24</v>
      </c>
      <c r="F864" s="1" t="str">
        <f t="shared" si="88"/>
        <v>0010</v>
      </c>
      <c r="G864" s="1" t="str">
        <f>""</f>
        <v/>
      </c>
      <c r="H864" s="1" t="str">
        <f>"0031"</f>
        <v>0031</v>
      </c>
      <c r="I864" s="1" t="s">
        <v>95</v>
      </c>
      <c r="J864" s="1" t="str">
        <f>"01043977565"</f>
        <v>01043977565</v>
      </c>
      <c r="K864" s="1" t="str">
        <f>"2017-04-06 13:36:57"</f>
        <v>2017-04-06 13:36:57</v>
      </c>
      <c r="L864" s="1" t="str">
        <f>"2017-04-06 13:37:06"</f>
        <v>2017-04-06 13:37:06</v>
      </c>
      <c r="M864" s="2">
        <v>1.315972222222222E-2</v>
      </c>
      <c r="N864" s="1" t="s">
        <v>26</v>
      </c>
      <c r="O864" s="1" t="s">
        <v>27</v>
      </c>
      <c r="P864" s="2">
        <v>1.3263888888888889E-2</v>
      </c>
      <c r="Q864" s="1" t="s">
        <v>753</v>
      </c>
      <c r="R864" s="1">
        <v>0</v>
      </c>
      <c r="S864" s="1" t="str">
        <f>""</f>
        <v/>
      </c>
      <c r="T864" s="1" t="s">
        <v>29</v>
      </c>
      <c r="U864" s="1" t="s">
        <v>30</v>
      </c>
      <c r="V864" s="1">
        <v>0</v>
      </c>
    </row>
    <row r="865" spans="2:22" x14ac:dyDescent="0.15">
      <c r="B865" s="1" t="str">
        <f>"158****6598"</f>
        <v>158****6598</v>
      </c>
      <c r="C865" s="1" t="s">
        <v>23</v>
      </c>
      <c r="D865" s="1" t="str">
        <f t="shared" si="87"/>
        <v>89177328</v>
      </c>
      <c r="E865" s="1" t="s">
        <v>24</v>
      </c>
      <c r="F865" s="1" t="str">
        <f t="shared" si="88"/>
        <v>0010</v>
      </c>
      <c r="G865" s="1" t="str">
        <f>""</f>
        <v/>
      </c>
      <c r="H865" s="1" t="str">
        <f>"0010"</f>
        <v>0010</v>
      </c>
      <c r="I865" s="1" t="s">
        <v>71</v>
      </c>
      <c r="J865" s="1" t="str">
        <f>"01043977571"</f>
        <v>01043977571</v>
      </c>
      <c r="K865" s="1" t="str">
        <f>"2017-04-06 13:32:27"</f>
        <v>2017-04-06 13:32:27</v>
      </c>
      <c r="L865" s="1" t="str">
        <f>"2017-04-06 13:32:37"</f>
        <v>2017-04-06 13:32:37</v>
      </c>
      <c r="M865" s="2">
        <v>2.1527777777777781E-2</v>
      </c>
      <c r="N865" s="1" t="s">
        <v>26</v>
      </c>
      <c r="O865" s="1" t="s">
        <v>27</v>
      </c>
      <c r="P865" s="2">
        <v>2.164351851851852E-2</v>
      </c>
      <c r="Q865" s="1" t="s">
        <v>754</v>
      </c>
      <c r="R865" s="1">
        <v>0</v>
      </c>
      <c r="S865" s="1" t="str">
        <f>""</f>
        <v/>
      </c>
      <c r="T865" s="1" t="s">
        <v>29</v>
      </c>
      <c r="U865" s="1" t="s">
        <v>30</v>
      </c>
      <c r="V865" s="1">
        <v>0</v>
      </c>
    </row>
    <row r="866" spans="2:22" x14ac:dyDescent="0.15">
      <c r="B866" s="1" t="str">
        <f>"185****2201"</f>
        <v>185****2201</v>
      </c>
      <c r="C866" s="1" t="s">
        <v>23</v>
      </c>
      <c r="D866" s="1" t="str">
        <f t="shared" si="87"/>
        <v>89177328</v>
      </c>
      <c r="E866" s="1" t="s">
        <v>24</v>
      </c>
      <c r="F866" s="1" t="str">
        <f t="shared" si="88"/>
        <v>0010</v>
      </c>
      <c r="G866" s="1" t="str">
        <f>""</f>
        <v/>
      </c>
      <c r="H866" s="1" t="str">
        <f>"0031"</f>
        <v>0031</v>
      </c>
      <c r="I866" s="1" t="s">
        <v>95</v>
      </c>
      <c r="J866" s="1" t="str">
        <f>"01043977565"</f>
        <v>01043977565</v>
      </c>
      <c r="K866" s="1" t="str">
        <f>"2017-04-06 13:22:44"</f>
        <v>2017-04-06 13:22:44</v>
      </c>
      <c r="L866" s="1" t="str">
        <f>"2017-04-06 13:22:53"</f>
        <v>2017-04-06 13:22:53</v>
      </c>
      <c r="M866" s="2">
        <v>8.0324074074074065E-3</v>
      </c>
      <c r="N866" s="1" t="s">
        <v>26</v>
      </c>
      <c r="O866" s="1" t="s">
        <v>34</v>
      </c>
      <c r="P866" s="2">
        <v>8.1365740740740738E-3</v>
      </c>
      <c r="Q866" s="1" t="s">
        <v>755</v>
      </c>
      <c r="R866" s="1">
        <v>0</v>
      </c>
      <c r="S866" s="1" t="str">
        <f>""</f>
        <v/>
      </c>
      <c r="T866" s="1" t="s">
        <v>29</v>
      </c>
      <c r="U866" s="1" t="s">
        <v>30</v>
      </c>
      <c r="V866" s="1">
        <v>0</v>
      </c>
    </row>
    <row r="867" spans="2:22" x14ac:dyDescent="0.15">
      <c r="B867" s="1" t="str">
        <f>"010****1502"</f>
        <v>010****1502</v>
      </c>
      <c r="C867" s="1" t="s">
        <v>23</v>
      </c>
      <c r="D867" s="1" t="str">
        <f t="shared" si="87"/>
        <v>89177328</v>
      </c>
      <c r="E867" s="1" t="s">
        <v>24</v>
      </c>
      <c r="F867" s="1" t="str">
        <f t="shared" si="88"/>
        <v>0010</v>
      </c>
      <c r="G867" s="1" t="str">
        <f>""</f>
        <v/>
      </c>
      <c r="H867" s="1" t="str">
        <f>"0010"</f>
        <v>0010</v>
      </c>
      <c r="I867" s="1" t="s">
        <v>71</v>
      </c>
      <c r="J867" s="1" t="str">
        <f>"01043977571"</f>
        <v>01043977571</v>
      </c>
      <c r="K867" s="1" t="str">
        <f>"2017-04-06 13:09:12"</f>
        <v>2017-04-06 13:09:12</v>
      </c>
      <c r="L867" s="1" t="str">
        <f>"2017-04-06 13:09:27"</f>
        <v>2017-04-06 13:09:27</v>
      </c>
      <c r="M867" s="2">
        <v>8.1018518518518514E-3</v>
      </c>
      <c r="N867" s="1" t="s">
        <v>26</v>
      </c>
      <c r="O867" s="1" t="s">
        <v>34</v>
      </c>
      <c r="P867" s="2">
        <v>8.2754629629629619E-3</v>
      </c>
      <c r="Q867" s="1" t="s">
        <v>756</v>
      </c>
      <c r="R867" s="1">
        <v>0</v>
      </c>
      <c r="S867" s="1" t="str">
        <f>""</f>
        <v/>
      </c>
      <c r="T867" s="1" t="s">
        <v>29</v>
      </c>
      <c r="U867" s="1" t="s">
        <v>30</v>
      </c>
      <c r="V867" s="1">
        <v>0</v>
      </c>
    </row>
    <row r="868" spans="2:22" x14ac:dyDescent="0.15">
      <c r="B868" s="1" t="str">
        <f>"135****9033"</f>
        <v>135****9033</v>
      </c>
      <c r="C868" s="1" t="s">
        <v>241</v>
      </c>
      <c r="D868" s="1" t="str">
        <f t="shared" si="87"/>
        <v>89177328</v>
      </c>
      <c r="E868" s="1" t="s">
        <v>24</v>
      </c>
      <c r="F868" s="1" t="str">
        <f t="shared" si="88"/>
        <v>0010</v>
      </c>
      <c r="G868" s="1" t="str">
        <f>""</f>
        <v/>
      </c>
      <c r="H868" s="1" t="str">
        <f>"0033"</f>
        <v>0033</v>
      </c>
      <c r="I868" s="1" t="s">
        <v>106</v>
      </c>
      <c r="J868" s="1" t="str">
        <f>"01043977567"</f>
        <v>01043977567</v>
      </c>
      <c r="K868" s="1" t="str">
        <f>"2017-04-06 12:58:48"</f>
        <v>2017-04-06 12:58:48</v>
      </c>
      <c r="L868" s="1" t="str">
        <f>"2017-04-06 12:58:58"</f>
        <v>2017-04-06 12:58:58</v>
      </c>
      <c r="M868" s="2">
        <v>2.4120370370370372E-2</v>
      </c>
      <c r="N868" s="1" t="s">
        <v>26</v>
      </c>
      <c r="O868" s="1" t="s">
        <v>27</v>
      </c>
      <c r="P868" s="2">
        <v>2.4236111111111111E-2</v>
      </c>
      <c r="Q868" s="1" t="s">
        <v>757</v>
      </c>
      <c r="R868" s="1">
        <v>0</v>
      </c>
      <c r="S868" s="1" t="str">
        <f>""</f>
        <v/>
      </c>
      <c r="T868" s="1" t="s">
        <v>29</v>
      </c>
      <c r="U868" s="1" t="s">
        <v>30</v>
      </c>
      <c r="V868" s="1">
        <v>0</v>
      </c>
    </row>
    <row r="869" spans="2:22" x14ac:dyDescent="0.15">
      <c r="B869" s="1" t="str">
        <f>"177****3648"</f>
        <v>177****3648</v>
      </c>
      <c r="C869" s="1" t="s">
        <v>291</v>
      </c>
      <c r="D869" s="1" t="str">
        <f t="shared" si="87"/>
        <v>89177328</v>
      </c>
      <c r="E869" s="1" t="s">
        <v>24</v>
      </c>
      <c r="F869" s="1" t="str">
        <f t="shared" si="88"/>
        <v>0010</v>
      </c>
      <c r="G869" s="1" t="str">
        <f>""</f>
        <v/>
      </c>
      <c r="H869" s="1" t="str">
        <f>"0035"</f>
        <v>0035</v>
      </c>
      <c r="I869" s="1" t="s">
        <v>25</v>
      </c>
      <c r="J869" s="1" t="str">
        <f>"01043977569"</f>
        <v>01043977569</v>
      </c>
      <c r="K869" s="1" t="str">
        <f>"2017-04-06 12:49:00"</f>
        <v>2017-04-06 12:49:00</v>
      </c>
      <c r="L869" s="1" t="str">
        <f>"2017-04-06 12:49:10"</f>
        <v>2017-04-06 12:49:10</v>
      </c>
      <c r="M869" s="2">
        <v>5.8217592592592592E-3</v>
      </c>
      <c r="N869" s="1" t="s">
        <v>26</v>
      </c>
      <c r="O869" s="1" t="s">
        <v>27</v>
      </c>
      <c r="P869" s="2">
        <v>5.9375000000000009E-3</v>
      </c>
      <c r="Q869" s="1" t="s">
        <v>758</v>
      </c>
      <c r="R869" s="1">
        <v>0</v>
      </c>
      <c r="S869" s="1" t="str">
        <f>""</f>
        <v/>
      </c>
      <c r="T869" s="1" t="s">
        <v>29</v>
      </c>
      <c r="U869" s="1" t="s">
        <v>30</v>
      </c>
      <c r="V869" s="1">
        <v>0</v>
      </c>
    </row>
    <row r="870" spans="2:22" x14ac:dyDescent="0.15">
      <c r="B870" s="1" t="str">
        <f>"185****8651"</f>
        <v>185****8651</v>
      </c>
      <c r="C870" s="1" t="s">
        <v>23</v>
      </c>
      <c r="D870" s="1" t="str">
        <f t="shared" si="87"/>
        <v>89177328</v>
      </c>
      <c r="E870" s="1" t="s">
        <v>24</v>
      </c>
      <c r="F870" s="1" t="str">
        <f t="shared" si="88"/>
        <v>0010</v>
      </c>
      <c r="G870" s="1" t="str">
        <f>""</f>
        <v/>
      </c>
      <c r="H870" s="1" t="str">
        <f>"0031"</f>
        <v>0031</v>
      </c>
      <c r="I870" s="1" t="s">
        <v>95</v>
      </c>
      <c r="J870" s="1" t="str">
        <f>"01043977565"</f>
        <v>01043977565</v>
      </c>
      <c r="K870" s="1" t="str">
        <f>"2017-04-06 12:46:01"</f>
        <v>2017-04-06 12:46:01</v>
      </c>
      <c r="L870" s="1" t="str">
        <f>"2017-04-06 12:46:08"</f>
        <v>2017-04-06 12:46:08</v>
      </c>
      <c r="M870" s="2">
        <v>1.4386574074074072E-2</v>
      </c>
      <c r="N870" s="1" t="s">
        <v>26</v>
      </c>
      <c r="O870" s="1" t="s">
        <v>27</v>
      </c>
      <c r="P870" s="2">
        <v>1.4467592592592593E-2</v>
      </c>
      <c r="Q870" s="1" t="s">
        <v>759</v>
      </c>
      <c r="R870" s="1">
        <v>0</v>
      </c>
      <c r="S870" s="1" t="str">
        <f>""</f>
        <v/>
      </c>
      <c r="T870" s="1" t="s">
        <v>29</v>
      </c>
      <c r="U870" s="1" t="s">
        <v>30</v>
      </c>
      <c r="V870" s="1">
        <v>0</v>
      </c>
    </row>
    <row r="871" spans="2:22" x14ac:dyDescent="0.15">
      <c r="B871" s="1" t="str">
        <f>"010****3270"</f>
        <v>010****3270</v>
      </c>
      <c r="C871" s="1" t="s">
        <v>23</v>
      </c>
      <c r="D871" s="1" t="str">
        <f t="shared" si="87"/>
        <v>89177328</v>
      </c>
      <c r="E871" s="1" t="s">
        <v>24</v>
      </c>
      <c r="F871" s="1" t="str">
        <f t="shared" si="88"/>
        <v>0010</v>
      </c>
      <c r="G871" s="1" t="str">
        <f>""</f>
        <v/>
      </c>
      <c r="H871" s="1" t="str">
        <f>"0012"</f>
        <v>0012</v>
      </c>
      <c r="I871" s="1" t="s">
        <v>612</v>
      </c>
      <c r="J871" s="1" t="str">
        <f>"01043989720"</f>
        <v>01043989720</v>
      </c>
      <c r="K871" s="1" t="str">
        <f>"2017-04-06 12:44:33"</f>
        <v>2017-04-06 12:44:33</v>
      </c>
      <c r="L871" s="1" t="str">
        <f>"2017-04-06 12:44:47"</f>
        <v>2017-04-06 12:44:47</v>
      </c>
      <c r="M871" s="2">
        <v>3.6574074074074074E-3</v>
      </c>
      <c r="N871" s="1" t="s">
        <v>26</v>
      </c>
      <c r="O871" s="1" t="s">
        <v>34</v>
      </c>
      <c r="P871" s="2">
        <v>3.8194444444444443E-3</v>
      </c>
      <c r="Q871" s="1" t="s">
        <v>760</v>
      </c>
      <c r="R871" s="1">
        <v>0</v>
      </c>
      <c r="S871" s="1" t="str">
        <f>""</f>
        <v/>
      </c>
      <c r="T871" s="1" t="s">
        <v>29</v>
      </c>
      <c r="U871" s="1" t="s">
        <v>30</v>
      </c>
      <c r="V871" s="1">
        <v>0</v>
      </c>
    </row>
    <row r="872" spans="2:22" x14ac:dyDescent="0.15">
      <c r="B872" s="1" t="str">
        <f>"010****1041"</f>
        <v>010****1041</v>
      </c>
      <c r="C872" s="1" t="s">
        <v>23</v>
      </c>
      <c r="D872" s="1" t="str">
        <f t="shared" si="87"/>
        <v>89177328</v>
      </c>
      <c r="E872" s="1" t="s">
        <v>24</v>
      </c>
      <c r="F872" s="1" t="str">
        <f t="shared" si="88"/>
        <v>0010</v>
      </c>
      <c r="G872" s="1" t="str">
        <f>""</f>
        <v/>
      </c>
      <c r="H872" s="1" t="str">
        <f>"0036"</f>
        <v>0036</v>
      </c>
      <c r="I872" s="1" t="s">
        <v>143</v>
      </c>
      <c r="J872" s="1" t="str">
        <f>"01043977573"</f>
        <v>01043977573</v>
      </c>
      <c r="K872" s="1" t="str">
        <f>"2017-04-06 12:34:59"</f>
        <v>2017-04-06 12:34:59</v>
      </c>
      <c r="L872" s="1" t="str">
        <f>"2017-04-06 12:35:10"</f>
        <v>2017-04-06 12:35:10</v>
      </c>
      <c r="M872" s="2">
        <v>1.1388888888888888E-2</v>
      </c>
      <c r="N872" s="1" t="s">
        <v>26</v>
      </c>
      <c r="O872" s="1" t="s">
        <v>34</v>
      </c>
      <c r="P872" s="2">
        <v>1.1516203703703702E-2</v>
      </c>
      <c r="Q872" s="1" t="s">
        <v>761</v>
      </c>
      <c r="R872" s="1">
        <v>0</v>
      </c>
      <c r="S872" s="1" t="str">
        <f>""</f>
        <v/>
      </c>
      <c r="T872" s="1" t="s">
        <v>29</v>
      </c>
      <c r="U872" s="1" t="s">
        <v>30</v>
      </c>
      <c r="V872" s="1">
        <v>0</v>
      </c>
    </row>
    <row r="873" spans="2:22" x14ac:dyDescent="0.15">
      <c r="B873" s="1" t="str">
        <f>"147****8600"</f>
        <v>147****8600</v>
      </c>
      <c r="C873" s="1" t="s">
        <v>126</v>
      </c>
      <c r="D873" s="1" t="str">
        <f t="shared" si="87"/>
        <v>89177328</v>
      </c>
      <c r="E873" s="1" t="s">
        <v>24</v>
      </c>
      <c r="F873" s="1" t="str">
        <f t="shared" si="88"/>
        <v>0010</v>
      </c>
      <c r="G873" s="1" t="str">
        <f>""</f>
        <v/>
      </c>
      <c r="H873" s="1" t="str">
        <f>"0034"</f>
        <v>0034</v>
      </c>
      <c r="I873" s="1" t="s">
        <v>31</v>
      </c>
      <c r="J873" s="1" t="str">
        <f>"01043977568"</f>
        <v>01043977568</v>
      </c>
      <c r="K873" s="1" t="str">
        <f>"2017-04-06 12:32:23"</f>
        <v>2017-04-06 12:32:23</v>
      </c>
      <c r="L873" s="1" t="str">
        <f>"2017-04-06 12:32:34"</f>
        <v>2017-04-06 12:32:34</v>
      </c>
      <c r="M873" s="2">
        <v>3.3217592592592591E-3</v>
      </c>
      <c r="N873" s="1" t="s">
        <v>26</v>
      </c>
      <c r="O873" s="1" t="s">
        <v>34</v>
      </c>
      <c r="P873" s="2">
        <v>3.4490740740740745E-3</v>
      </c>
      <c r="Q873" s="1" t="s">
        <v>762</v>
      </c>
      <c r="R873" s="1">
        <v>0</v>
      </c>
      <c r="S873" s="1" t="str">
        <f>""</f>
        <v/>
      </c>
      <c r="T873" s="1" t="s">
        <v>29</v>
      </c>
      <c r="U873" s="1" t="s">
        <v>30</v>
      </c>
      <c r="V873" s="1">
        <v>0</v>
      </c>
    </row>
    <row r="874" spans="2:22" x14ac:dyDescent="0.15">
      <c r="B874" s="1" t="str">
        <f>"173****3095"</f>
        <v>173****3095</v>
      </c>
      <c r="C874" s="1" t="s">
        <v>23</v>
      </c>
      <c r="D874" s="1" t="str">
        <f>"4000108333"</f>
        <v>4000108333</v>
      </c>
      <c r="E874" s="1" t="s">
        <v>53</v>
      </c>
      <c r="F874" s="1" t="str">
        <f>"0000"</f>
        <v>0000</v>
      </c>
      <c r="G874" s="1" t="str">
        <f>""</f>
        <v/>
      </c>
      <c r="H874" s="1" t="str">
        <f>"1010"</f>
        <v>1010</v>
      </c>
      <c r="I874" s="1" t="s">
        <v>148</v>
      </c>
      <c r="J874" s="1" t="str">
        <f>"13718091869"</f>
        <v>13718091869</v>
      </c>
      <c r="K874" s="1" t="str">
        <f>"2017-04-06 12:29:38"</f>
        <v>2017-04-06 12:29:38</v>
      </c>
      <c r="L874" s="1" t="str">
        <f>"2017-04-06 12:30:21"</f>
        <v>2017-04-06 12:30:21</v>
      </c>
      <c r="M874" s="2">
        <v>1.5011574074074075E-2</v>
      </c>
      <c r="N874" s="1" t="s">
        <v>26</v>
      </c>
      <c r="O874" s="1" t="s">
        <v>27</v>
      </c>
      <c r="P874" s="2">
        <v>1.5509259259259257E-2</v>
      </c>
      <c r="Q874" s="1" t="s">
        <v>763</v>
      </c>
      <c r="R874" s="1">
        <v>2.76</v>
      </c>
      <c r="S874" s="1" t="str">
        <f>""</f>
        <v/>
      </c>
      <c r="T874" s="1" t="s">
        <v>29</v>
      </c>
      <c r="U874" s="1" t="s">
        <v>30</v>
      </c>
      <c r="V874" s="1">
        <v>0</v>
      </c>
    </row>
    <row r="875" spans="2:22" x14ac:dyDescent="0.15">
      <c r="B875" s="1" t="str">
        <f>"130****3847"</f>
        <v>130****3847</v>
      </c>
      <c r="C875" s="1" t="s">
        <v>23</v>
      </c>
      <c r="D875" s="1" t="str">
        <f t="shared" ref="D875:D919" si="89">"89177328"</f>
        <v>89177328</v>
      </c>
      <c r="E875" s="1" t="s">
        <v>24</v>
      </c>
      <c r="F875" s="1" t="str">
        <f t="shared" ref="F875:F901" si="90">"0010"</f>
        <v>0010</v>
      </c>
      <c r="G875" s="1" t="str">
        <f>""</f>
        <v/>
      </c>
      <c r="H875" s="1" t="str">
        <f>"0031"</f>
        <v>0031</v>
      </c>
      <c r="I875" s="1" t="s">
        <v>95</v>
      </c>
      <c r="J875" s="1" t="str">
        <f>"01043977565"</f>
        <v>01043977565</v>
      </c>
      <c r="K875" s="1" t="str">
        <f>"2017-04-06 12:01:31"</f>
        <v>2017-04-06 12:01:31</v>
      </c>
      <c r="L875" s="1" t="str">
        <f>"2017-04-06 12:01:41"</f>
        <v>2017-04-06 12:01:41</v>
      </c>
      <c r="M875" s="2">
        <v>1.5011574074074075E-2</v>
      </c>
      <c r="N875" s="1" t="s">
        <v>26</v>
      </c>
      <c r="O875" s="1" t="s">
        <v>27</v>
      </c>
      <c r="P875" s="2">
        <v>1.5127314814814816E-2</v>
      </c>
      <c r="Q875" s="1" t="s">
        <v>764</v>
      </c>
      <c r="R875" s="1">
        <v>0</v>
      </c>
      <c r="S875" s="1" t="str">
        <f>""</f>
        <v/>
      </c>
      <c r="T875" s="1" t="s">
        <v>29</v>
      </c>
      <c r="U875" s="1" t="s">
        <v>30</v>
      </c>
      <c r="V875" s="1">
        <v>0</v>
      </c>
    </row>
    <row r="876" spans="2:22" x14ac:dyDescent="0.15">
      <c r="B876" s="1" t="str">
        <f>"185****0058"</f>
        <v>185****0058</v>
      </c>
      <c r="C876" s="1" t="s">
        <v>23</v>
      </c>
      <c r="D876" s="1" t="str">
        <f t="shared" si="89"/>
        <v>89177328</v>
      </c>
      <c r="E876" s="1" t="s">
        <v>24</v>
      </c>
      <c r="F876" s="1" t="str">
        <f t="shared" si="90"/>
        <v>0010</v>
      </c>
      <c r="G876" s="1" t="str">
        <f>""</f>
        <v/>
      </c>
      <c r="H876" s="1" t="str">
        <f>"0033"</f>
        <v>0033</v>
      </c>
      <c r="I876" s="1" t="s">
        <v>106</v>
      </c>
      <c r="J876" s="1" t="str">
        <f>"01043977567"</f>
        <v>01043977567</v>
      </c>
      <c r="K876" s="1" t="str">
        <f>"2017-04-06 11:58:15"</f>
        <v>2017-04-06 11:58:15</v>
      </c>
      <c r="L876" s="1" t="str">
        <f>"2017-04-06 11:58:25"</f>
        <v>2017-04-06 11:58:25</v>
      </c>
      <c r="M876" s="2">
        <v>1.1458333333333334E-2</v>
      </c>
      <c r="N876" s="1" t="s">
        <v>26</v>
      </c>
      <c r="O876" s="1" t="s">
        <v>27</v>
      </c>
      <c r="P876" s="2">
        <v>1.1574074074074075E-2</v>
      </c>
      <c r="Q876" s="1" t="s">
        <v>765</v>
      </c>
      <c r="R876" s="1">
        <v>0</v>
      </c>
      <c r="S876" s="1" t="str">
        <f>""</f>
        <v/>
      </c>
      <c r="T876" s="1" t="s">
        <v>29</v>
      </c>
      <c r="U876" s="1" t="s">
        <v>30</v>
      </c>
      <c r="V876" s="1">
        <v>0</v>
      </c>
    </row>
    <row r="877" spans="2:22" x14ac:dyDescent="0.15">
      <c r="B877" s="1" t="str">
        <f>"133****9597"</f>
        <v>133****9597</v>
      </c>
      <c r="C877" s="1" t="s">
        <v>23</v>
      </c>
      <c r="D877" s="1" t="str">
        <f t="shared" si="89"/>
        <v>89177328</v>
      </c>
      <c r="E877" s="1" t="s">
        <v>24</v>
      </c>
      <c r="F877" s="1" t="str">
        <f t="shared" si="90"/>
        <v>0010</v>
      </c>
      <c r="G877" s="1" t="str">
        <f>""</f>
        <v/>
      </c>
      <c r="H877" s="1" t="str">
        <f>"0035"</f>
        <v>0035</v>
      </c>
      <c r="I877" s="1" t="s">
        <v>25</v>
      </c>
      <c r="J877" s="1" t="str">
        <f>"01043977569"</f>
        <v>01043977569</v>
      </c>
      <c r="K877" s="1" t="str">
        <f>"2017-04-06 11:43:58"</f>
        <v>2017-04-06 11:43:58</v>
      </c>
      <c r="L877" s="1" t="str">
        <f>"-"</f>
        <v>-</v>
      </c>
      <c r="M877" s="2">
        <v>0</v>
      </c>
      <c r="N877" s="1" t="s">
        <v>33</v>
      </c>
      <c r="O877" s="1" t="s">
        <v>34</v>
      </c>
      <c r="P877" s="2">
        <v>6.9444444444444444E-5</v>
      </c>
      <c r="Q877" s="1" t="str">
        <f>""</f>
        <v/>
      </c>
      <c r="R877" s="1">
        <v>0</v>
      </c>
      <c r="S877" s="1" t="str">
        <f>""</f>
        <v/>
      </c>
      <c r="T877" s="1" t="s">
        <v>29</v>
      </c>
      <c r="U877" s="1" t="s">
        <v>30</v>
      </c>
      <c r="V877" s="1">
        <v>0</v>
      </c>
    </row>
    <row r="878" spans="2:22" x14ac:dyDescent="0.15">
      <c r="B878" s="1" t="str">
        <f>"177****0206"</f>
        <v>177****0206</v>
      </c>
      <c r="C878" s="1" t="s">
        <v>23</v>
      </c>
      <c r="D878" s="1" t="str">
        <f t="shared" si="89"/>
        <v>89177328</v>
      </c>
      <c r="E878" s="1" t="s">
        <v>24</v>
      </c>
      <c r="F878" s="1" t="str">
        <f t="shared" si="90"/>
        <v>0010</v>
      </c>
      <c r="G878" s="1" t="str">
        <f>""</f>
        <v/>
      </c>
      <c r="H878" s="1" t="str">
        <f>"0034"</f>
        <v>0034</v>
      </c>
      <c r="I878" s="1" t="s">
        <v>31</v>
      </c>
      <c r="J878" s="1" t="str">
        <f>"01043977568"</f>
        <v>01043977568</v>
      </c>
      <c r="K878" s="1" t="str">
        <f>"2017-04-06 11:42:02"</f>
        <v>2017-04-06 11:42:02</v>
      </c>
      <c r="L878" s="1" t="str">
        <f>"-"</f>
        <v>-</v>
      </c>
      <c r="M878" s="2">
        <v>0</v>
      </c>
      <c r="N878" s="1" t="s">
        <v>33</v>
      </c>
      <c r="O878" s="1" t="s">
        <v>34</v>
      </c>
      <c r="P878" s="2">
        <v>6.9444444444444444E-5</v>
      </c>
      <c r="Q878" s="1" t="str">
        <f>""</f>
        <v/>
      </c>
      <c r="R878" s="1">
        <v>0</v>
      </c>
      <c r="S878" s="1" t="str">
        <f>""</f>
        <v/>
      </c>
      <c r="T878" s="1" t="s">
        <v>29</v>
      </c>
      <c r="U878" s="1" t="s">
        <v>30</v>
      </c>
      <c r="V878" s="1">
        <v>0</v>
      </c>
    </row>
    <row r="879" spans="2:22" x14ac:dyDescent="0.15">
      <c r="B879" s="1" t="str">
        <f>"133****9597"</f>
        <v>133****9597</v>
      </c>
      <c r="C879" s="1" t="s">
        <v>23</v>
      </c>
      <c r="D879" s="1" t="str">
        <f t="shared" si="89"/>
        <v>89177328</v>
      </c>
      <c r="E879" s="1" t="s">
        <v>24</v>
      </c>
      <c r="F879" s="1" t="str">
        <f t="shared" si="90"/>
        <v>0010</v>
      </c>
      <c r="G879" s="1" t="str">
        <f>""</f>
        <v/>
      </c>
      <c r="H879" s="1" t="str">
        <f>"0034"</f>
        <v>0034</v>
      </c>
      <c r="I879" s="1" t="s">
        <v>31</v>
      </c>
      <c r="J879" s="1" t="str">
        <f>"01043977568"</f>
        <v>01043977568</v>
      </c>
      <c r="K879" s="1" t="str">
        <f>"2017-04-06 11:40:31"</f>
        <v>2017-04-06 11:40:31</v>
      </c>
      <c r="L879" s="1" t="str">
        <f>"-"</f>
        <v>-</v>
      </c>
      <c r="M879" s="2">
        <v>0</v>
      </c>
      <c r="N879" s="1" t="s">
        <v>33</v>
      </c>
      <c r="O879" s="1" t="s">
        <v>34</v>
      </c>
      <c r="P879" s="2">
        <v>5.7870370370370366E-5</v>
      </c>
      <c r="Q879" s="1" t="str">
        <f>""</f>
        <v/>
      </c>
      <c r="R879" s="1">
        <v>0</v>
      </c>
      <c r="S879" s="1" t="str">
        <f>""</f>
        <v/>
      </c>
      <c r="T879" s="1" t="s">
        <v>29</v>
      </c>
      <c r="U879" s="1" t="s">
        <v>30</v>
      </c>
      <c r="V879" s="1">
        <v>0</v>
      </c>
    </row>
    <row r="880" spans="2:22" x14ac:dyDescent="0.15">
      <c r="B880" s="1" t="str">
        <f>"139****4699"</f>
        <v>139****4699</v>
      </c>
      <c r="C880" s="1" t="s">
        <v>23</v>
      </c>
      <c r="D880" s="1" t="str">
        <f t="shared" si="89"/>
        <v>89177328</v>
      </c>
      <c r="E880" s="1" t="s">
        <v>24</v>
      </c>
      <c r="F880" s="1" t="str">
        <f t="shared" si="90"/>
        <v>0010</v>
      </c>
      <c r="G880" s="1" t="str">
        <f>""</f>
        <v/>
      </c>
      <c r="H880" s="1" t="str">
        <f>"0035"</f>
        <v>0035</v>
      </c>
      <c r="I880" s="1" t="s">
        <v>25</v>
      </c>
      <c r="J880" s="1" t="str">
        <f>"01043977569"</f>
        <v>01043977569</v>
      </c>
      <c r="K880" s="1" t="str">
        <f>"2017-04-06 11:36:27"</f>
        <v>2017-04-06 11:36:27</v>
      </c>
      <c r="L880" s="1" t="str">
        <f>"2017-04-06 11:36:36"</f>
        <v>2017-04-06 11:36:36</v>
      </c>
      <c r="M880" s="2">
        <v>4.6412037037037038E-3</v>
      </c>
      <c r="N880" s="1" t="s">
        <v>26</v>
      </c>
      <c r="O880" s="1" t="s">
        <v>27</v>
      </c>
      <c r="P880" s="2">
        <v>4.7453703703703703E-3</v>
      </c>
      <c r="Q880" s="1" t="s">
        <v>766</v>
      </c>
      <c r="R880" s="1">
        <v>0</v>
      </c>
      <c r="S880" s="1" t="str">
        <f>""</f>
        <v/>
      </c>
      <c r="T880" s="1" t="s">
        <v>29</v>
      </c>
      <c r="U880" s="1" t="s">
        <v>30</v>
      </c>
      <c r="V880" s="1">
        <v>0</v>
      </c>
    </row>
    <row r="881" spans="2:22" x14ac:dyDescent="0.15">
      <c r="B881" s="1" t="str">
        <f>"135****5993"</f>
        <v>135****5993</v>
      </c>
      <c r="C881" s="1" t="s">
        <v>592</v>
      </c>
      <c r="D881" s="1" t="str">
        <f t="shared" si="89"/>
        <v>89177328</v>
      </c>
      <c r="E881" s="1" t="s">
        <v>24</v>
      </c>
      <c r="F881" s="1" t="str">
        <f t="shared" si="90"/>
        <v>0010</v>
      </c>
      <c r="G881" s="1" t="str">
        <f>""</f>
        <v/>
      </c>
      <c r="H881" s="1" t="str">
        <f>"0017"</f>
        <v>0017</v>
      </c>
      <c r="I881" s="1" t="s">
        <v>135</v>
      </c>
      <c r="J881" s="1" t="str">
        <f>"01043989717"</f>
        <v>01043989717</v>
      </c>
      <c r="K881" s="1" t="str">
        <f>"2017-04-06 11:34:11"</f>
        <v>2017-04-06 11:34:11</v>
      </c>
      <c r="L881" s="1" t="str">
        <f>"2017-04-06 11:34:16"</f>
        <v>2017-04-06 11:34:16</v>
      </c>
      <c r="M881" s="2">
        <v>1.5046296296296297E-4</v>
      </c>
      <c r="N881" s="1" t="s">
        <v>26</v>
      </c>
      <c r="O881" s="1" t="s">
        <v>27</v>
      </c>
      <c r="P881" s="2">
        <v>2.0833333333333335E-4</v>
      </c>
      <c r="Q881" s="1" t="s">
        <v>767</v>
      </c>
      <c r="R881" s="1">
        <v>0</v>
      </c>
      <c r="S881" s="1" t="str">
        <f>""</f>
        <v/>
      </c>
      <c r="T881" s="1" t="s">
        <v>29</v>
      </c>
      <c r="U881" s="1" t="s">
        <v>30</v>
      </c>
      <c r="V881" s="1">
        <v>0</v>
      </c>
    </row>
    <row r="882" spans="2:22" x14ac:dyDescent="0.15">
      <c r="B882" s="1" t="str">
        <f>"182****6365"</f>
        <v>182****6365</v>
      </c>
      <c r="C882" s="1" t="s">
        <v>23</v>
      </c>
      <c r="D882" s="1" t="str">
        <f t="shared" si="89"/>
        <v>89177328</v>
      </c>
      <c r="E882" s="1" t="s">
        <v>24</v>
      </c>
      <c r="F882" s="1" t="str">
        <f t="shared" si="90"/>
        <v>0010</v>
      </c>
      <c r="G882" s="1" t="str">
        <f>""</f>
        <v/>
      </c>
      <c r="H882" s="1" t="str">
        <f>"0036"</f>
        <v>0036</v>
      </c>
      <c r="I882" s="1" t="s">
        <v>143</v>
      </c>
      <c r="J882" s="1" t="str">
        <f>"01043977573"</f>
        <v>01043977573</v>
      </c>
      <c r="K882" s="1" t="str">
        <f>"2017-04-06 11:34:03"</f>
        <v>2017-04-06 11:34:03</v>
      </c>
      <c r="L882" s="1" t="str">
        <f>"2017-04-06 11:34:08"</f>
        <v>2017-04-06 11:34:08</v>
      </c>
      <c r="M882" s="2">
        <v>9.2245370370370363E-3</v>
      </c>
      <c r="N882" s="1" t="s">
        <v>26</v>
      </c>
      <c r="O882" s="1" t="s">
        <v>34</v>
      </c>
      <c r="P882" s="2">
        <v>9.2824074074074076E-3</v>
      </c>
      <c r="Q882" s="1" t="s">
        <v>768</v>
      </c>
      <c r="R882" s="1">
        <v>0</v>
      </c>
      <c r="S882" s="1" t="str">
        <f>""</f>
        <v/>
      </c>
      <c r="T882" s="1" t="s">
        <v>29</v>
      </c>
      <c r="U882" s="1" t="s">
        <v>30</v>
      </c>
      <c r="V882" s="1">
        <v>0</v>
      </c>
    </row>
    <row r="883" spans="2:22" x14ac:dyDescent="0.15">
      <c r="B883" s="1" t="str">
        <f>"010****0936"</f>
        <v>010****0936</v>
      </c>
      <c r="C883" s="1" t="s">
        <v>23</v>
      </c>
      <c r="D883" s="1" t="str">
        <f t="shared" si="89"/>
        <v>89177328</v>
      </c>
      <c r="E883" s="1" t="s">
        <v>24</v>
      </c>
      <c r="F883" s="1" t="str">
        <f t="shared" si="90"/>
        <v>0010</v>
      </c>
      <c r="G883" s="1" t="str">
        <f>""</f>
        <v/>
      </c>
      <c r="H883" s="1" t="str">
        <f>"0031"</f>
        <v>0031</v>
      </c>
      <c r="I883" s="1" t="s">
        <v>95</v>
      </c>
      <c r="J883" s="1" t="str">
        <f>"01043977565"</f>
        <v>01043977565</v>
      </c>
      <c r="K883" s="1" t="str">
        <f>"2017-04-06 11:26:14"</f>
        <v>2017-04-06 11:26:14</v>
      </c>
      <c r="L883" s="1" t="str">
        <f>"2017-04-06 11:26:21"</f>
        <v>2017-04-06 11:26:21</v>
      </c>
      <c r="M883" s="2">
        <v>1.1458333333333333E-3</v>
      </c>
      <c r="N883" s="1" t="s">
        <v>26</v>
      </c>
      <c r="O883" s="1" t="s">
        <v>27</v>
      </c>
      <c r="P883" s="2">
        <v>1.2268518518518518E-3</v>
      </c>
      <c r="Q883" s="1" t="s">
        <v>769</v>
      </c>
      <c r="R883" s="1">
        <v>0</v>
      </c>
      <c r="S883" s="1" t="str">
        <f>""</f>
        <v/>
      </c>
      <c r="T883" s="1" t="s">
        <v>29</v>
      </c>
      <c r="U883" s="1" t="s">
        <v>30</v>
      </c>
      <c r="V883" s="1">
        <v>0</v>
      </c>
    </row>
    <row r="884" spans="2:22" x14ac:dyDescent="0.15">
      <c r="B884" s="1" t="str">
        <f>"133****9597"</f>
        <v>133****9597</v>
      </c>
      <c r="C884" s="1" t="s">
        <v>23</v>
      </c>
      <c r="D884" s="1" t="str">
        <f t="shared" si="89"/>
        <v>89177328</v>
      </c>
      <c r="E884" s="1" t="s">
        <v>24</v>
      </c>
      <c r="F884" s="1" t="str">
        <f t="shared" si="90"/>
        <v>0010</v>
      </c>
      <c r="G884" s="1" t="str">
        <f>""</f>
        <v/>
      </c>
      <c r="H884" s="1" t="str">
        <f>"0036"</f>
        <v>0036</v>
      </c>
      <c r="I884" s="1" t="s">
        <v>143</v>
      </c>
      <c r="J884" s="1" t="str">
        <f>"01043977573"</f>
        <v>01043977573</v>
      </c>
      <c r="K884" s="1" t="str">
        <f>"2017-04-06 11:24:33"</f>
        <v>2017-04-06 11:24:33</v>
      </c>
      <c r="L884" s="1" t="str">
        <f>"-"</f>
        <v>-</v>
      </c>
      <c r="M884" s="2">
        <v>0</v>
      </c>
      <c r="N884" s="1" t="s">
        <v>33</v>
      </c>
      <c r="O884" s="1" t="s">
        <v>34</v>
      </c>
      <c r="P884" s="2">
        <v>5.7870370370370366E-5</v>
      </c>
      <c r="Q884" s="1" t="str">
        <f>""</f>
        <v/>
      </c>
      <c r="R884" s="1">
        <v>0</v>
      </c>
      <c r="S884" s="1" t="str">
        <f>""</f>
        <v/>
      </c>
      <c r="T884" s="1" t="s">
        <v>29</v>
      </c>
      <c r="U884" s="1" t="s">
        <v>30</v>
      </c>
      <c r="V884" s="1">
        <v>0</v>
      </c>
    </row>
    <row r="885" spans="2:22" x14ac:dyDescent="0.15">
      <c r="B885" s="1" t="str">
        <f>"157****4678"</f>
        <v>157****4678</v>
      </c>
      <c r="C885" s="1" t="s">
        <v>23</v>
      </c>
      <c r="D885" s="1" t="str">
        <f t="shared" si="89"/>
        <v>89177328</v>
      </c>
      <c r="E885" s="1" t="s">
        <v>24</v>
      </c>
      <c r="F885" s="1" t="str">
        <f t="shared" si="90"/>
        <v>0010</v>
      </c>
      <c r="G885" s="1" t="str">
        <f>""</f>
        <v/>
      </c>
      <c r="H885" s="1" t="str">
        <f>"0033"</f>
        <v>0033</v>
      </c>
      <c r="I885" s="1" t="s">
        <v>106</v>
      </c>
      <c r="J885" s="1" t="str">
        <f>"01043977567"</f>
        <v>01043977567</v>
      </c>
      <c r="K885" s="1" t="str">
        <f>"2017-04-06 11:24:17"</f>
        <v>2017-04-06 11:24:17</v>
      </c>
      <c r="L885" s="1" t="str">
        <f>"-"</f>
        <v>-</v>
      </c>
      <c r="M885" s="2">
        <v>0</v>
      </c>
      <c r="N885" s="1" t="s">
        <v>33</v>
      </c>
      <c r="O885" s="1" t="s">
        <v>34</v>
      </c>
      <c r="P885" s="2">
        <v>5.7870370370370366E-5</v>
      </c>
      <c r="Q885" s="1" t="str">
        <f>""</f>
        <v/>
      </c>
      <c r="R885" s="1">
        <v>0</v>
      </c>
      <c r="S885" s="1" t="str">
        <f>""</f>
        <v/>
      </c>
      <c r="T885" s="1" t="s">
        <v>29</v>
      </c>
      <c r="U885" s="1" t="s">
        <v>30</v>
      </c>
      <c r="V885" s="1">
        <v>0</v>
      </c>
    </row>
    <row r="886" spans="2:22" x14ac:dyDescent="0.15">
      <c r="B886" s="1" t="str">
        <f>"157****4678"</f>
        <v>157****4678</v>
      </c>
      <c r="C886" s="1" t="s">
        <v>23</v>
      </c>
      <c r="D886" s="1" t="str">
        <f t="shared" si="89"/>
        <v>89177328</v>
      </c>
      <c r="E886" s="1" t="s">
        <v>24</v>
      </c>
      <c r="F886" s="1" t="str">
        <f t="shared" si="90"/>
        <v>0010</v>
      </c>
      <c r="G886" s="1" t="str">
        <f>""</f>
        <v/>
      </c>
      <c r="H886" s="1" t="str">
        <f>"0031"</f>
        <v>0031</v>
      </c>
      <c r="I886" s="1" t="s">
        <v>95</v>
      </c>
      <c r="J886" s="1" t="str">
        <f>"01043977565"</f>
        <v>01043977565</v>
      </c>
      <c r="K886" s="1" t="str">
        <f>"2017-04-06 11:20:18"</f>
        <v>2017-04-06 11:20:18</v>
      </c>
      <c r="L886" s="1" t="str">
        <f>"-"</f>
        <v>-</v>
      </c>
      <c r="M886" s="2">
        <v>0</v>
      </c>
      <c r="N886" s="1" t="s">
        <v>33</v>
      </c>
      <c r="O886" s="1" t="s">
        <v>34</v>
      </c>
      <c r="P886" s="2">
        <v>5.7870370370370366E-5</v>
      </c>
      <c r="Q886" s="1" t="str">
        <f>""</f>
        <v/>
      </c>
      <c r="R886" s="1">
        <v>0</v>
      </c>
      <c r="S886" s="1" t="str">
        <f>""</f>
        <v/>
      </c>
      <c r="T886" s="1" t="s">
        <v>29</v>
      </c>
      <c r="U886" s="1" t="s">
        <v>30</v>
      </c>
      <c r="V886" s="1">
        <v>0</v>
      </c>
    </row>
    <row r="887" spans="2:22" x14ac:dyDescent="0.15">
      <c r="B887" s="1" t="str">
        <f>"137****9882"</f>
        <v>137****9882</v>
      </c>
      <c r="C887" s="1" t="s">
        <v>23</v>
      </c>
      <c r="D887" s="1" t="str">
        <f t="shared" si="89"/>
        <v>89177328</v>
      </c>
      <c r="E887" s="1" t="s">
        <v>24</v>
      </c>
      <c r="F887" s="1" t="str">
        <f t="shared" si="90"/>
        <v>0010</v>
      </c>
      <c r="G887" s="1" t="str">
        <f>""</f>
        <v/>
      </c>
      <c r="H887" s="1" t="str">
        <f>"0032"</f>
        <v>0032</v>
      </c>
      <c r="I887" s="1" t="s">
        <v>119</v>
      </c>
      <c r="J887" s="1" t="str">
        <f>"01043977566"</f>
        <v>01043977566</v>
      </c>
      <c r="K887" s="1" t="str">
        <f>"2017-04-06 11:14:48"</f>
        <v>2017-04-06 11:14:48</v>
      </c>
      <c r="L887" s="1" t="str">
        <f>"2017-04-06 11:14:59"</f>
        <v>2017-04-06 11:14:59</v>
      </c>
      <c r="M887" s="2">
        <v>2.4305555555555552E-4</v>
      </c>
      <c r="N887" s="1" t="s">
        <v>26</v>
      </c>
      <c r="O887" s="1" t="s">
        <v>34</v>
      </c>
      <c r="P887" s="2">
        <v>3.7037037037037035E-4</v>
      </c>
      <c r="Q887" s="1" t="s">
        <v>770</v>
      </c>
      <c r="R887" s="1">
        <v>0</v>
      </c>
      <c r="S887" s="1" t="str">
        <f>""</f>
        <v/>
      </c>
      <c r="T887" s="1" t="s">
        <v>29</v>
      </c>
      <c r="U887" s="1" t="s">
        <v>30</v>
      </c>
      <c r="V887" s="1">
        <v>0</v>
      </c>
    </row>
    <row r="888" spans="2:22" x14ac:dyDescent="0.15">
      <c r="B888" s="1" t="str">
        <f>"157****4678"</f>
        <v>157****4678</v>
      </c>
      <c r="C888" s="1" t="s">
        <v>23</v>
      </c>
      <c r="D888" s="1" t="str">
        <f t="shared" si="89"/>
        <v>89177328</v>
      </c>
      <c r="E888" s="1" t="s">
        <v>24</v>
      </c>
      <c r="F888" s="1" t="str">
        <f t="shared" si="90"/>
        <v>0010</v>
      </c>
      <c r="G888" s="1" t="str">
        <f>""</f>
        <v/>
      </c>
      <c r="H888" s="1" t="str">
        <f>"0032"</f>
        <v>0032</v>
      </c>
      <c r="I888" s="1" t="s">
        <v>119</v>
      </c>
      <c r="J888" s="1" t="str">
        <f>"01043977566"</f>
        <v>01043977566</v>
      </c>
      <c r="K888" s="1" t="str">
        <f>"2017-04-06 11:14:06"</f>
        <v>2017-04-06 11:14:06</v>
      </c>
      <c r="L888" s="1" t="str">
        <f>"-"</f>
        <v>-</v>
      </c>
      <c r="M888" s="2">
        <v>0</v>
      </c>
      <c r="N888" s="1" t="s">
        <v>33</v>
      </c>
      <c r="O888" s="1" t="s">
        <v>34</v>
      </c>
      <c r="P888" s="2">
        <v>8.1018518518518516E-5</v>
      </c>
      <c r="Q888" s="1" t="str">
        <f>""</f>
        <v/>
      </c>
      <c r="R888" s="1">
        <v>0</v>
      </c>
      <c r="S888" s="1" t="str">
        <f>""</f>
        <v/>
      </c>
      <c r="T888" s="1" t="s">
        <v>29</v>
      </c>
      <c r="U888" s="1" t="s">
        <v>30</v>
      </c>
      <c r="V888" s="1">
        <v>0</v>
      </c>
    </row>
    <row r="889" spans="2:22" x14ac:dyDescent="0.15">
      <c r="B889" s="1" t="str">
        <f>"150****8061"</f>
        <v>150****8061</v>
      </c>
      <c r="C889" s="1" t="s">
        <v>771</v>
      </c>
      <c r="D889" s="1" t="str">
        <f t="shared" si="89"/>
        <v>89177328</v>
      </c>
      <c r="E889" s="1" t="s">
        <v>24</v>
      </c>
      <c r="F889" s="1" t="str">
        <f t="shared" si="90"/>
        <v>0010</v>
      </c>
      <c r="G889" s="1" t="str">
        <f>""</f>
        <v/>
      </c>
      <c r="H889" s="1" t="str">
        <f>"0034"</f>
        <v>0034</v>
      </c>
      <c r="I889" s="1" t="s">
        <v>31</v>
      </c>
      <c r="J889" s="1" t="str">
        <f>"01043977568"</f>
        <v>01043977568</v>
      </c>
      <c r="K889" s="1" t="str">
        <f>"2017-04-06 11:10:39"</f>
        <v>2017-04-06 11:10:39</v>
      </c>
      <c r="L889" s="1" t="str">
        <f>"2017-04-06 11:10:48"</f>
        <v>2017-04-06 11:10:48</v>
      </c>
      <c r="M889" s="2">
        <v>7.6041666666666662E-3</v>
      </c>
      <c r="N889" s="1" t="s">
        <v>26</v>
      </c>
      <c r="O889" s="1" t="s">
        <v>27</v>
      </c>
      <c r="P889" s="2">
        <v>7.7083333333333335E-3</v>
      </c>
      <c r="Q889" s="1" t="s">
        <v>772</v>
      </c>
      <c r="R889" s="1">
        <v>0</v>
      </c>
      <c r="S889" s="1" t="str">
        <f>""</f>
        <v/>
      </c>
      <c r="T889" s="1" t="s">
        <v>29</v>
      </c>
      <c r="U889" s="1" t="s">
        <v>30</v>
      </c>
      <c r="V889" s="1">
        <v>0</v>
      </c>
    </row>
    <row r="890" spans="2:22" x14ac:dyDescent="0.15">
      <c r="B890" s="1" t="str">
        <f>"159****0672"</f>
        <v>159****0672</v>
      </c>
      <c r="C890" s="1" t="s">
        <v>35</v>
      </c>
      <c r="D890" s="1" t="str">
        <f t="shared" si="89"/>
        <v>89177328</v>
      </c>
      <c r="E890" s="1" t="s">
        <v>24</v>
      </c>
      <c r="F890" s="1" t="str">
        <f t="shared" si="90"/>
        <v>0010</v>
      </c>
      <c r="G890" s="1" t="str">
        <f>""</f>
        <v/>
      </c>
      <c r="H890" s="1" t="str">
        <f>"0033"</f>
        <v>0033</v>
      </c>
      <c r="I890" s="1" t="s">
        <v>106</v>
      </c>
      <c r="J890" s="1" t="str">
        <f>"01043977567"</f>
        <v>01043977567</v>
      </c>
      <c r="K890" s="1" t="str">
        <f>"2017-04-06 11:10:11"</f>
        <v>2017-04-06 11:10:11</v>
      </c>
      <c r="L890" s="1" t="str">
        <f>"2017-04-06 11:10:19"</f>
        <v>2017-04-06 11:10:19</v>
      </c>
      <c r="M890" s="2">
        <v>9.3171296296296283E-3</v>
      </c>
      <c r="N890" s="1" t="s">
        <v>26</v>
      </c>
      <c r="O890" s="1" t="s">
        <v>27</v>
      </c>
      <c r="P890" s="2">
        <v>9.4097222222222238E-3</v>
      </c>
      <c r="Q890" s="1" t="s">
        <v>773</v>
      </c>
      <c r="R890" s="1">
        <v>0</v>
      </c>
      <c r="S890" s="1" t="str">
        <f>""</f>
        <v/>
      </c>
      <c r="T890" s="1" t="s">
        <v>29</v>
      </c>
      <c r="U890" s="1" t="s">
        <v>30</v>
      </c>
      <c r="V890" s="1">
        <v>0</v>
      </c>
    </row>
    <row r="891" spans="2:22" x14ac:dyDescent="0.15">
      <c r="B891" s="1" t="str">
        <f>"010****2840"</f>
        <v>010****2840</v>
      </c>
      <c r="C891" s="1" t="s">
        <v>23</v>
      </c>
      <c r="D891" s="1" t="str">
        <f t="shared" si="89"/>
        <v>89177328</v>
      </c>
      <c r="E891" s="1" t="s">
        <v>24</v>
      </c>
      <c r="F891" s="1" t="str">
        <f t="shared" si="90"/>
        <v>0010</v>
      </c>
      <c r="G891" s="1" t="str">
        <f>""</f>
        <v/>
      </c>
      <c r="H891" s="1" t="str">
        <f>"0034"</f>
        <v>0034</v>
      </c>
      <c r="I891" s="1" t="s">
        <v>31</v>
      </c>
      <c r="J891" s="1" t="str">
        <f>"01043977568"</f>
        <v>01043977568</v>
      </c>
      <c r="K891" s="1" t="str">
        <f>"2017-04-06 11:04:28"</f>
        <v>2017-04-06 11:04:28</v>
      </c>
      <c r="L891" s="1" t="str">
        <f>"2017-04-06 11:04:36"</f>
        <v>2017-04-06 11:04:36</v>
      </c>
      <c r="M891" s="2">
        <v>8.449074074074075E-4</v>
      </c>
      <c r="N891" s="1" t="s">
        <v>26</v>
      </c>
      <c r="O891" s="1" t="s">
        <v>27</v>
      </c>
      <c r="P891" s="2">
        <v>9.3750000000000007E-4</v>
      </c>
      <c r="Q891" s="1" t="s">
        <v>774</v>
      </c>
      <c r="R891" s="1">
        <v>0</v>
      </c>
      <c r="S891" s="1" t="str">
        <f>""</f>
        <v/>
      </c>
      <c r="T891" s="1" t="s">
        <v>29</v>
      </c>
      <c r="U891" s="1" t="s">
        <v>30</v>
      </c>
      <c r="V891" s="1">
        <v>0</v>
      </c>
    </row>
    <row r="892" spans="2:22" x14ac:dyDescent="0.15">
      <c r="B892" s="1" t="str">
        <f>"139****9287"</f>
        <v>139****9287</v>
      </c>
      <c r="C892" s="1" t="s">
        <v>775</v>
      </c>
      <c r="D892" s="1" t="str">
        <f t="shared" si="89"/>
        <v>89177328</v>
      </c>
      <c r="E892" s="1" t="s">
        <v>24</v>
      </c>
      <c r="F892" s="1" t="str">
        <f t="shared" si="90"/>
        <v>0010</v>
      </c>
      <c r="G892" s="1" t="str">
        <f>""</f>
        <v/>
      </c>
      <c r="H892" s="1" t="str">
        <f>"0017"</f>
        <v>0017</v>
      </c>
      <c r="I892" s="1" t="s">
        <v>135</v>
      </c>
      <c r="J892" s="1" t="str">
        <f>"01043989717"</f>
        <v>01043989717</v>
      </c>
      <c r="K892" s="1" t="str">
        <f>"2017-04-06 10:50:14"</f>
        <v>2017-04-06 10:50:14</v>
      </c>
      <c r="L892" s="1" t="str">
        <f>"2017-04-06 10:50:21"</f>
        <v>2017-04-06 10:50:21</v>
      </c>
      <c r="M892" s="2">
        <v>8.9583333333333338E-3</v>
      </c>
      <c r="N892" s="1" t="s">
        <v>26</v>
      </c>
      <c r="O892" s="1" t="s">
        <v>27</v>
      </c>
      <c r="P892" s="2">
        <v>9.0393518518518522E-3</v>
      </c>
      <c r="Q892" s="1" t="s">
        <v>776</v>
      </c>
      <c r="R892" s="1">
        <v>0</v>
      </c>
      <c r="S892" s="1" t="str">
        <f>""</f>
        <v/>
      </c>
      <c r="T892" s="1" t="s">
        <v>29</v>
      </c>
      <c r="U892" s="1" t="s">
        <v>30</v>
      </c>
      <c r="V892" s="1">
        <v>0</v>
      </c>
    </row>
    <row r="893" spans="2:22" x14ac:dyDescent="0.15">
      <c r="B893" s="1" t="str">
        <f>"155****9999"</f>
        <v>155****9999</v>
      </c>
      <c r="C893" s="1" t="s">
        <v>283</v>
      </c>
      <c r="D893" s="1" t="str">
        <f t="shared" si="89"/>
        <v>89177328</v>
      </c>
      <c r="E893" s="1" t="s">
        <v>24</v>
      </c>
      <c r="F893" s="1" t="str">
        <f t="shared" si="90"/>
        <v>0010</v>
      </c>
      <c r="G893" s="1" t="str">
        <f>""</f>
        <v/>
      </c>
      <c r="H893" s="1" t="str">
        <f>"0010"</f>
        <v>0010</v>
      </c>
      <c r="I893" s="1" t="s">
        <v>71</v>
      </c>
      <c r="J893" s="1" t="str">
        <f>"01043977571"</f>
        <v>01043977571</v>
      </c>
      <c r="K893" s="1" t="str">
        <f>"2017-04-06 10:48:47"</f>
        <v>2017-04-06 10:48:47</v>
      </c>
      <c r="L893" s="1" t="str">
        <f>"2017-04-06 10:48:56"</f>
        <v>2017-04-06 10:48:56</v>
      </c>
      <c r="M893" s="2">
        <v>6.2615740740740748E-3</v>
      </c>
      <c r="N893" s="1" t="s">
        <v>26</v>
      </c>
      <c r="O893" s="1" t="s">
        <v>27</v>
      </c>
      <c r="P893" s="2">
        <v>6.3657407407407404E-3</v>
      </c>
      <c r="Q893" s="1" t="s">
        <v>777</v>
      </c>
      <c r="R893" s="1">
        <v>0</v>
      </c>
      <c r="S893" s="1" t="str">
        <f>""</f>
        <v/>
      </c>
      <c r="T893" s="1" t="s">
        <v>29</v>
      </c>
      <c r="U893" s="1" t="s">
        <v>30</v>
      </c>
      <c r="V893" s="1">
        <v>0</v>
      </c>
    </row>
    <row r="894" spans="2:22" x14ac:dyDescent="0.15">
      <c r="B894" s="1" t="str">
        <f>"189****6034"</f>
        <v>189****6034</v>
      </c>
      <c r="C894" s="1" t="s">
        <v>23</v>
      </c>
      <c r="D894" s="1" t="str">
        <f t="shared" si="89"/>
        <v>89177328</v>
      </c>
      <c r="E894" s="1" t="s">
        <v>24</v>
      </c>
      <c r="F894" s="1" t="str">
        <f t="shared" si="90"/>
        <v>0010</v>
      </c>
      <c r="G894" s="1" t="str">
        <f>""</f>
        <v/>
      </c>
      <c r="H894" s="1" t="str">
        <f>"0034"</f>
        <v>0034</v>
      </c>
      <c r="I894" s="1" t="s">
        <v>31</v>
      </c>
      <c r="J894" s="1" t="str">
        <f>"01043977568"</f>
        <v>01043977568</v>
      </c>
      <c r="K894" s="1" t="str">
        <f>"2017-04-06 10:45:40"</f>
        <v>2017-04-06 10:45:40</v>
      </c>
      <c r="L894" s="1" t="str">
        <f>"2017-04-06 10:45:45"</f>
        <v>2017-04-06 10:45:45</v>
      </c>
      <c r="M894" s="2">
        <v>6.076388888888889E-3</v>
      </c>
      <c r="N894" s="1" t="s">
        <v>26</v>
      </c>
      <c r="O894" s="1" t="s">
        <v>27</v>
      </c>
      <c r="P894" s="2">
        <v>6.1342592592592594E-3</v>
      </c>
      <c r="Q894" s="1" t="s">
        <v>778</v>
      </c>
      <c r="R894" s="1">
        <v>0</v>
      </c>
      <c r="S894" s="1" t="str">
        <f>""</f>
        <v/>
      </c>
      <c r="T894" s="1" t="s">
        <v>29</v>
      </c>
      <c r="U894" s="1" t="s">
        <v>30</v>
      </c>
      <c r="V894" s="1">
        <v>0</v>
      </c>
    </row>
    <row r="895" spans="2:22" x14ac:dyDescent="0.15">
      <c r="B895" s="1" t="str">
        <f>"182****3014"</f>
        <v>182****3014</v>
      </c>
      <c r="C895" s="1" t="s">
        <v>23</v>
      </c>
      <c r="D895" s="1" t="str">
        <f t="shared" si="89"/>
        <v>89177328</v>
      </c>
      <c r="E895" s="1" t="s">
        <v>24</v>
      </c>
      <c r="F895" s="1" t="str">
        <f t="shared" si="90"/>
        <v>0010</v>
      </c>
      <c r="G895" s="1" t="str">
        <f>""</f>
        <v/>
      </c>
      <c r="H895" s="1" t="str">
        <f>"0034"</f>
        <v>0034</v>
      </c>
      <c r="I895" s="1" t="s">
        <v>31</v>
      </c>
      <c r="J895" s="1" t="str">
        <f>"01043977568"</f>
        <v>01043977568</v>
      </c>
      <c r="K895" s="1" t="str">
        <f>"2017-04-06 10:43:59"</f>
        <v>2017-04-06 10:43:59</v>
      </c>
      <c r="L895" s="1" t="str">
        <f>"-"</f>
        <v>-</v>
      </c>
      <c r="M895" s="2">
        <v>0</v>
      </c>
      <c r="N895" s="1" t="s">
        <v>33</v>
      </c>
      <c r="O895" s="1" t="s">
        <v>34</v>
      </c>
      <c r="P895" s="2">
        <v>1.1574074074074073E-5</v>
      </c>
      <c r="Q895" s="1" t="str">
        <f>""</f>
        <v/>
      </c>
      <c r="R895" s="1">
        <v>0</v>
      </c>
      <c r="S895" s="1" t="str">
        <f>""</f>
        <v/>
      </c>
      <c r="T895" s="1" t="s">
        <v>29</v>
      </c>
      <c r="U895" s="1" t="s">
        <v>30</v>
      </c>
      <c r="V895" s="1">
        <v>0</v>
      </c>
    </row>
    <row r="896" spans="2:22" x14ac:dyDescent="0.15">
      <c r="B896" s="1" t="str">
        <f>"152****1896"</f>
        <v>152****1896</v>
      </c>
      <c r="C896" s="1" t="s">
        <v>23</v>
      </c>
      <c r="D896" s="1" t="str">
        <f t="shared" si="89"/>
        <v>89177328</v>
      </c>
      <c r="E896" s="1" t="s">
        <v>24</v>
      </c>
      <c r="F896" s="1" t="str">
        <f t="shared" si="90"/>
        <v>0010</v>
      </c>
      <c r="G896" s="1" t="str">
        <f>""</f>
        <v/>
      </c>
      <c r="H896" s="1" t="str">
        <f>"0033"</f>
        <v>0033</v>
      </c>
      <c r="I896" s="1" t="s">
        <v>106</v>
      </c>
      <c r="J896" s="1" t="str">
        <f>"01043977567"</f>
        <v>01043977567</v>
      </c>
      <c r="K896" s="1" t="str">
        <f>"2017-04-06 10:42:32"</f>
        <v>2017-04-06 10:42:32</v>
      </c>
      <c r="L896" s="1" t="str">
        <f>"2017-04-06 10:43:08"</f>
        <v>2017-04-06 10:43:08</v>
      </c>
      <c r="M896" s="2">
        <v>5.6944444444444438E-3</v>
      </c>
      <c r="N896" s="1" t="s">
        <v>26</v>
      </c>
      <c r="O896" s="1" t="s">
        <v>27</v>
      </c>
      <c r="P896" s="2">
        <v>6.1111111111111114E-3</v>
      </c>
      <c r="Q896" s="1" t="s">
        <v>779</v>
      </c>
      <c r="R896" s="1">
        <v>0</v>
      </c>
      <c r="S896" s="1" t="str">
        <f>""</f>
        <v/>
      </c>
      <c r="T896" s="1" t="s">
        <v>29</v>
      </c>
      <c r="U896" s="1" t="s">
        <v>30</v>
      </c>
      <c r="V896" s="1">
        <v>0</v>
      </c>
    </row>
    <row r="897" spans="2:22" x14ac:dyDescent="0.15">
      <c r="B897" s="1" t="str">
        <f>"139****6785"</f>
        <v>139****6785</v>
      </c>
      <c r="C897" s="1" t="s">
        <v>126</v>
      </c>
      <c r="D897" s="1" t="str">
        <f t="shared" si="89"/>
        <v>89177328</v>
      </c>
      <c r="E897" s="1" t="s">
        <v>24</v>
      </c>
      <c r="F897" s="1" t="str">
        <f t="shared" si="90"/>
        <v>0010</v>
      </c>
      <c r="G897" s="1" t="str">
        <f>""</f>
        <v/>
      </c>
      <c r="H897" s="1" t="str">
        <f>"0036"</f>
        <v>0036</v>
      </c>
      <c r="I897" s="1" t="s">
        <v>143</v>
      </c>
      <c r="J897" s="1" t="str">
        <f>"01043977573"</f>
        <v>01043977573</v>
      </c>
      <c r="K897" s="1" t="str">
        <f>"2017-04-06 10:36:44"</f>
        <v>2017-04-06 10:36:44</v>
      </c>
      <c r="L897" s="1" t="str">
        <f>"2017-04-06 10:36:48"</f>
        <v>2017-04-06 10:36:48</v>
      </c>
      <c r="M897" s="2">
        <v>2.0358796296296295E-2</v>
      </c>
      <c r="N897" s="1" t="s">
        <v>26</v>
      </c>
      <c r="O897" s="1" t="s">
        <v>34</v>
      </c>
      <c r="P897" s="2">
        <v>2.0405092592592593E-2</v>
      </c>
      <c r="Q897" s="1" t="s">
        <v>780</v>
      </c>
      <c r="R897" s="1">
        <v>0</v>
      </c>
      <c r="S897" s="1" t="str">
        <f>""</f>
        <v/>
      </c>
      <c r="T897" s="1" t="s">
        <v>29</v>
      </c>
      <c r="U897" s="1" t="s">
        <v>30</v>
      </c>
      <c r="V897" s="1">
        <v>0</v>
      </c>
    </row>
    <row r="898" spans="2:22" x14ac:dyDescent="0.15">
      <c r="B898" s="1" t="str">
        <f>"130****5656"</f>
        <v>130****5656</v>
      </c>
      <c r="C898" s="1" t="s">
        <v>112</v>
      </c>
      <c r="D898" s="1" t="str">
        <f t="shared" si="89"/>
        <v>89177328</v>
      </c>
      <c r="E898" s="1" t="s">
        <v>24</v>
      </c>
      <c r="F898" s="1" t="str">
        <f t="shared" si="90"/>
        <v>0010</v>
      </c>
      <c r="G898" s="1" t="str">
        <f>""</f>
        <v/>
      </c>
      <c r="H898" s="1" t="str">
        <f>"0036"</f>
        <v>0036</v>
      </c>
      <c r="I898" s="1" t="s">
        <v>143</v>
      </c>
      <c r="J898" s="1" t="str">
        <f>"01043977573"</f>
        <v>01043977573</v>
      </c>
      <c r="K898" s="1" t="str">
        <f>"2017-04-06 10:29:40"</f>
        <v>2017-04-06 10:29:40</v>
      </c>
      <c r="L898" s="1" t="str">
        <f>"-"</f>
        <v>-</v>
      </c>
      <c r="M898" s="2">
        <v>0</v>
      </c>
      <c r="N898" s="1" t="s">
        <v>33</v>
      </c>
      <c r="O898" s="1" t="s">
        <v>34</v>
      </c>
      <c r="P898" s="2">
        <v>5.7870370370370366E-5</v>
      </c>
      <c r="Q898" s="1" t="str">
        <f>""</f>
        <v/>
      </c>
      <c r="R898" s="1">
        <v>0</v>
      </c>
      <c r="S898" s="1" t="str">
        <f>""</f>
        <v/>
      </c>
      <c r="T898" s="1" t="s">
        <v>29</v>
      </c>
      <c r="U898" s="1" t="s">
        <v>30</v>
      </c>
      <c r="V898" s="1">
        <v>0</v>
      </c>
    </row>
    <row r="899" spans="2:22" x14ac:dyDescent="0.15">
      <c r="B899" s="1" t="str">
        <f>"188****1100"</f>
        <v>188****1100</v>
      </c>
      <c r="C899" s="1" t="s">
        <v>23</v>
      </c>
      <c r="D899" s="1" t="str">
        <f t="shared" si="89"/>
        <v>89177328</v>
      </c>
      <c r="E899" s="1" t="s">
        <v>24</v>
      </c>
      <c r="F899" s="1" t="str">
        <f t="shared" si="90"/>
        <v>0010</v>
      </c>
      <c r="G899" s="1" t="str">
        <f>""</f>
        <v/>
      </c>
      <c r="H899" s="1" t="str">
        <f>"0010"</f>
        <v>0010</v>
      </c>
      <c r="I899" s="1" t="s">
        <v>71</v>
      </c>
      <c r="J899" s="1" t="str">
        <f>"01043977571"</f>
        <v>01043977571</v>
      </c>
      <c r="K899" s="1" t="str">
        <f>"2017-04-06 10:29:28"</f>
        <v>2017-04-06 10:29:28</v>
      </c>
      <c r="L899" s="1" t="str">
        <f>"-"</f>
        <v>-</v>
      </c>
      <c r="M899" s="2">
        <v>0</v>
      </c>
      <c r="N899" s="1" t="s">
        <v>33</v>
      </c>
      <c r="O899" s="1" t="s">
        <v>34</v>
      </c>
      <c r="P899" s="2">
        <v>1.273148148148148E-4</v>
      </c>
      <c r="Q899" s="1" t="str">
        <f>""</f>
        <v/>
      </c>
      <c r="R899" s="1">
        <v>0</v>
      </c>
      <c r="S899" s="1" t="str">
        <f>""</f>
        <v/>
      </c>
      <c r="T899" s="1" t="s">
        <v>29</v>
      </c>
      <c r="U899" s="1" t="s">
        <v>30</v>
      </c>
      <c r="V899" s="1">
        <v>0</v>
      </c>
    </row>
    <row r="900" spans="2:22" x14ac:dyDescent="0.15">
      <c r="B900" s="1" t="str">
        <f>"137****1997"</f>
        <v>137****1997</v>
      </c>
      <c r="C900" s="1" t="s">
        <v>23</v>
      </c>
      <c r="D900" s="1" t="str">
        <f t="shared" si="89"/>
        <v>89177328</v>
      </c>
      <c r="E900" s="1" t="s">
        <v>24</v>
      </c>
      <c r="F900" s="1" t="str">
        <f t="shared" si="90"/>
        <v>0010</v>
      </c>
      <c r="G900" s="1" t="str">
        <f>""</f>
        <v/>
      </c>
      <c r="H900" s="1" t="str">
        <f>"0010"</f>
        <v>0010</v>
      </c>
      <c r="I900" s="1" t="s">
        <v>71</v>
      </c>
      <c r="J900" s="1" t="str">
        <f>"01043977571"</f>
        <v>01043977571</v>
      </c>
      <c r="K900" s="1" t="str">
        <f>"2017-04-06 10:29:14"</f>
        <v>2017-04-06 10:29:14</v>
      </c>
      <c r="L900" s="1" t="str">
        <f>"2017-04-06 10:29:50"</f>
        <v>2017-04-06 10:29:50</v>
      </c>
      <c r="M900" s="2">
        <v>1.1076388888888887E-2</v>
      </c>
      <c r="N900" s="1" t="s">
        <v>26</v>
      </c>
      <c r="O900" s="1" t="s">
        <v>27</v>
      </c>
      <c r="P900" s="2">
        <v>1.1493055555555555E-2</v>
      </c>
      <c r="Q900" s="1" t="s">
        <v>781</v>
      </c>
      <c r="R900" s="1">
        <v>0</v>
      </c>
      <c r="S900" s="1" t="str">
        <f>""</f>
        <v/>
      </c>
      <c r="T900" s="1" t="s">
        <v>29</v>
      </c>
      <c r="U900" s="1" t="s">
        <v>30</v>
      </c>
      <c r="V900" s="1">
        <v>0</v>
      </c>
    </row>
    <row r="901" spans="2:22" x14ac:dyDescent="0.15">
      <c r="B901" s="1" t="str">
        <f>"137****5080"</f>
        <v>137****5080</v>
      </c>
      <c r="C901" s="1" t="s">
        <v>23</v>
      </c>
      <c r="D901" s="1" t="str">
        <f t="shared" si="89"/>
        <v>89177328</v>
      </c>
      <c r="E901" s="1" t="s">
        <v>24</v>
      </c>
      <c r="F901" s="1" t="str">
        <f t="shared" si="90"/>
        <v>0010</v>
      </c>
      <c r="G901" s="1" t="str">
        <f>""</f>
        <v/>
      </c>
      <c r="H901" s="1" t="str">
        <f>"0035"</f>
        <v>0035</v>
      </c>
      <c r="I901" s="1" t="s">
        <v>25</v>
      </c>
      <c r="J901" s="1" t="str">
        <f>"01043977569"</f>
        <v>01043977569</v>
      </c>
      <c r="K901" s="1" t="str">
        <f>"2017-04-06 10:29:05"</f>
        <v>2017-04-06 10:29:05</v>
      </c>
      <c r="L901" s="1" t="str">
        <f t="shared" ref="L901:L908" si="91">"-"</f>
        <v>-</v>
      </c>
      <c r="M901" s="2">
        <v>0</v>
      </c>
      <c r="N901" s="1" t="s">
        <v>33</v>
      </c>
      <c r="O901" s="1" t="s">
        <v>34</v>
      </c>
      <c r="P901" s="2">
        <v>3.8194444444444446E-4</v>
      </c>
      <c r="Q901" s="1" t="str">
        <f>""</f>
        <v/>
      </c>
      <c r="R901" s="1">
        <v>0</v>
      </c>
      <c r="S901" s="1" t="str">
        <f>""</f>
        <v/>
      </c>
      <c r="T901" s="1" t="s">
        <v>29</v>
      </c>
      <c r="U901" s="1" t="s">
        <v>30</v>
      </c>
      <c r="V901" s="1">
        <v>0</v>
      </c>
    </row>
    <row r="902" spans="2:22" x14ac:dyDescent="0.15">
      <c r="B902" s="1" t="str">
        <f>"186****0604"</f>
        <v>186****0604</v>
      </c>
      <c r="C902" s="1" t="s">
        <v>23</v>
      </c>
      <c r="D902" s="1" t="str">
        <f t="shared" si="89"/>
        <v>89177328</v>
      </c>
      <c r="E902" s="1" t="str">
        <f>""</f>
        <v/>
      </c>
      <c r="F902" s="1" t="str">
        <f>""</f>
        <v/>
      </c>
      <c r="G902" s="1" t="str">
        <f>""</f>
        <v/>
      </c>
      <c r="H902" s="1" t="str">
        <f>""</f>
        <v/>
      </c>
      <c r="I902" s="1" t="str">
        <f>""</f>
        <v/>
      </c>
      <c r="J902" s="1" t="str">
        <f>""</f>
        <v/>
      </c>
      <c r="K902" s="1" t="str">
        <f>"2017-04-06 10:26:41"</f>
        <v>2017-04-06 10:26:41</v>
      </c>
      <c r="L902" s="1" t="str">
        <f t="shared" si="91"/>
        <v>-</v>
      </c>
      <c r="M902" s="2">
        <v>0</v>
      </c>
      <c r="N902" s="1" t="s">
        <v>393</v>
      </c>
      <c r="O902" s="1" t="s">
        <v>34</v>
      </c>
      <c r="P902" s="2">
        <v>0</v>
      </c>
      <c r="Q902" s="1" t="str">
        <f>""</f>
        <v/>
      </c>
      <c r="R902" s="1">
        <v>0</v>
      </c>
      <c r="S902" s="1" t="str">
        <f>""</f>
        <v/>
      </c>
      <c r="T902" s="1" t="s">
        <v>29</v>
      </c>
      <c r="U902" s="1" t="s">
        <v>30</v>
      </c>
      <c r="V902" s="1">
        <v>0</v>
      </c>
    </row>
    <row r="903" spans="2:22" x14ac:dyDescent="0.15">
      <c r="B903" s="1" t="str">
        <f>"130****5656"</f>
        <v>130****5656</v>
      </c>
      <c r="C903" s="1" t="s">
        <v>112</v>
      </c>
      <c r="D903" s="1" t="str">
        <f t="shared" si="89"/>
        <v>89177328</v>
      </c>
      <c r="E903" s="1" t="s">
        <v>24</v>
      </c>
      <c r="F903" s="1" t="str">
        <f t="shared" ref="F903:F919" si="92">"0010"</f>
        <v>0010</v>
      </c>
      <c r="G903" s="1" t="str">
        <f>""</f>
        <v/>
      </c>
      <c r="H903" s="1" t="str">
        <f t="shared" ref="H903:H908" si="93">"0010"</f>
        <v>0010</v>
      </c>
      <c r="I903" s="1" t="s">
        <v>71</v>
      </c>
      <c r="J903" s="1" t="str">
        <f t="shared" ref="J903:J908" si="94">"01043977571"</f>
        <v>01043977571</v>
      </c>
      <c r="K903" s="1" t="str">
        <f>"2017-04-06 10:26:38"</f>
        <v>2017-04-06 10:26:38</v>
      </c>
      <c r="L903" s="1" t="str">
        <f t="shared" si="91"/>
        <v>-</v>
      </c>
      <c r="M903" s="2">
        <v>0</v>
      </c>
      <c r="N903" s="1" t="s">
        <v>33</v>
      </c>
      <c r="O903" s="1" t="s">
        <v>34</v>
      </c>
      <c r="P903" s="2">
        <v>6.9444444444444444E-5</v>
      </c>
      <c r="Q903" s="1" t="str">
        <f>""</f>
        <v/>
      </c>
      <c r="R903" s="1">
        <v>0</v>
      </c>
      <c r="S903" s="1" t="str">
        <f>""</f>
        <v/>
      </c>
      <c r="T903" s="1" t="s">
        <v>29</v>
      </c>
      <c r="U903" s="1" t="s">
        <v>30</v>
      </c>
      <c r="V903" s="1">
        <v>0</v>
      </c>
    </row>
    <row r="904" spans="2:22" x14ac:dyDescent="0.15">
      <c r="B904" s="1" t="str">
        <f>"188****1100"</f>
        <v>188****1100</v>
      </c>
      <c r="C904" s="1" t="s">
        <v>23</v>
      </c>
      <c r="D904" s="1" t="str">
        <f t="shared" si="89"/>
        <v>89177328</v>
      </c>
      <c r="E904" s="1" t="s">
        <v>24</v>
      </c>
      <c r="F904" s="1" t="str">
        <f t="shared" si="92"/>
        <v>0010</v>
      </c>
      <c r="G904" s="1" t="str">
        <f>""</f>
        <v/>
      </c>
      <c r="H904" s="1" t="str">
        <f t="shared" si="93"/>
        <v>0010</v>
      </c>
      <c r="I904" s="1" t="s">
        <v>71</v>
      </c>
      <c r="J904" s="1" t="str">
        <f t="shared" si="94"/>
        <v>01043977571</v>
      </c>
      <c r="K904" s="1" t="str">
        <f>"2017-04-06 10:25:33"</f>
        <v>2017-04-06 10:25:33</v>
      </c>
      <c r="L904" s="1" t="str">
        <f t="shared" si="91"/>
        <v>-</v>
      </c>
      <c r="M904" s="2">
        <v>0</v>
      </c>
      <c r="N904" s="1" t="s">
        <v>33</v>
      </c>
      <c r="O904" s="1" t="s">
        <v>34</v>
      </c>
      <c r="P904" s="2">
        <v>1.1574074074074073E-4</v>
      </c>
      <c r="Q904" s="1" t="str">
        <f>""</f>
        <v/>
      </c>
      <c r="R904" s="1">
        <v>0</v>
      </c>
      <c r="S904" s="1" t="str">
        <f>""</f>
        <v/>
      </c>
      <c r="T904" s="1" t="s">
        <v>29</v>
      </c>
      <c r="U904" s="1" t="s">
        <v>30</v>
      </c>
      <c r="V904" s="1">
        <v>0</v>
      </c>
    </row>
    <row r="905" spans="2:22" x14ac:dyDescent="0.15">
      <c r="B905" s="1" t="str">
        <f>"186****0604"</f>
        <v>186****0604</v>
      </c>
      <c r="C905" s="1" t="s">
        <v>23</v>
      </c>
      <c r="D905" s="1" t="str">
        <f t="shared" si="89"/>
        <v>89177328</v>
      </c>
      <c r="E905" s="1" t="s">
        <v>24</v>
      </c>
      <c r="F905" s="1" t="str">
        <f t="shared" si="92"/>
        <v>0010</v>
      </c>
      <c r="G905" s="1" t="str">
        <f>""</f>
        <v/>
      </c>
      <c r="H905" s="1" t="str">
        <f t="shared" si="93"/>
        <v>0010</v>
      </c>
      <c r="I905" s="1" t="s">
        <v>71</v>
      </c>
      <c r="J905" s="1" t="str">
        <f t="shared" si="94"/>
        <v>01043977571</v>
      </c>
      <c r="K905" s="1" t="str">
        <f>"2017-04-06 10:22:44"</f>
        <v>2017-04-06 10:22:44</v>
      </c>
      <c r="L905" s="1" t="str">
        <f t="shared" si="91"/>
        <v>-</v>
      </c>
      <c r="M905" s="2">
        <v>0</v>
      </c>
      <c r="N905" s="1" t="s">
        <v>33</v>
      </c>
      <c r="O905" s="1" t="s">
        <v>34</v>
      </c>
      <c r="P905" s="2">
        <v>5.7870370370370366E-5</v>
      </c>
      <c r="Q905" s="1" t="str">
        <f>""</f>
        <v/>
      </c>
      <c r="R905" s="1">
        <v>0</v>
      </c>
      <c r="S905" s="1" t="str">
        <f>""</f>
        <v/>
      </c>
      <c r="T905" s="1" t="s">
        <v>29</v>
      </c>
      <c r="U905" s="1" t="s">
        <v>30</v>
      </c>
      <c r="V905" s="1">
        <v>0</v>
      </c>
    </row>
    <row r="906" spans="2:22" x14ac:dyDescent="0.15">
      <c r="B906" s="1" t="str">
        <f>"186****0604"</f>
        <v>186****0604</v>
      </c>
      <c r="C906" s="1" t="s">
        <v>23</v>
      </c>
      <c r="D906" s="1" t="str">
        <f t="shared" si="89"/>
        <v>89177328</v>
      </c>
      <c r="E906" s="1" t="s">
        <v>24</v>
      </c>
      <c r="F906" s="1" t="str">
        <f t="shared" si="92"/>
        <v>0010</v>
      </c>
      <c r="G906" s="1" t="str">
        <f>""</f>
        <v/>
      </c>
      <c r="H906" s="1" t="str">
        <f t="shared" si="93"/>
        <v>0010</v>
      </c>
      <c r="I906" s="1" t="s">
        <v>71</v>
      </c>
      <c r="J906" s="1" t="str">
        <f t="shared" si="94"/>
        <v>01043977571</v>
      </c>
      <c r="K906" s="1" t="str">
        <f>"2017-04-06 10:19:45"</f>
        <v>2017-04-06 10:19:45</v>
      </c>
      <c r="L906" s="1" t="str">
        <f t="shared" si="91"/>
        <v>-</v>
      </c>
      <c r="M906" s="2">
        <v>0</v>
      </c>
      <c r="N906" s="1" t="s">
        <v>33</v>
      </c>
      <c r="O906" s="1" t="s">
        <v>34</v>
      </c>
      <c r="P906" s="2">
        <v>8.1018518518518516E-5</v>
      </c>
      <c r="Q906" s="1" t="str">
        <f>""</f>
        <v/>
      </c>
      <c r="R906" s="1">
        <v>0</v>
      </c>
      <c r="S906" s="1" t="str">
        <f>""</f>
        <v/>
      </c>
      <c r="T906" s="1" t="s">
        <v>29</v>
      </c>
      <c r="U906" s="1" t="s">
        <v>30</v>
      </c>
      <c r="V906" s="1">
        <v>0</v>
      </c>
    </row>
    <row r="907" spans="2:22" x14ac:dyDescent="0.15">
      <c r="B907" s="1" t="str">
        <f>"188****7867"</f>
        <v>188****7867</v>
      </c>
      <c r="C907" s="1" t="s">
        <v>23</v>
      </c>
      <c r="D907" s="1" t="str">
        <f t="shared" si="89"/>
        <v>89177328</v>
      </c>
      <c r="E907" s="1" t="s">
        <v>24</v>
      </c>
      <c r="F907" s="1" t="str">
        <f t="shared" si="92"/>
        <v>0010</v>
      </c>
      <c r="G907" s="1" t="str">
        <f>""</f>
        <v/>
      </c>
      <c r="H907" s="1" t="str">
        <f t="shared" si="93"/>
        <v>0010</v>
      </c>
      <c r="I907" s="1" t="s">
        <v>71</v>
      </c>
      <c r="J907" s="1" t="str">
        <f t="shared" si="94"/>
        <v>01043977571</v>
      </c>
      <c r="K907" s="1" t="str">
        <f>"2017-04-06 10:19:39"</f>
        <v>2017-04-06 10:19:39</v>
      </c>
      <c r="L907" s="1" t="str">
        <f t="shared" si="91"/>
        <v>-</v>
      </c>
      <c r="M907" s="2">
        <v>0</v>
      </c>
      <c r="N907" s="1" t="s">
        <v>33</v>
      </c>
      <c r="O907" s="1" t="s">
        <v>34</v>
      </c>
      <c r="P907" s="2">
        <v>5.7870370370370366E-5</v>
      </c>
      <c r="Q907" s="1" t="str">
        <f>""</f>
        <v/>
      </c>
      <c r="R907" s="1">
        <v>0</v>
      </c>
      <c r="S907" s="1" t="str">
        <f>""</f>
        <v/>
      </c>
      <c r="T907" s="1" t="s">
        <v>29</v>
      </c>
      <c r="U907" s="1" t="s">
        <v>30</v>
      </c>
      <c r="V907" s="1">
        <v>0</v>
      </c>
    </row>
    <row r="908" spans="2:22" x14ac:dyDescent="0.15">
      <c r="B908" s="1" t="str">
        <f>"130****5656"</f>
        <v>130****5656</v>
      </c>
      <c r="C908" s="1" t="s">
        <v>112</v>
      </c>
      <c r="D908" s="1" t="str">
        <f t="shared" si="89"/>
        <v>89177328</v>
      </c>
      <c r="E908" s="1" t="s">
        <v>24</v>
      </c>
      <c r="F908" s="1" t="str">
        <f t="shared" si="92"/>
        <v>0010</v>
      </c>
      <c r="G908" s="1" t="str">
        <f>""</f>
        <v/>
      </c>
      <c r="H908" s="1" t="str">
        <f t="shared" si="93"/>
        <v>0010</v>
      </c>
      <c r="I908" s="1" t="s">
        <v>71</v>
      </c>
      <c r="J908" s="1" t="str">
        <f t="shared" si="94"/>
        <v>01043977571</v>
      </c>
      <c r="K908" s="1" t="str">
        <f>"2017-04-06 10:19:01"</f>
        <v>2017-04-06 10:19:01</v>
      </c>
      <c r="L908" s="1" t="str">
        <f t="shared" si="91"/>
        <v>-</v>
      </c>
      <c r="M908" s="2">
        <v>0</v>
      </c>
      <c r="N908" s="1" t="s">
        <v>33</v>
      </c>
      <c r="O908" s="1" t="s">
        <v>34</v>
      </c>
      <c r="P908" s="2">
        <v>4.6296296296296294E-5</v>
      </c>
      <c r="Q908" s="1" t="str">
        <f>""</f>
        <v/>
      </c>
      <c r="R908" s="1">
        <v>0</v>
      </c>
      <c r="S908" s="1" t="str">
        <f>""</f>
        <v/>
      </c>
      <c r="T908" s="1" t="s">
        <v>29</v>
      </c>
      <c r="U908" s="1" t="s">
        <v>30</v>
      </c>
      <c r="V908" s="1">
        <v>0</v>
      </c>
    </row>
    <row r="909" spans="2:22" x14ac:dyDescent="0.15">
      <c r="B909" s="1" t="str">
        <f>"189****6001"</f>
        <v>189****6001</v>
      </c>
      <c r="C909" s="1" t="s">
        <v>782</v>
      </c>
      <c r="D909" s="1" t="str">
        <f t="shared" si="89"/>
        <v>89177328</v>
      </c>
      <c r="E909" s="1" t="s">
        <v>24</v>
      </c>
      <c r="F909" s="1" t="str">
        <f t="shared" si="92"/>
        <v>0010</v>
      </c>
      <c r="G909" s="1" t="str">
        <f>""</f>
        <v/>
      </c>
      <c r="H909" s="1" t="str">
        <f>"0036"</f>
        <v>0036</v>
      </c>
      <c r="I909" s="1" t="s">
        <v>143</v>
      </c>
      <c r="J909" s="1" t="str">
        <f>"01043977573"</f>
        <v>01043977573</v>
      </c>
      <c r="K909" s="1" t="str">
        <f>"2017-04-06 10:13:43"</f>
        <v>2017-04-06 10:13:43</v>
      </c>
      <c r="L909" s="1" t="str">
        <f>"2017-04-06 10:13:49"</f>
        <v>2017-04-06 10:13:49</v>
      </c>
      <c r="M909" s="2">
        <v>3.3333333333333335E-3</v>
      </c>
      <c r="N909" s="1" t="s">
        <v>26</v>
      </c>
      <c r="O909" s="1" t="s">
        <v>34</v>
      </c>
      <c r="P909" s="2">
        <v>3.4027777777777784E-3</v>
      </c>
      <c r="Q909" s="1" t="s">
        <v>783</v>
      </c>
      <c r="R909" s="1">
        <v>0</v>
      </c>
      <c r="S909" s="1" t="str">
        <f>""</f>
        <v/>
      </c>
      <c r="T909" s="1" t="s">
        <v>29</v>
      </c>
      <c r="U909" s="1" t="s">
        <v>30</v>
      </c>
      <c r="V909" s="1">
        <v>0</v>
      </c>
    </row>
    <row r="910" spans="2:22" x14ac:dyDescent="0.15">
      <c r="B910" s="1" t="str">
        <f>"150****3757"</f>
        <v>150****3757</v>
      </c>
      <c r="C910" s="1" t="s">
        <v>41</v>
      </c>
      <c r="D910" s="1" t="str">
        <f t="shared" si="89"/>
        <v>89177328</v>
      </c>
      <c r="E910" s="1" t="s">
        <v>24</v>
      </c>
      <c r="F910" s="1" t="str">
        <f t="shared" si="92"/>
        <v>0010</v>
      </c>
      <c r="G910" s="1" t="str">
        <f>""</f>
        <v/>
      </c>
      <c r="H910" s="1" t="str">
        <f>"0034"</f>
        <v>0034</v>
      </c>
      <c r="I910" s="1" t="s">
        <v>31</v>
      </c>
      <c r="J910" s="1" t="str">
        <f>"01043977568"</f>
        <v>01043977568</v>
      </c>
      <c r="K910" s="1" t="str">
        <f>"2017-04-06 10:13:16"</f>
        <v>2017-04-06 10:13:16</v>
      </c>
      <c r="L910" s="1" t="str">
        <f>"2017-04-06 10:13:25"</f>
        <v>2017-04-06 10:13:25</v>
      </c>
      <c r="M910" s="2">
        <v>1.0300925925925926E-3</v>
      </c>
      <c r="N910" s="1" t="s">
        <v>26</v>
      </c>
      <c r="O910" s="1" t="s">
        <v>27</v>
      </c>
      <c r="P910" s="2">
        <v>1.1342592592592591E-3</v>
      </c>
      <c r="Q910" s="1" t="s">
        <v>784</v>
      </c>
      <c r="R910" s="1">
        <v>0</v>
      </c>
      <c r="S910" s="1" t="str">
        <f>""</f>
        <v/>
      </c>
      <c r="T910" s="1" t="s">
        <v>29</v>
      </c>
      <c r="U910" s="1" t="s">
        <v>30</v>
      </c>
      <c r="V910" s="1">
        <v>0</v>
      </c>
    </row>
    <row r="911" spans="2:22" x14ac:dyDescent="0.15">
      <c r="B911" s="1" t="str">
        <f>"135****7787"</f>
        <v>135****7787</v>
      </c>
      <c r="C911" s="1" t="s">
        <v>785</v>
      </c>
      <c r="D911" s="1" t="str">
        <f t="shared" si="89"/>
        <v>89177328</v>
      </c>
      <c r="E911" s="1" t="s">
        <v>24</v>
      </c>
      <c r="F911" s="1" t="str">
        <f t="shared" si="92"/>
        <v>0010</v>
      </c>
      <c r="G911" s="1" t="str">
        <f>""</f>
        <v/>
      </c>
      <c r="H911" s="1" t="str">
        <f>"0031"</f>
        <v>0031</v>
      </c>
      <c r="I911" s="1" t="s">
        <v>95</v>
      </c>
      <c r="J911" s="1" t="str">
        <f>"01043977565"</f>
        <v>01043977565</v>
      </c>
      <c r="K911" s="1" t="str">
        <f>"2017-04-06 10:07:16"</f>
        <v>2017-04-06 10:07:16</v>
      </c>
      <c r="L911" s="1" t="str">
        <f>"2017-04-06 10:07:23"</f>
        <v>2017-04-06 10:07:23</v>
      </c>
      <c r="M911" s="2">
        <v>4.31712962962963E-3</v>
      </c>
      <c r="N911" s="1" t="s">
        <v>26</v>
      </c>
      <c r="O911" s="1" t="s">
        <v>27</v>
      </c>
      <c r="P911" s="2">
        <v>4.3981481481481484E-3</v>
      </c>
      <c r="Q911" s="1" t="s">
        <v>786</v>
      </c>
      <c r="R911" s="1">
        <v>0</v>
      </c>
      <c r="S911" s="1" t="str">
        <f>""</f>
        <v/>
      </c>
      <c r="T911" s="1" t="s">
        <v>29</v>
      </c>
      <c r="U911" s="1" t="s">
        <v>30</v>
      </c>
      <c r="V911" s="1">
        <v>0</v>
      </c>
    </row>
    <row r="912" spans="2:22" x14ac:dyDescent="0.15">
      <c r="B912" s="1" t="str">
        <f>"182****9227"</f>
        <v>182****9227</v>
      </c>
      <c r="C912" s="1" t="s">
        <v>23</v>
      </c>
      <c r="D912" s="1" t="str">
        <f t="shared" si="89"/>
        <v>89177328</v>
      </c>
      <c r="E912" s="1" t="s">
        <v>24</v>
      </c>
      <c r="F912" s="1" t="str">
        <f t="shared" si="92"/>
        <v>0010</v>
      </c>
      <c r="G912" s="1" t="str">
        <f>""</f>
        <v/>
      </c>
      <c r="H912" s="1" t="str">
        <f>"0032"</f>
        <v>0032</v>
      </c>
      <c r="I912" s="1" t="s">
        <v>119</v>
      </c>
      <c r="J912" s="1" t="str">
        <f>"01043977566"</f>
        <v>01043977566</v>
      </c>
      <c r="K912" s="1" t="str">
        <f>"2017-04-06 10:02:40"</f>
        <v>2017-04-06 10:02:40</v>
      </c>
      <c r="L912" s="1" t="str">
        <f>"2017-04-06 10:02:49"</f>
        <v>2017-04-06 10:02:49</v>
      </c>
      <c r="M912" s="2">
        <v>1.3287037037037036E-2</v>
      </c>
      <c r="N912" s="1" t="s">
        <v>26</v>
      </c>
      <c r="O912" s="1" t="s">
        <v>34</v>
      </c>
      <c r="P912" s="2">
        <v>1.3391203703703704E-2</v>
      </c>
      <c r="Q912" s="1" t="s">
        <v>787</v>
      </c>
      <c r="R912" s="1">
        <v>0</v>
      </c>
      <c r="S912" s="1" t="str">
        <f>""</f>
        <v/>
      </c>
      <c r="T912" s="1" t="s">
        <v>29</v>
      </c>
      <c r="U912" s="1" t="s">
        <v>30</v>
      </c>
      <c r="V912" s="1">
        <v>0</v>
      </c>
    </row>
    <row r="913" spans="2:22" x14ac:dyDescent="0.15">
      <c r="B913" s="1" t="str">
        <f>"010****1355"</f>
        <v>010****1355</v>
      </c>
      <c r="C913" s="1" t="s">
        <v>23</v>
      </c>
      <c r="D913" s="1" t="str">
        <f t="shared" si="89"/>
        <v>89177328</v>
      </c>
      <c r="E913" s="1" t="s">
        <v>24</v>
      </c>
      <c r="F913" s="1" t="str">
        <f t="shared" si="92"/>
        <v>0010</v>
      </c>
      <c r="G913" s="1" t="str">
        <f>""</f>
        <v/>
      </c>
      <c r="H913" s="1" t="str">
        <f>"0035"</f>
        <v>0035</v>
      </c>
      <c r="I913" s="1" t="s">
        <v>25</v>
      </c>
      <c r="J913" s="1" t="str">
        <f>"01043977569"</f>
        <v>01043977569</v>
      </c>
      <c r="K913" s="1" t="str">
        <f>"2017-04-06 09:57:59"</f>
        <v>2017-04-06 09:57:59</v>
      </c>
      <c r="L913" s="1" t="str">
        <f>"2017-04-06 09:58:07"</f>
        <v>2017-04-06 09:58:07</v>
      </c>
      <c r="M913" s="2">
        <v>4.0509259259259258E-4</v>
      </c>
      <c r="N913" s="1" t="s">
        <v>26</v>
      </c>
      <c r="O913" s="1" t="s">
        <v>34</v>
      </c>
      <c r="P913" s="2">
        <v>4.9768518518518521E-4</v>
      </c>
      <c r="Q913" s="1" t="s">
        <v>788</v>
      </c>
      <c r="R913" s="1">
        <v>0</v>
      </c>
      <c r="S913" s="1" t="str">
        <f>""</f>
        <v/>
      </c>
      <c r="T913" s="1" t="s">
        <v>29</v>
      </c>
      <c r="U913" s="1" t="s">
        <v>30</v>
      </c>
      <c r="V913" s="1">
        <v>0</v>
      </c>
    </row>
    <row r="914" spans="2:22" x14ac:dyDescent="0.15">
      <c r="B914" s="1" t="str">
        <f>"135****8556"</f>
        <v>135****8556</v>
      </c>
      <c r="C914" s="1" t="s">
        <v>23</v>
      </c>
      <c r="D914" s="1" t="str">
        <f t="shared" si="89"/>
        <v>89177328</v>
      </c>
      <c r="E914" s="1" t="s">
        <v>24</v>
      </c>
      <c r="F914" s="1" t="str">
        <f t="shared" si="92"/>
        <v>0010</v>
      </c>
      <c r="G914" s="1" t="str">
        <f>""</f>
        <v/>
      </c>
      <c r="H914" s="1" t="str">
        <f>"0017"</f>
        <v>0017</v>
      </c>
      <c r="I914" s="1" t="s">
        <v>135</v>
      </c>
      <c r="J914" s="1" t="str">
        <f>"01043989717"</f>
        <v>01043989717</v>
      </c>
      <c r="K914" s="1" t="str">
        <f>"2017-04-06 09:54:59"</f>
        <v>2017-04-06 09:54:59</v>
      </c>
      <c r="L914" s="1" t="str">
        <f>"2017-04-06 09:55:04"</f>
        <v>2017-04-06 09:55:04</v>
      </c>
      <c r="M914" s="2">
        <v>8.819444444444444E-3</v>
      </c>
      <c r="N914" s="1" t="s">
        <v>26</v>
      </c>
      <c r="O914" s="1" t="s">
        <v>27</v>
      </c>
      <c r="P914" s="2">
        <v>8.8773148148148153E-3</v>
      </c>
      <c r="Q914" s="1" t="s">
        <v>789</v>
      </c>
      <c r="R914" s="1">
        <v>0</v>
      </c>
      <c r="S914" s="1" t="str">
        <f>""</f>
        <v/>
      </c>
      <c r="T914" s="1" t="s">
        <v>29</v>
      </c>
      <c r="U914" s="1" t="s">
        <v>30</v>
      </c>
      <c r="V914" s="1">
        <v>0</v>
      </c>
    </row>
    <row r="915" spans="2:22" x14ac:dyDescent="0.15">
      <c r="B915" s="1" t="str">
        <f>"158****7841"</f>
        <v>158****7841</v>
      </c>
      <c r="C915" s="1" t="s">
        <v>23</v>
      </c>
      <c r="D915" s="1" t="str">
        <f t="shared" si="89"/>
        <v>89177328</v>
      </c>
      <c r="E915" s="1" t="s">
        <v>24</v>
      </c>
      <c r="F915" s="1" t="str">
        <f t="shared" si="92"/>
        <v>0010</v>
      </c>
      <c r="G915" s="1" t="str">
        <f>""</f>
        <v/>
      </c>
      <c r="H915" s="1" t="str">
        <f>"0031"</f>
        <v>0031</v>
      </c>
      <c r="I915" s="1" t="s">
        <v>95</v>
      </c>
      <c r="J915" s="1" t="str">
        <f>"01043977565"</f>
        <v>01043977565</v>
      </c>
      <c r="K915" s="1" t="str">
        <f>"2017-04-06 09:41:58"</f>
        <v>2017-04-06 09:41:58</v>
      </c>
      <c r="L915" s="1" t="str">
        <f>"2017-04-06 09:42:06"</f>
        <v>2017-04-06 09:42:06</v>
      </c>
      <c r="M915" s="2">
        <v>6.9212962962962969E-3</v>
      </c>
      <c r="N915" s="1" t="s">
        <v>26</v>
      </c>
      <c r="O915" s="1" t="s">
        <v>27</v>
      </c>
      <c r="P915" s="2">
        <v>7.013888888888889E-3</v>
      </c>
      <c r="Q915" s="1" t="s">
        <v>790</v>
      </c>
      <c r="R915" s="1">
        <v>0</v>
      </c>
      <c r="S915" s="1" t="str">
        <f>""</f>
        <v/>
      </c>
      <c r="T915" s="1" t="s">
        <v>29</v>
      </c>
      <c r="U915" s="1" t="s">
        <v>30</v>
      </c>
      <c r="V915" s="1">
        <v>0</v>
      </c>
    </row>
    <row r="916" spans="2:22" x14ac:dyDescent="0.15">
      <c r="B916" s="1" t="str">
        <f>"185****1188"</f>
        <v>185****1188</v>
      </c>
      <c r="C916" s="1" t="s">
        <v>23</v>
      </c>
      <c r="D916" s="1" t="str">
        <f t="shared" si="89"/>
        <v>89177328</v>
      </c>
      <c r="E916" s="1" t="s">
        <v>24</v>
      </c>
      <c r="F916" s="1" t="str">
        <f t="shared" si="92"/>
        <v>0010</v>
      </c>
      <c r="G916" s="1" t="str">
        <f>""</f>
        <v/>
      </c>
      <c r="H916" s="1" t="str">
        <f>"0036"</f>
        <v>0036</v>
      </c>
      <c r="I916" s="1" t="s">
        <v>143</v>
      </c>
      <c r="J916" s="1" t="str">
        <f>"01043977573"</f>
        <v>01043977573</v>
      </c>
      <c r="K916" s="1" t="str">
        <f>"2017-04-06 09:39:43"</f>
        <v>2017-04-06 09:39:43</v>
      </c>
      <c r="L916" s="1" t="str">
        <f>"2017-04-06 09:39:47"</f>
        <v>2017-04-06 09:39:47</v>
      </c>
      <c r="M916" s="2">
        <v>1.3321759259259261E-2</v>
      </c>
      <c r="N916" s="1" t="s">
        <v>26</v>
      </c>
      <c r="O916" s="1" t="s">
        <v>34</v>
      </c>
      <c r="P916" s="2">
        <v>1.3368055555555557E-2</v>
      </c>
      <c r="Q916" s="1" t="s">
        <v>791</v>
      </c>
      <c r="R916" s="1">
        <v>0</v>
      </c>
      <c r="S916" s="1" t="str">
        <f>""</f>
        <v/>
      </c>
      <c r="T916" s="1" t="s">
        <v>29</v>
      </c>
      <c r="U916" s="1" t="s">
        <v>30</v>
      </c>
      <c r="V916" s="1">
        <v>0</v>
      </c>
    </row>
    <row r="917" spans="2:22" x14ac:dyDescent="0.15">
      <c r="B917" s="1" t="str">
        <f>"182****0993"</f>
        <v>182****0993</v>
      </c>
      <c r="C917" s="1" t="s">
        <v>80</v>
      </c>
      <c r="D917" s="1" t="str">
        <f t="shared" si="89"/>
        <v>89177328</v>
      </c>
      <c r="E917" s="1" t="s">
        <v>24</v>
      </c>
      <c r="F917" s="1" t="str">
        <f t="shared" si="92"/>
        <v>0010</v>
      </c>
      <c r="G917" s="1" t="str">
        <f>""</f>
        <v/>
      </c>
      <c r="H917" s="1" t="str">
        <f>"0036"</f>
        <v>0036</v>
      </c>
      <c r="I917" s="1" t="s">
        <v>143</v>
      </c>
      <c r="J917" s="1" t="str">
        <f>"01043977573"</f>
        <v>01043977573</v>
      </c>
      <c r="K917" s="1" t="str">
        <f>"2017-04-06 09:35:54"</f>
        <v>2017-04-06 09:35:54</v>
      </c>
      <c r="L917" s="1" t="str">
        <f>"2017-04-06 09:36:03"</f>
        <v>2017-04-06 09:36:03</v>
      </c>
      <c r="M917" s="2">
        <v>1.423611111111111E-3</v>
      </c>
      <c r="N917" s="1" t="s">
        <v>26</v>
      </c>
      <c r="O917" s="1" t="s">
        <v>34</v>
      </c>
      <c r="P917" s="2">
        <v>1.5277777777777779E-3</v>
      </c>
      <c r="Q917" s="1" t="s">
        <v>792</v>
      </c>
      <c r="R917" s="1">
        <v>0</v>
      </c>
      <c r="S917" s="1" t="str">
        <f>""</f>
        <v/>
      </c>
      <c r="T917" s="1" t="s">
        <v>29</v>
      </c>
      <c r="U917" s="1" t="s">
        <v>30</v>
      </c>
      <c r="V917" s="1">
        <v>0</v>
      </c>
    </row>
    <row r="918" spans="2:22" x14ac:dyDescent="0.15">
      <c r="B918" s="1" t="str">
        <f>"137****9881"</f>
        <v>137****9881</v>
      </c>
      <c r="C918" s="1" t="s">
        <v>23</v>
      </c>
      <c r="D918" s="1" t="str">
        <f t="shared" si="89"/>
        <v>89177328</v>
      </c>
      <c r="E918" s="1" t="s">
        <v>24</v>
      </c>
      <c r="F918" s="1" t="str">
        <f t="shared" si="92"/>
        <v>0010</v>
      </c>
      <c r="G918" s="1" t="str">
        <f>""</f>
        <v/>
      </c>
      <c r="H918" s="1" t="str">
        <f>"0033"</f>
        <v>0033</v>
      </c>
      <c r="I918" s="1" t="s">
        <v>106</v>
      </c>
      <c r="J918" s="1" t="str">
        <f>"01043977567"</f>
        <v>01043977567</v>
      </c>
      <c r="K918" s="1" t="str">
        <f>"2017-04-06 09:35:35"</f>
        <v>2017-04-06 09:35:35</v>
      </c>
      <c r="L918" s="1" t="str">
        <f>"2017-04-06 09:35:45"</f>
        <v>2017-04-06 09:35:45</v>
      </c>
      <c r="M918" s="2">
        <v>7.7777777777777767E-3</v>
      </c>
      <c r="N918" s="1" t="s">
        <v>26</v>
      </c>
      <c r="O918" s="1" t="s">
        <v>27</v>
      </c>
      <c r="P918" s="2">
        <v>7.8935185185185185E-3</v>
      </c>
      <c r="Q918" s="1" t="s">
        <v>793</v>
      </c>
      <c r="R918" s="1">
        <v>0</v>
      </c>
      <c r="S918" s="1" t="str">
        <f>""</f>
        <v/>
      </c>
      <c r="T918" s="1" t="s">
        <v>29</v>
      </c>
      <c r="U918" s="1" t="s">
        <v>30</v>
      </c>
      <c r="V918" s="1">
        <v>0</v>
      </c>
    </row>
    <row r="919" spans="2:22" x14ac:dyDescent="0.15">
      <c r="B919" s="1" t="str">
        <f>"186****3193"</f>
        <v>186****3193</v>
      </c>
      <c r="C919" s="1" t="s">
        <v>23</v>
      </c>
      <c r="D919" s="1" t="str">
        <f t="shared" si="89"/>
        <v>89177328</v>
      </c>
      <c r="E919" s="1" t="s">
        <v>24</v>
      </c>
      <c r="F919" s="1" t="str">
        <f t="shared" si="92"/>
        <v>0010</v>
      </c>
      <c r="G919" s="1" t="str">
        <f>""</f>
        <v/>
      </c>
      <c r="H919" s="1" t="str">
        <f>"0031"</f>
        <v>0031</v>
      </c>
      <c r="I919" s="1" t="s">
        <v>95</v>
      </c>
      <c r="J919" s="1" t="str">
        <f>"01043977565"</f>
        <v>01043977565</v>
      </c>
      <c r="K919" s="1" t="str">
        <f>"2017-04-06 09:28:28"</f>
        <v>2017-04-06 09:28:28</v>
      </c>
      <c r="L919" s="1" t="str">
        <f>"2017-04-06 09:28:37"</f>
        <v>2017-04-06 09:28:37</v>
      </c>
      <c r="M919" s="2">
        <v>2.4421296296296296E-3</v>
      </c>
      <c r="N919" s="1" t="s">
        <v>26</v>
      </c>
      <c r="O919" s="1" t="s">
        <v>27</v>
      </c>
      <c r="P919" s="2">
        <v>2.5462962962962961E-3</v>
      </c>
      <c r="Q919" s="1" t="s">
        <v>794</v>
      </c>
      <c r="R919" s="1">
        <v>0</v>
      </c>
      <c r="S919" s="1" t="str">
        <f>""</f>
        <v/>
      </c>
      <c r="T919" s="1" t="s">
        <v>29</v>
      </c>
      <c r="U919" s="1" t="s">
        <v>30</v>
      </c>
      <c r="V919" s="1">
        <v>0</v>
      </c>
    </row>
    <row r="920" spans="2:22" x14ac:dyDescent="0.15">
      <c r="B920" s="1" t="str">
        <f>"135****8109"</f>
        <v>135****8109</v>
      </c>
      <c r="C920" s="1" t="s">
        <v>795</v>
      </c>
      <c r="D920" s="1" t="str">
        <f>"4000108333"</f>
        <v>4000108333</v>
      </c>
      <c r="E920" s="1" t="s">
        <v>53</v>
      </c>
      <c r="F920" s="1" t="str">
        <f>"0000"</f>
        <v>0000</v>
      </c>
      <c r="G920" s="1" t="str">
        <f>""</f>
        <v/>
      </c>
      <c r="H920" s="1" t="str">
        <f>"1012"</f>
        <v>1012</v>
      </c>
      <c r="I920" s="1" t="s">
        <v>54</v>
      </c>
      <c r="J920" s="1" t="str">
        <f>"13611040764"</f>
        <v>13611040764</v>
      </c>
      <c r="K920" s="1" t="str">
        <f>"2017-04-06 09:12:26"</f>
        <v>2017-04-06 09:12:26</v>
      </c>
      <c r="L920" s="1" t="str">
        <f>"2017-04-06 09:13:09"</f>
        <v>2017-04-06 09:13:09</v>
      </c>
      <c r="M920" s="2">
        <v>1.4293981481481482E-2</v>
      </c>
      <c r="N920" s="1" t="s">
        <v>26</v>
      </c>
      <c r="O920" s="1" t="s">
        <v>34</v>
      </c>
      <c r="P920" s="2">
        <v>1.4791666666666668E-2</v>
      </c>
      <c r="Q920" s="1" t="s">
        <v>796</v>
      </c>
      <c r="R920" s="1">
        <v>2.64</v>
      </c>
      <c r="S920" s="1" t="str">
        <f>""</f>
        <v/>
      </c>
      <c r="T920" s="1" t="s">
        <v>29</v>
      </c>
      <c r="U920" s="1" t="s">
        <v>30</v>
      </c>
      <c r="V920" s="1">
        <v>0</v>
      </c>
    </row>
    <row r="921" spans="2:22" x14ac:dyDescent="0.15">
      <c r="B921" s="1" t="str">
        <f>"130****0772"</f>
        <v>130****0772</v>
      </c>
      <c r="C921" s="1" t="s">
        <v>23</v>
      </c>
      <c r="D921" s="1" t="str">
        <f t="shared" ref="D921:D944" si="95">"89177328"</f>
        <v>89177328</v>
      </c>
      <c r="E921" s="1" t="s">
        <v>24</v>
      </c>
      <c r="F921" s="1" t="str">
        <f t="shared" ref="F921:F934" si="96">"0010"</f>
        <v>0010</v>
      </c>
      <c r="G921" s="1" t="str">
        <f>""</f>
        <v/>
      </c>
      <c r="H921" s="1" t="str">
        <f>"0034"</f>
        <v>0034</v>
      </c>
      <c r="I921" s="1" t="s">
        <v>31</v>
      </c>
      <c r="J921" s="1" t="str">
        <f>"01043977568"</f>
        <v>01043977568</v>
      </c>
      <c r="K921" s="1" t="str">
        <f>"2017-04-06 09:08:07"</f>
        <v>2017-04-06 09:08:07</v>
      </c>
      <c r="L921" s="1" t="str">
        <f>"2017-04-06 09:08:19"</f>
        <v>2017-04-06 09:08:19</v>
      </c>
      <c r="M921" s="2">
        <v>1.4120370370370369E-3</v>
      </c>
      <c r="N921" s="1" t="s">
        <v>26</v>
      </c>
      <c r="O921" s="1" t="s">
        <v>27</v>
      </c>
      <c r="P921" s="2">
        <v>1.5509259259259261E-3</v>
      </c>
      <c r="Q921" s="1" t="s">
        <v>797</v>
      </c>
      <c r="R921" s="1">
        <v>0</v>
      </c>
      <c r="S921" s="1" t="str">
        <f>""</f>
        <v/>
      </c>
      <c r="T921" s="1" t="s">
        <v>29</v>
      </c>
      <c r="U921" s="1" t="s">
        <v>30</v>
      </c>
      <c r="V921" s="1">
        <v>0</v>
      </c>
    </row>
    <row r="922" spans="2:22" x14ac:dyDescent="0.15">
      <c r="B922" s="1" t="str">
        <f>"173****3801"</f>
        <v>173****3801</v>
      </c>
      <c r="C922" s="1" t="s">
        <v>23</v>
      </c>
      <c r="D922" s="1" t="str">
        <f t="shared" si="95"/>
        <v>89177328</v>
      </c>
      <c r="E922" s="1" t="s">
        <v>24</v>
      </c>
      <c r="F922" s="1" t="str">
        <f t="shared" si="96"/>
        <v>0010</v>
      </c>
      <c r="G922" s="1" t="str">
        <f>""</f>
        <v/>
      </c>
      <c r="H922" s="1" t="str">
        <f>"0010"</f>
        <v>0010</v>
      </c>
      <c r="I922" s="1" t="s">
        <v>71</v>
      </c>
      <c r="J922" s="1" t="str">
        <f>"01043977571"</f>
        <v>01043977571</v>
      </c>
      <c r="K922" s="1" t="str">
        <f>"2017-04-06 09:02:50"</f>
        <v>2017-04-06 09:02:50</v>
      </c>
      <c r="L922" s="1" t="str">
        <f>"2017-04-06 09:03:00"</f>
        <v>2017-04-06 09:03:00</v>
      </c>
      <c r="M922" s="2">
        <v>6.5856481481481469E-3</v>
      </c>
      <c r="N922" s="1" t="s">
        <v>26</v>
      </c>
      <c r="O922" s="1" t="s">
        <v>27</v>
      </c>
      <c r="P922" s="2">
        <v>6.7013888888888887E-3</v>
      </c>
      <c r="Q922" s="1" t="s">
        <v>798</v>
      </c>
      <c r="R922" s="1">
        <v>0</v>
      </c>
      <c r="S922" s="1" t="str">
        <f>""</f>
        <v/>
      </c>
      <c r="T922" s="1" t="s">
        <v>29</v>
      </c>
      <c r="U922" s="1" t="s">
        <v>30</v>
      </c>
      <c r="V922" s="1">
        <v>0</v>
      </c>
    </row>
    <row r="923" spans="2:22" x14ac:dyDescent="0.15">
      <c r="B923" s="1" t="str">
        <f>"158****3724"</f>
        <v>158****3724</v>
      </c>
      <c r="C923" s="1" t="s">
        <v>23</v>
      </c>
      <c r="D923" s="1" t="str">
        <f t="shared" si="95"/>
        <v>89177328</v>
      </c>
      <c r="E923" s="1" t="s">
        <v>24</v>
      </c>
      <c r="F923" s="1" t="str">
        <f t="shared" si="96"/>
        <v>0010</v>
      </c>
      <c r="G923" s="1" t="str">
        <f>""</f>
        <v/>
      </c>
      <c r="H923" s="1" t="str">
        <f>""</f>
        <v/>
      </c>
      <c r="I923" s="1" t="str">
        <f>""</f>
        <v/>
      </c>
      <c r="J923" s="1" t="str">
        <f>""</f>
        <v/>
      </c>
      <c r="K923" s="1" t="str">
        <f>"2017-04-06 08:54:59"</f>
        <v>2017-04-06 08:54:59</v>
      </c>
      <c r="L923" s="1" t="str">
        <f>"-"</f>
        <v>-</v>
      </c>
      <c r="M923" s="2">
        <v>0</v>
      </c>
      <c r="N923" s="1" t="s">
        <v>55</v>
      </c>
      <c r="O923" s="1" t="s">
        <v>34</v>
      </c>
      <c r="P923" s="2">
        <v>5.9027777777777778E-4</v>
      </c>
      <c r="Q923" s="1" t="str">
        <f>""</f>
        <v/>
      </c>
      <c r="R923" s="1">
        <v>0</v>
      </c>
      <c r="S923" s="1" t="str">
        <f>""</f>
        <v/>
      </c>
      <c r="T923" s="1" t="s">
        <v>29</v>
      </c>
      <c r="U923" s="1" t="s">
        <v>30</v>
      </c>
      <c r="V923" s="1">
        <v>0</v>
      </c>
    </row>
    <row r="924" spans="2:22" x14ac:dyDescent="0.15">
      <c r="B924" s="1" t="str">
        <f>"133****7829"</f>
        <v>133****7829</v>
      </c>
      <c r="C924" s="1" t="s">
        <v>23</v>
      </c>
      <c r="D924" s="1" t="str">
        <f t="shared" si="95"/>
        <v>89177328</v>
      </c>
      <c r="E924" s="1" t="s">
        <v>24</v>
      </c>
      <c r="F924" s="1" t="str">
        <f t="shared" si="96"/>
        <v>0010</v>
      </c>
      <c r="G924" s="1" t="str">
        <f>""</f>
        <v/>
      </c>
      <c r="H924" s="1" t="str">
        <f>"0035"</f>
        <v>0035</v>
      </c>
      <c r="I924" s="1" t="s">
        <v>25</v>
      </c>
      <c r="J924" s="1" t="str">
        <f>"01043977569"</f>
        <v>01043977569</v>
      </c>
      <c r="K924" s="1" t="str">
        <f>"2017-04-06 08:54:36"</f>
        <v>2017-04-06 08:54:36</v>
      </c>
      <c r="L924" s="1" t="str">
        <f>"2017-04-06 08:54:45"</f>
        <v>2017-04-06 08:54:45</v>
      </c>
      <c r="M924" s="2">
        <v>5.7060185185185191E-3</v>
      </c>
      <c r="N924" s="1" t="s">
        <v>26</v>
      </c>
      <c r="O924" s="1" t="s">
        <v>27</v>
      </c>
      <c r="P924" s="2">
        <v>5.8101851851851856E-3</v>
      </c>
      <c r="Q924" s="1" t="s">
        <v>799</v>
      </c>
      <c r="R924" s="1">
        <v>0</v>
      </c>
      <c r="S924" s="1" t="str">
        <f>""</f>
        <v/>
      </c>
      <c r="T924" s="1" t="s">
        <v>29</v>
      </c>
      <c r="U924" s="1" t="s">
        <v>30</v>
      </c>
      <c r="V924" s="1">
        <v>0</v>
      </c>
    </row>
    <row r="925" spans="2:22" x14ac:dyDescent="0.15">
      <c r="B925" s="1" t="str">
        <f>"158****9088"</f>
        <v>158****9088</v>
      </c>
      <c r="C925" s="1" t="s">
        <v>23</v>
      </c>
      <c r="D925" s="1" t="str">
        <f t="shared" si="95"/>
        <v>89177328</v>
      </c>
      <c r="E925" s="1" t="s">
        <v>24</v>
      </c>
      <c r="F925" s="1" t="str">
        <f t="shared" si="96"/>
        <v>0010</v>
      </c>
      <c r="G925" s="1" t="str">
        <f>""</f>
        <v/>
      </c>
      <c r="H925" s="1" t="str">
        <f>"0017"</f>
        <v>0017</v>
      </c>
      <c r="I925" s="1" t="s">
        <v>135</v>
      </c>
      <c r="J925" s="1" t="str">
        <f>"01043989717"</f>
        <v>01043989717</v>
      </c>
      <c r="K925" s="1" t="str">
        <f>"2017-04-06 08:52:17"</f>
        <v>2017-04-06 08:52:17</v>
      </c>
      <c r="L925" s="1" t="str">
        <f>"2017-04-06 08:52:25"</f>
        <v>2017-04-06 08:52:25</v>
      </c>
      <c r="M925" s="2">
        <v>6.3078703703703708E-3</v>
      </c>
      <c r="N925" s="1" t="s">
        <v>26</v>
      </c>
      <c r="O925" s="1" t="s">
        <v>27</v>
      </c>
      <c r="P925" s="2">
        <v>6.4004629629629628E-3</v>
      </c>
      <c r="Q925" s="1" t="s">
        <v>800</v>
      </c>
      <c r="R925" s="1">
        <v>0</v>
      </c>
      <c r="S925" s="1" t="str">
        <f>""</f>
        <v/>
      </c>
      <c r="T925" s="1" t="s">
        <v>29</v>
      </c>
      <c r="U925" s="1" t="s">
        <v>30</v>
      </c>
      <c r="V925" s="1">
        <v>0</v>
      </c>
    </row>
    <row r="926" spans="2:22" x14ac:dyDescent="0.15">
      <c r="B926" s="1" t="str">
        <f>"132****9333"</f>
        <v>132****9333</v>
      </c>
      <c r="C926" s="1" t="s">
        <v>801</v>
      </c>
      <c r="D926" s="1" t="str">
        <f t="shared" si="95"/>
        <v>89177328</v>
      </c>
      <c r="E926" s="1" t="s">
        <v>24</v>
      </c>
      <c r="F926" s="1" t="str">
        <f t="shared" si="96"/>
        <v>0010</v>
      </c>
      <c r="G926" s="1" t="str">
        <f>""</f>
        <v/>
      </c>
      <c r="H926" s="1" t="str">
        <f>"0017"</f>
        <v>0017</v>
      </c>
      <c r="I926" s="1" t="s">
        <v>135</v>
      </c>
      <c r="J926" s="1" t="str">
        <f>"01043989717"</f>
        <v>01043989717</v>
      </c>
      <c r="K926" s="1" t="str">
        <f>"2017-04-06 08:44:03"</f>
        <v>2017-04-06 08:44:03</v>
      </c>
      <c r="L926" s="1" t="str">
        <f>"2017-04-06 08:44:10"</f>
        <v>2017-04-06 08:44:10</v>
      </c>
      <c r="M926" s="2">
        <v>3.4953703703703705E-3</v>
      </c>
      <c r="N926" s="1" t="s">
        <v>26</v>
      </c>
      <c r="O926" s="1" t="s">
        <v>27</v>
      </c>
      <c r="P926" s="2">
        <v>3.5763888888888894E-3</v>
      </c>
      <c r="Q926" s="1" t="s">
        <v>802</v>
      </c>
      <c r="R926" s="1">
        <v>0</v>
      </c>
      <c r="S926" s="1" t="str">
        <f>""</f>
        <v/>
      </c>
      <c r="T926" s="1" t="s">
        <v>29</v>
      </c>
      <c r="U926" s="1" t="s">
        <v>30</v>
      </c>
      <c r="V926" s="1">
        <v>0</v>
      </c>
    </row>
    <row r="927" spans="2:22" x14ac:dyDescent="0.15">
      <c r="B927" s="1" t="str">
        <f>"010****9332"</f>
        <v>010****9332</v>
      </c>
      <c r="C927" s="1" t="s">
        <v>23</v>
      </c>
      <c r="D927" s="1" t="str">
        <f t="shared" si="95"/>
        <v>89177328</v>
      </c>
      <c r="E927" s="1" t="s">
        <v>24</v>
      </c>
      <c r="F927" s="1" t="str">
        <f t="shared" si="96"/>
        <v>0010</v>
      </c>
      <c r="G927" s="1" t="str">
        <f>""</f>
        <v/>
      </c>
      <c r="H927" s="1" t="str">
        <f>"0010"</f>
        <v>0010</v>
      </c>
      <c r="I927" s="1" t="s">
        <v>71</v>
      </c>
      <c r="J927" s="1" t="str">
        <f>"01043977571"</f>
        <v>01043977571</v>
      </c>
      <c r="K927" s="1" t="str">
        <f>"2017-04-06 08:43:48"</f>
        <v>2017-04-06 08:43:48</v>
      </c>
      <c r="L927" s="1" t="str">
        <f>"2017-04-06 08:43:59"</f>
        <v>2017-04-06 08:43:59</v>
      </c>
      <c r="M927" s="2">
        <v>6.168981481481481E-3</v>
      </c>
      <c r="N927" s="1" t="s">
        <v>26</v>
      </c>
      <c r="O927" s="1" t="s">
        <v>34</v>
      </c>
      <c r="P927" s="2">
        <v>6.2962962962962964E-3</v>
      </c>
      <c r="Q927" s="1" t="s">
        <v>803</v>
      </c>
      <c r="R927" s="1">
        <v>0</v>
      </c>
      <c r="S927" s="1" t="str">
        <f>""</f>
        <v/>
      </c>
      <c r="T927" s="1" t="s">
        <v>29</v>
      </c>
      <c r="U927" s="1" t="s">
        <v>30</v>
      </c>
      <c r="V927" s="1">
        <v>0</v>
      </c>
    </row>
    <row r="928" spans="2:22" x14ac:dyDescent="0.15">
      <c r="B928" s="1" t="str">
        <f>"134****6419"</f>
        <v>134****6419</v>
      </c>
      <c r="C928" s="1" t="s">
        <v>23</v>
      </c>
      <c r="D928" s="1" t="str">
        <f t="shared" si="95"/>
        <v>89177328</v>
      </c>
      <c r="E928" s="1" t="s">
        <v>24</v>
      </c>
      <c r="F928" s="1" t="str">
        <f t="shared" si="96"/>
        <v>0010</v>
      </c>
      <c r="G928" s="1" t="str">
        <f>""</f>
        <v/>
      </c>
      <c r="H928" s="1" t="str">
        <f>"0010"</f>
        <v>0010</v>
      </c>
      <c r="I928" s="1" t="s">
        <v>71</v>
      </c>
      <c r="J928" s="1" t="str">
        <f>"01043977571"</f>
        <v>01043977571</v>
      </c>
      <c r="K928" s="1" t="str">
        <f>"2017-04-06 08:27:59"</f>
        <v>2017-04-06 08:27:59</v>
      </c>
      <c r="L928" s="1" t="str">
        <f>"2017-04-06 08:28:09"</f>
        <v>2017-04-06 08:28:09</v>
      </c>
      <c r="M928" s="2">
        <v>6.0416666666666665E-3</v>
      </c>
      <c r="N928" s="1" t="s">
        <v>26</v>
      </c>
      <c r="O928" s="1" t="s">
        <v>27</v>
      </c>
      <c r="P928" s="2">
        <v>6.1574074074074074E-3</v>
      </c>
      <c r="Q928" s="1" t="s">
        <v>804</v>
      </c>
      <c r="R928" s="1">
        <v>0</v>
      </c>
      <c r="S928" s="1" t="str">
        <f>""</f>
        <v/>
      </c>
      <c r="T928" s="1" t="s">
        <v>29</v>
      </c>
      <c r="U928" s="1" t="s">
        <v>30</v>
      </c>
      <c r="V928" s="1">
        <v>0</v>
      </c>
    </row>
    <row r="929" spans="2:22" x14ac:dyDescent="0.15">
      <c r="B929" s="1" t="str">
        <f>"152****5498"</f>
        <v>152****5498</v>
      </c>
      <c r="C929" s="1" t="s">
        <v>23</v>
      </c>
      <c r="D929" s="1" t="str">
        <f t="shared" si="95"/>
        <v>89177328</v>
      </c>
      <c r="E929" s="1" t="s">
        <v>24</v>
      </c>
      <c r="F929" s="1" t="str">
        <f t="shared" si="96"/>
        <v>0010</v>
      </c>
      <c r="G929" s="1" t="str">
        <f>""</f>
        <v/>
      </c>
      <c r="H929" s="1" t="str">
        <f>"0017"</f>
        <v>0017</v>
      </c>
      <c r="I929" s="1" t="s">
        <v>135</v>
      </c>
      <c r="J929" s="1" t="str">
        <f>"01043989717"</f>
        <v>01043989717</v>
      </c>
      <c r="K929" s="1" t="str">
        <f>"2017-04-06 08:13:33"</f>
        <v>2017-04-06 08:13:33</v>
      </c>
      <c r="L929" s="1" t="str">
        <f>"2017-04-06 08:13:38"</f>
        <v>2017-04-06 08:13:38</v>
      </c>
      <c r="M929" s="2">
        <v>1.2268518518518518E-3</v>
      </c>
      <c r="N929" s="1" t="s">
        <v>26</v>
      </c>
      <c r="O929" s="1" t="s">
        <v>27</v>
      </c>
      <c r="P929" s="2">
        <v>1.2847222222222223E-3</v>
      </c>
      <c r="Q929" s="1" t="s">
        <v>805</v>
      </c>
      <c r="R929" s="1">
        <v>0</v>
      </c>
      <c r="S929" s="1" t="str">
        <f>""</f>
        <v/>
      </c>
      <c r="T929" s="1" t="s">
        <v>29</v>
      </c>
      <c r="U929" s="1" t="s">
        <v>30</v>
      </c>
      <c r="V929" s="1">
        <v>0</v>
      </c>
    </row>
    <row r="930" spans="2:22" x14ac:dyDescent="0.15">
      <c r="B930" s="1" t="str">
        <f>"0316013261664229"</f>
        <v>0316013261664229</v>
      </c>
      <c r="C930" s="1" t="s">
        <v>51</v>
      </c>
      <c r="D930" s="1" t="str">
        <f t="shared" si="95"/>
        <v>89177328</v>
      </c>
      <c r="E930" s="1" t="s">
        <v>24</v>
      </c>
      <c r="F930" s="1" t="str">
        <f t="shared" si="96"/>
        <v>0010</v>
      </c>
      <c r="G930" s="1" t="str">
        <f>""</f>
        <v/>
      </c>
      <c r="H930" s="1" t="str">
        <f>"0017"</f>
        <v>0017</v>
      </c>
      <c r="I930" s="1" t="s">
        <v>135</v>
      </c>
      <c r="J930" s="1" t="str">
        <f>"01043989717"</f>
        <v>01043989717</v>
      </c>
      <c r="K930" s="1" t="str">
        <f>"2017-04-06 08:11:43"</f>
        <v>2017-04-06 08:11:43</v>
      </c>
      <c r="L930" s="1" t="str">
        <f>"2017-04-06 08:11:53"</f>
        <v>2017-04-06 08:11:53</v>
      </c>
      <c r="M930" s="2">
        <v>3.4722222222222222E-5</v>
      </c>
      <c r="N930" s="1" t="s">
        <v>26</v>
      </c>
      <c r="O930" s="1" t="s">
        <v>34</v>
      </c>
      <c r="P930" s="2">
        <v>1.5046296296296297E-4</v>
      </c>
      <c r="Q930" s="1" t="str">
        <f>""</f>
        <v/>
      </c>
      <c r="R930" s="1">
        <v>0</v>
      </c>
      <c r="S930" s="1" t="str">
        <f>""</f>
        <v/>
      </c>
      <c r="T930" s="1" t="s">
        <v>29</v>
      </c>
      <c r="U930" s="1" t="s">
        <v>30</v>
      </c>
      <c r="V930" s="1">
        <v>0</v>
      </c>
    </row>
    <row r="931" spans="2:22" x14ac:dyDescent="0.15">
      <c r="B931" s="1" t="str">
        <f>"187****1983"</f>
        <v>187****1983</v>
      </c>
      <c r="C931" s="1" t="s">
        <v>283</v>
      </c>
      <c r="D931" s="1" t="str">
        <f t="shared" si="95"/>
        <v>89177328</v>
      </c>
      <c r="E931" s="1" t="s">
        <v>24</v>
      </c>
      <c r="F931" s="1" t="str">
        <f t="shared" si="96"/>
        <v>0010</v>
      </c>
      <c r="G931" s="1" t="str">
        <f>""</f>
        <v/>
      </c>
      <c r="H931" s="1" t="str">
        <f>"0035"</f>
        <v>0035</v>
      </c>
      <c r="I931" s="1" t="s">
        <v>25</v>
      </c>
      <c r="J931" s="1" t="str">
        <f>"01043977569"</f>
        <v>01043977569</v>
      </c>
      <c r="K931" s="1" t="str">
        <f>"2017-04-06 08:06:23"</f>
        <v>2017-04-06 08:06:23</v>
      </c>
      <c r="L931" s="1" t="str">
        <f>"2017-04-06 08:06:33"</f>
        <v>2017-04-06 08:06:33</v>
      </c>
      <c r="M931" s="2">
        <v>1.300925925925926E-2</v>
      </c>
      <c r="N931" s="1" t="s">
        <v>26</v>
      </c>
      <c r="O931" s="1" t="s">
        <v>27</v>
      </c>
      <c r="P931" s="2">
        <v>1.3125E-2</v>
      </c>
      <c r="Q931" s="1" t="s">
        <v>806</v>
      </c>
      <c r="R931" s="1">
        <v>0</v>
      </c>
      <c r="S931" s="1" t="str">
        <f>""</f>
        <v/>
      </c>
      <c r="T931" s="1" t="s">
        <v>29</v>
      </c>
      <c r="U931" s="1" t="s">
        <v>30</v>
      </c>
      <c r="V931" s="1">
        <v>0</v>
      </c>
    </row>
    <row r="932" spans="2:22" x14ac:dyDescent="0.15">
      <c r="B932" s="1" t="str">
        <f>"130****5656"</f>
        <v>130****5656</v>
      </c>
      <c r="C932" s="1" t="s">
        <v>112</v>
      </c>
      <c r="D932" s="1" t="str">
        <f t="shared" si="95"/>
        <v>89177328</v>
      </c>
      <c r="E932" s="1" t="s">
        <v>24</v>
      </c>
      <c r="F932" s="1" t="str">
        <f t="shared" si="96"/>
        <v>0010</v>
      </c>
      <c r="G932" s="1" t="str">
        <f>""</f>
        <v/>
      </c>
      <c r="H932" s="1" t="str">
        <f>"0035"</f>
        <v>0035</v>
      </c>
      <c r="I932" s="1" t="s">
        <v>25</v>
      </c>
      <c r="J932" s="1" t="str">
        <f>"01043977569"</f>
        <v>01043977569</v>
      </c>
      <c r="K932" s="1" t="str">
        <f>"2017-04-06 08:02:14"</f>
        <v>2017-04-06 08:02:14</v>
      </c>
      <c r="L932" s="1" t="str">
        <f>"-"</f>
        <v>-</v>
      </c>
      <c r="M932" s="2">
        <v>0</v>
      </c>
      <c r="N932" s="1" t="s">
        <v>33</v>
      </c>
      <c r="O932" s="1" t="s">
        <v>34</v>
      </c>
      <c r="P932" s="2">
        <v>6.9444444444444444E-5</v>
      </c>
      <c r="Q932" s="1" t="str">
        <f>""</f>
        <v/>
      </c>
      <c r="R932" s="1">
        <v>0</v>
      </c>
      <c r="S932" s="1" t="str">
        <f>""</f>
        <v/>
      </c>
      <c r="T932" s="1" t="s">
        <v>29</v>
      </c>
      <c r="U932" s="1" t="s">
        <v>30</v>
      </c>
      <c r="V932" s="1">
        <v>0</v>
      </c>
    </row>
    <row r="933" spans="2:22" x14ac:dyDescent="0.15">
      <c r="B933" s="1" t="str">
        <f>"130****5656"</f>
        <v>130****5656</v>
      </c>
      <c r="C933" s="1" t="s">
        <v>112</v>
      </c>
      <c r="D933" s="1" t="str">
        <f t="shared" si="95"/>
        <v>89177328</v>
      </c>
      <c r="E933" s="1" t="s">
        <v>24</v>
      </c>
      <c r="F933" s="1" t="str">
        <f t="shared" si="96"/>
        <v>0010</v>
      </c>
      <c r="G933" s="1" t="str">
        <f>""</f>
        <v/>
      </c>
      <c r="H933" s="1" t="str">
        <f>"0017"</f>
        <v>0017</v>
      </c>
      <c r="I933" s="1" t="s">
        <v>135</v>
      </c>
      <c r="J933" s="1" t="str">
        <f>"01043989717"</f>
        <v>01043989717</v>
      </c>
      <c r="K933" s="1" t="str">
        <f>"2017-04-06 08:02:02"</f>
        <v>2017-04-06 08:02:02</v>
      </c>
      <c r="L933" s="1" t="str">
        <f>"-"</f>
        <v>-</v>
      </c>
      <c r="M933" s="2">
        <v>0</v>
      </c>
      <c r="N933" s="1" t="s">
        <v>33</v>
      </c>
      <c r="O933" s="1" t="s">
        <v>34</v>
      </c>
      <c r="P933" s="2">
        <v>3.4722222222222222E-5</v>
      </c>
      <c r="Q933" s="1" t="str">
        <f>""</f>
        <v/>
      </c>
      <c r="R933" s="1">
        <v>0</v>
      </c>
      <c r="S933" s="1" t="str">
        <f>""</f>
        <v/>
      </c>
      <c r="T933" s="1" t="s">
        <v>29</v>
      </c>
      <c r="U933" s="1" t="s">
        <v>30</v>
      </c>
      <c r="V933" s="1">
        <v>0</v>
      </c>
    </row>
    <row r="934" spans="2:22" x14ac:dyDescent="0.15">
      <c r="B934" s="1" t="str">
        <f>"010****0199"</f>
        <v>010****0199</v>
      </c>
      <c r="C934" s="1" t="s">
        <v>23</v>
      </c>
      <c r="D934" s="1" t="str">
        <f t="shared" si="95"/>
        <v>89177328</v>
      </c>
      <c r="E934" s="1" t="s">
        <v>24</v>
      </c>
      <c r="F934" s="1" t="str">
        <f t="shared" si="96"/>
        <v>0010</v>
      </c>
      <c r="G934" s="1" t="str">
        <f>""</f>
        <v/>
      </c>
      <c r="H934" s="1" t="str">
        <f>"0010"</f>
        <v>0010</v>
      </c>
      <c r="I934" s="1" t="s">
        <v>71</v>
      </c>
      <c r="J934" s="1" t="str">
        <f>"01043977571"</f>
        <v>01043977571</v>
      </c>
      <c r="K934" s="1" t="str">
        <f>"2017-04-06 08:01:45"</f>
        <v>2017-04-06 08:01:45</v>
      </c>
      <c r="L934" s="1" t="str">
        <f>"2017-04-06 08:01:54"</f>
        <v>2017-04-06 08:01:54</v>
      </c>
      <c r="M934" s="2">
        <v>1.2430555555555554E-2</v>
      </c>
      <c r="N934" s="1" t="s">
        <v>26</v>
      </c>
      <c r="O934" s="1" t="s">
        <v>34</v>
      </c>
      <c r="P934" s="2">
        <v>1.2534722222222223E-2</v>
      </c>
      <c r="Q934" s="1" t="s">
        <v>807</v>
      </c>
      <c r="R934" s="1">
        <v>0</v>
      </c>
      <c r="S934" s="1" t="str">
        <f>""</f>
        <v/>
      </c>
      <c r="T934" s="1" t="s">
        <v>29</v>
      </c>
      <c r="U934" s="1" t="s">
        <v>30</v>
      </c>
      <c r="V934" s="1">
        <v>0</v>
      </c>
    </row>
    <row r="935" spans="2:22" x14ac:dyDescent="0.15">
      <c r="B935" s="1" t="str">
        <f>"130****5656"</f>
        <v>130****5656</v>
      </c>
      <c r="C935" s="1" t="s">
        <v>112</v>
      </c>
      <c r="D935" s="1" t="str">
        <f t="shared" si="95"/>
        <v>89177328</v>
      </c>
      <c r="E935" s="1" t="s">
        <v>181</v>
      </c>
      <c r="F935" s="1" t="str">
        <f>""</f>
        <v/>
      </c>
      <c r="G935" s="1" t="str">
        <f>""</f>
        <v/>
      </c>
      <c r="H935" s="1" t="str">
        <f>""</f>
        <v/>
      </c>
      <c r="I935" s="1" t="str">
        <f>""</f>
        <v/>
      </c>
      <c r="J935" s="1" t="str">
        <f>""</f>
        <v/>
      </c>
      <c r="K935" s="1" t="str">
        <f>"2017-04-06 07:56:31"</f>
        <v>2017-04-06 07:56:31</v>
      </c>
      <c r="L935" s="1" t="str">
        <f>"-"</f>
        <v>-</v>
      </c>
      <c r="M935" s="2">
        <v>0</v>
      </c>
      <c r="N935" s="1" t="s">
        <v>55</v>
      </c>
      <c r="O935" s="1" t="s">
        <v>34</v>
      </c>
      <c r="P935" s="2">
        <v>1.0416666666666667E-4</v>
      </c>
      <c r="Q935" s="1" t="str">
        <f>""</f>
        <v/>
      </c>
      <c r="R935" s="1">
        <v>0</v>
      </c>
      <c r="S935" s="1" t="str">
        <f>""</f>
        <v/>
      </c>
      <c r="T935" s="1" t="s">
        <v>183</v>
      </c>
      <c r="U935" s="1" t="s">
        <v>30</v>
      </c>
      <c r="V935" s="1">
        <v>0</v>
      </c>
    </row>
    <row r="936" spans="2:22" x14ac:dyDescent="0.15">
      <c r="B936" s="1" t="str">
        <f>"132****6631"</f>
        <v>132****6631</v>
      </c>
      <c r="C936" s="1" t="s">
        <v>23</v>
      </c>
      <c r="D936" s="1" t="str">
        <f t="shared" si="95"/>
        <v>89177328</v>
      </c>
      <c r="E936" s="1" t="s">
        <v>181</v>
      </c>
      <c r="F936" s="1" t="str">
        <f>""</f>
        <v/>
      </c>
      <c r="G936" s="1" t="str">
        <f>""</f>
        <v/>
      </c>
      <c r="H936" s="1" t="str">
        <f>""</f>
        <v/>
      </c>
      <c r="I936" s="1" t="str">
        <f>""</f>
        <v/>
      </c>
      <c r="J936" s="1" t="str">
        <f>""</f>
        <v/>
      </c>
      <c r="K936" s="1" t="str">
        <f>"2017-04-06 07:13:09"</f>
        <v>2017-04-06 07:13:09</v>
      </c>
      <c r="L936" s="1" t="str">
        <f>"2017-04-06 07:13:19"</f>
        <v>2017-04-06 07:13:19</v>
      </c>
      <c r="M936" s="2">
        <v>5.7870370370370366E-5</v>
      </c>
      <c r="N936" s="1" t="s">
        <v>55</v>
      </c>
      <c r="O936" s="1" t="s">
        <v>34</v>
      </c>
      <c r="P936" s="2">
        <v>2.6620370370370372E-4</v>
      </c>
      <c r="Q936" s="1" t="str">
        <f>""</f>
        <v/>
      </c>
      <c r="R936" s="1">
        <v>0</v>
      </c>
      <c r="S936" s="1" t="str">
        <f>""</f>
        <v/>
      </c>
      <c r="T936" s="1" t="s">
        <v>183</v>
      </c>
      <c r="U936" s="1" t="s">
        <v>30</v>
      </c>
      <c r="V936" s="1">
        <v>0</v>
      </c>
    </row>
    <row r="937" spans="2:22" x14ac:dyDescent="0.15">
      <c r="B937" s="1" t="str">
        <f>"180****1693"</f>
        <v>180****1693</v>
      </c>
      <c r="C937" s="1" t="s">
        <v>23</v>
      </c>
      <c r="D937" s="1" t="str">
        <f t="shared" si="95"/>
        <v>89177328</v>
      </c>
      <c r="E937" s="1" t="s">
        <v>24</v>
      </c>
      <c r="F937" s="1" t="str">
        <f t="shared" ref="F937:F944" si="97">"0010"</f>
        <v>0010</v>
      </c>
      <c r="G937" s="1" t="str">
        <f>""</f>
        <v/>
      </c>
      <c r="H937" s="1" t="str">
        <f>"0010"</f>
        <v>0010</v>
      </c>
      <c r="I937" s="1" t="s">
        <v>71</v>
      </c>
      <c r="J937" s="1" t="str">
        <f>"01043977571"</f>
        <v>01043977571</v>
      </c>
      <c r="K937" s="1" t="str">
        <f>"2017-04-05 20:34:54"</f>
        <v>2017-04-05 20:34:54</v>
      </c>
      <c r="L937" s="1" t="str">
        <f>"-"</f>
        <v>-</v>
      </c>
      <c r="M937" s="2">
        <v>0</v>
      </c>
      <c r="N937" s="1" t="s">
        <v>33</v>
      </c>
      <c r="O937" s="1" t="s">
        <v>34</v>
      </c>
      <c r="P937" s="2">
        <v>2.3148148148148147E-5</v>
      </c>
      <c r="Q937" s="1" t="str">
        <f>""</f>
        <v/>
      </c>
      <c r="R937" s="1">
        <v>0</v>
      </c>
      <c r="S937" s="1" t="str">
        <f>""</f>
        <v/>
      </c>
      <c r="T937" s="1" t="s">
        <v>29</v>
      </c>
      <c r="U937" s="1" t="s">
        <v>30</v>
      </c>
      <c r="V937" s="1">
        <v>0</v>
      </c>
    </row>
    <row r="938" spans="2:22" x14ac:dyDescent="0.15">
      <c r="B938" s="1" t="str">
        <f>"138****9027"</f>
        <v>138****9027</v>
      </c>
      <c r="C938" s="1" t="s">
        <v>23</v>
      </c>
      <c r="D938" s="1" t="str">
        <f t="shared" si="95"/>
        <v>89177328</v>
      </c>
      <c r="E938" s="1" t="s">
        <v>24</v>
      </c>
      <c r="F938" s="1" t="str">
        <f t="shared" si="97"/>
        <v>0010</v>
      </c>
      <c r="G938" s="1" t="str">
        <f>""</f>
        <v/>
      </c>
      <c r="H938" s="1" t="str">
        <f>"0010"</f>
        <v>0010</v>
      </c>
      <c r="I938" s="1" t="s">
        <v>71</v>
      </c>
      <c r="J938" s="1" t="str">
        <f>"01043977571"</f>
        <v>01043977571</v>
      </c>
      <c r="K938" s="1" t="str">
        <f>"2017-04-05 20:27:48"</f>
        <v>2017-04-05 20:27:48</v>
      </c>
      <c r="L938" s="1" t="str">
        <f>"2017-04-05 20:27:58"</f>
        <v>2017-04-05 20:27:58</v>
      </c>
      <c r="M938" s="2">
        <v>1.25E-3</v>
      </c>
      <c r="N938" s="1" t="s">
        <v>26</v>
      </c>
      <c r="O938" s="1" t="s">
        <v>27</v>
      </c>
      <c r="P938" s="2">
        <v>1.3657407407407409E-3</v>
      </c>
      <c r="Q938" s="1" t="s">
        <v>808</v>
      </c>
      <c r="R938" s="1">
        <v>0</v>
      </c>
      <c r="S938" s="1" t="str">
        <f>""</f>
        <v/>
      </c>
      <c r="T938" s="1" t="s">
        <v>29</v>
      </c>
      <c r="U938" s="1" t="s">
        <v>30</v>
      </c>
      <c r="V938" s="1">
        <v>0</v>
      </c>
    </row>
    <row r="939" spans="2:22" x14ac:dyDescent="0.15">
      <c r="B939" s="1" t="str">
        <f>"137****9974"</f>
        <v>137****9974</v>
      </c>
      <c r="C939" s="1" t="s">
        <v>809</v>
      </c>
      <c r="D939" s="1" t="str">
        <f t="shared" si="95"/>
        <v>89177328</v>
      </c>
      <c r="E939" s="1" t="s">
        <v>24</v>
      </c>
      <c r="F939" s="1" t="str">
        <f t="shared" si="97"/>
        <v>0010</v>
      </c>
      <c r="G939" s="1" t="str">
        <f>""</f>
        <v/>
      </c>
      <c r="H939" s="1" t="str">
        <f>"0012"</f>
        <v>0012</v>
      </c>
      <c r="I939" s="1" t="s">
        <v>612</v>
      </c>
      <c r="J939" s="1" t="str">
        <f>"01043989720"</f>
        <v>01043989720</v>
      </c>
      <c r="K939" s="1" t="str">
        <f>"2017-04-05 20:06:57"</f>
        <v>2017-04-05 20:06:57</v>
      </c>
      <c r="L939" s="1" t="str">
        <f>"2017-04-05 20:07:07"</f>
        <v>2017-04-05 20:07:07</v>
      </c>
      <c r="M939" s="2">
        <v>1.4293981481481482E-2</v>
      </c>
      <c r="N939" s="1" t="s">
        <v>26</v>
      </c>
      <c r="O939" s="1" t="s">
        <v>27</v>
      </c>
      <c r="P939" s="2">
        <v>1.4409722222222221E-2</v>
      </c>
      <c r="Q939" s="1" t="s">
        <v>810</v>
      </c>
      <c r="R939" s="1">
        <v>0</v>
      </c>
      <c r="S939" s="1" t="str">
        <f>""</f>
        <v/>
      </c>
      <c r="T939" s="1" t="s">
        <v>29</v>
      </c>
      <c r="U939" s="1" t="s">
        <v>30</v>
      </c>
      <c r="V939" s="1">
        <v>0</v>
      </c>
    </row>
    <row r="940" spans="2:22" x14ac:dyDescent="0.15">
      <c r="B940" s="1" t="str">
        <f>"138****0647"</f>
        <v>138****0647</v>
      </c>
      <c r="C940" s="1" t="s">
        <v>23</v>
      </c>
      <c r="D940" s="1" t="str">
        <f t="shared" si="95"/>
        <v>89177328</v>
      </c>
      <c r="E940" s="1" t="s">
        <v>24</v>
      </c>
      <c r="F940" s="1" t="str">
        <f t="shared" si="97"/>
        <v>0010</v>
      </c>
      <c r="G940" s="1" t="str">
        <f>""</f>
        <v/>
      </c>
      <c r="H940" s="1" t="str">
        <f>"0017"</f>
        <v>0017</v>
      </c>
      <c r="I940" s="1" t="s">
        <v>135</v>
      </c>
      <c r="J940" s="1" t="str">
        <f>"01043989717"</f>
        <v>01043989717</v>
      </c>
      <c r="K940" s="1" t="str">
        <f>"2017-04-05 20:02:43"</f>
        <v>2017-04-05 20:02:43</v>
      </c>
      <c r="L940" s="1" t="str">
        <f>"2017-04-05 20:02:52"</f>
        <v>2017-04-05 20:02:52</v>
      </c>
      <c r="M940" s="2">
        <v>6.076388888888889E-3</v>
      </c>
      <c r="N940" s="1" t="s">
        <v>26</v>
      </c>
      <c r="O940" s="1" t="s">
        <v>34</v>
      </c>
      <c r="P940" s="2">
        <v>6.1805555555555563E-3</v>
      </c>
      <c r="Q940" s="1" t="s">
        <v>811</v>
      </c>
      <c r="R940" s="1">
        <v>0</v>
      </c>
      <c r="S940" s="1" t="str">
        <f>""</f>
        <v/>
      </c>
      <c r="T940" s="1" t="s">
        <v>29</v>
      </c>
      <c r="U940" s="1" t="s">
        <v>30</v>
      </c>
      <c r="V940" s="1">
        <v>0</v>
      </c>
    </row>
    <row r="941" spans="2:22" x14ac:dyDescent="0.15">
      <c r="B941" s="1" t="str">
        <f>"135****4476"</f>
        <v>135****4476</v>
      </c>
      <c r="C941" s="1" t="s">
        <v>23</v>
      </c>
      <c r="D941" s="1" t="str">
        <f t="shared" si="95"/>
        <v>89177328</v>
      </c>
      <c r="E941" s="1" t="s">
        <v>24</v>
      </c>
      <c r="F941" s="1" t="str">
        <f t="shared" si="97"/>
        <v>0010</v>
      </c>
      <c r="G941" s="1" t="str">
        <f>""</f>
        <v/>
      </c>
      <c r="H941" s="1" t="str">
        <f>"0036"</f>
        <v>0036</v>
      </c>
      <c r="I941" s="1" t="s">
        <v>143</v>
      </c>
      <c r="J941" s="1" t="str">
        <f>"01043977573"</f>
        <v>01043977573</v>
      </c>
      <c r="K941" s="1" t="str">
        <f>"2017-04-05 19:53:11"</f>
        <v>2017-04-05 19:53:11</v>
      </c>
      <c r="L941" s="1" t="str">
        <f>"2017-04-05 19:53:56"</f>
        <v>2017-04-05 19:53:56</v>
      </c>
      <c r="M941" s="2">
        <v>2.1273148148148149E-2</v>
      </c>
      <c r="N941" s="1" t="s">
        <v>26</v>
      </c>
      <c r="O941" s="1" t="s">
        <v>34</v>
      </c>
      <c r="P941" s="2">
        <v>2.179398148148148E-2</v>
      </c>
      <c r="Q941" s="1" t="s">
        <v>812</v>
      </c>
      <c r="R941" s="1">
        <v>0</v>
      </c>
      <c r="S941" s="1" t="str">
        <f>""</f>
        <v/>
      </c>
      <c r="T941" s="1" t="s">
        <v>29</v>
      </c>
      <c r="U941" s="1" t="s">
        <v>30</v>
      </c>
      <c r="V941" s="1">
        <v>0</v>
      </c>
    </row>
    <row r="942" spans="2:22" x14ac:dyDescent="0.15">
      <c r="B942" s="1" t="str">
        <f>"137****8570"</f>
        <v>137****8570</v>
      </c>
      <c r="C942" s="1" t="s">
        <v>23</v>
      </c>
      <c r="D942" s="1" t="str">
        <f t="shared" si="95"/>
        <v>89177328</v>
      </c>
      <c r="E942" s="1" t="s">
        <v>24</v>
      </c>
      <c r="F942" s="1" t="str">
        <f t="shared" si="97"/>
        <v>0010</v>
      </c>
      <c r="G942" s="1" t="str">
        <f>""</f>
        <v/>
      </c>
      <c r="H942" s="1" t="str">
        <f>"0017"</f>
        <v>0017</v>
      </c>
      <c r="I942" s="1" t="s">
        <v>135</v>
      </c>
      <c r="J942" s="1" t="str">
        <f>"01043989717"</f>
        <v>01043989717</v>
      </c>
      <c r="K942" s="1" t="str">
        <f>"2017-04-05 19:49:31"</f>
        <v>2017-04-05 19:49:31</v>
      </c>
      <c r="L942" s="1" t="str">
        <f>"2017-04-05 19:49:40"</f>
        <v>2017-04-05 19:49:40</v>
      </c>
      <c r="M942" s="2">
        <v>7.0254629629629634E-3</v>
      </c>
      <c r="N942" s="1" t="s">
        <v>26</v>
      </c>
      <c r="O942" s="1" t="s">
        <v>34</v>
      </c>
      <c r="P942" s="2">
        <v>7.1296296296296307E-3</v>
      </c>
      <c r="Q942" s="1" t="s">
        <v>813</v>
      </c>
      <c r="R942" s="1">
        <v>0</v>
      </c>
      <c r="S942" s="1" t="str">
        <f>""</f>
        <v/>
      </c>
      <c r="T942" s="1" t="s">
        <v>29</v>
      </c>
      <c r="U942" s="1" t="s">
        <v>30</v>
      </c>
      <c r="V942" s="1">
        <v>0</v>
      </c>
    </row>
    <row r="943" spans="2:22" x14ac:dyDescent="0.15">
      <c r="B943" s="1" t="str">
        <f>"134****8276"</f>
        <v>134****8276</v>
      </c>
      <c r="C943" s="1" t="s">
        <v>23</v>
      </c>
      <c r="D943" s="1" t="str">
        <f t="shared" si="95"/>
        <v>89177328</v>
      </c>
      <c r="E943" s="1" t="s">
        <v>24</v>
      </c>
      <c r="F943" s="1" t="str">
        <f t="shared" si="97"/>
        <v>0010</v>
      </c>
      <c r="G943" s="1" t="str">
        <f>""</f>
        <v/>
      </c>
      <c r="H943" s="1" t="str">
        <f>"0036"</f>
        <v>0036</v>
      </c>
      <c r="I943" s="1" t="s">
        <v>143</v>
      </c>
      <c r="J943" s="1" t="str">
        <f>"01043977573"</f>
        <v>01043977573</v>
      </c>
      <c r="K943" s="1" t="str">
        <f>"2017-04-05 19:42:55"</f>
        <v>2017-04-05 19:42:55</v>
      </c>
      <c r="L943" s="1" t="str">
        <f>"2017-04-05 19:42:58"</f>
        <v>2017-04-05 19:42:58</v>
      </c>
      <c r="M943" s="2">
        <v>7.4768518518518526E-3</v>
      </c>
      <c r="N943" s="1" t="s">
        <v>26</v>
      </c>
      <c r="O943" s="1" t="s">
        <v>34</v>
      </c>
      <c r="P943" s="2">
        <v>7.5115740740740742E-3</v>
      </c>
      <c r="Q943" s="1" t="s">
        <v>814</v>
      </c>
      <c r="R943" s="1">
        <v>0</v>
      </c>
      <c r="S943" s="1" t="str">
        <f>""</f>
        <v/>
      </c>
      <c r="T943" s="1" t="s">
        <v>29</v>
      </c>
      <c r="U943" s="1" t="s">
        <v>30</v>
      </c>
      <c r="V943" s="1">
        <v>0</v>
      </c>
    </row>
    <row r="944" spans="2:22" x14ac:dyDescent="0.15">
      <c r="B944" s="1" t="str">
        <f>"134****3531"</f>
        <v>134****3531</v>
      </c>
      <c r="C944" s="1" t="s">
        <v>23</v>
      </c>
      <c r="D944" s="1" t="str">
        <f t="shared" si="95"/>
        <v>89177328</v>
      </c>
      <c r="E944" s="1" t="s">
        <v>24</v>
      </c>
      <c r="F944" s="1" t="str">
        <f t="shared" si="97"/>
        <v>0010</v>
      </c>
      <c r="G944" s="1" t="str">
        <f>""</f>
        <v/>
      </c>
      <c r="H944" s="1" t="str">
        <f>"0036"</f>
        <v>0036</v>
      </c>
      <c r="I944" s="1" t="s">
        <v>143</v>
      </c>
      <c r="J944" s="1" t="str">
        <f>"01043977573"</f>
        <v>01043977573</v>
      </c>
      <c r="K944" s="1" t="str">
        <f>"2017-04-05 19:15:42"</f>
        <v>2017-04-05 19:15:42</v>
      </c>
      <c r="L944" s="1" t="str">
        <f>"2017-04-05 19:15:48"</f>
        <v>2017-04-05 19:15:48</v>
      </c>
      <c r="M944" s="2">
        <v>2.615740740740741E-3</v>
      </c>
      <c r="N944" s="1" t="s">
        <v>26</v>
      </c>
      <c r="O944" s="1" t="s">
        <v>34</v>
      </c>
      <c r="P944" s="2">
        <v>2.685185185185185E-3</v>
      </c>
      <c r="Q944" s="1" t="s">
        <v>815</v>
      </c>
      <c r="R944" s="1">
        <v>0</v>
      </c>
      <c r="S944" s="1" t="str">
        <f>""</f>
        <v/>
      </c>
      <c r="T944" s="1" t="s">
        <v>29</v>
      </c>
      <c r="U944" s="1" t="s">
        <v>30</v>
      </c>
      <c r="V944" s="1">
        <v>0</v>
      </c>
    </row>
    <row r="945" spans="2:22" x14ac:dyDescent="0.15">
      <c r="B945" s="1" t="str">
        <f>"139****6690"</f>
        <v>139****6690</v>
      </c>
      <c r="C945" s="1" t="s">
        <v>23</v>
      </c>
      <c r="D945" s="1" t="str">
        <f>"4000108333"</f>
        <v>4000108333</v>
      </c>
      <c r="E945" s="1" t="s">
        <v>53</v>
      </c>
      <c r="F945" s="1" t="str">
        <f>"0000"</f>
        <v>0000</v>
      </c>
      <c r="G945" s="1" t="str">
        <f>""</f>
        <v/>
      </c>
      <c r="H945" s="1" t="str">
        <f>"1012"</f>
        <v>1012</v>
      </c>
      <c r="I945" s="1" t="s">
        <v>54</v>
      </c>
      <c r="J945" s="1" t="str">
        <f>"13611040764"</f>
        <v>13611040764</v>
      </c>
      <c r="K945" s="1" t="str">
        <f>"2017-04-05 18:57:35"</f>
        <v>2017-04-05 18:57:35</v>
      </c>
      <c r="L945" s="1" t="str">
        <f>"2017-04-05 18:58:12"</f>
        <v>2017-04-05 18:58:12</v>
      </c>
      <c r="M945" s="2">
        <v>2.2094907407407407E-2</v>
      </c>
      <c r="N945" s="1" t="s">
        <v>26</v>
      </c>
      <c r="O945" s="1" t="s">
        <v>34</v>
      </c>
      <c r="P945" s="2">
        <v>2.2523148148148143E-2</v>
      </c>
      <c r="Q945" s="1" t="s">
        <v>816</v>
      </c>
      <c r="R945" s="1">
        <v>3.96</v>
      </c>
      <c r="S945" s="1" t="str">
        <f>""</f>
        <v/>
      </c>
      <c r="T945" s="1" t="s">
        <v>29</v>
      </c>
      <c r="U945" s="1" t="s">
        <v>30</v>
      </c>
      <c r="V945" s="1">
        <v>0</v>
      </c>
    </row>
    <row r="946" spans="2:22" x14ac:dyDescent="0.15">
      <c r="B946" s="1" t="str">
        <f>"136****0254"</f>
        <v>136****0254</v>
      </c>
      <c r="C946" s="1" t="s">
        <v>23</v>
      </c>
      <c r="D946" s="1" t="str">
        <f t="shared" ref="D946:D982" si="98">"89177328"</f>
        <v>89177328</v>
      </c>
      <c r="E946" s="1" t="s">
        <v>24</v>
      </c>
      <c r="F946" s="1" t="str">
        <f t="shared" ref="F946:F982" si="99">"0010"</f>
        <v>0010</v>
      </c>
      <c r="G946" s="1" t="str">
        <f>""</f>
        <v/>
      </c>
      <c r="H946" s="1" t="str">
        <f>"0010"</f>
        <v>0010</v>
      </c>
      <c r="I946" s="1" t="s">
        <v>71</v>
      </c>
      <c r="J946" s="1" t="str">
        <f>"01043977571"</f>
        <v>01043977571</v>
      </c>
      <c r="K946" s="1" t="str">
        <f>"2017-04-05 18:47:21"</f>
        <v>2017-04-05 18:47:21</v>
      </c>
      <c r="L946" s="1" t="str">
        <f>"2017-04-05 18:47:32"</f>
        <v>2017-04-05 18:47:32</v>
      </c>
      <c r="M946" s="2">
        <v>2.2824074074074076E-2</v>
      </c>
      <c r="N946" s="1" t="s">
        <v>26</v>
      </c>
      <c r="O946" s="1" t="s">
        <v>27</v>
      </c>
      <c r="P946" s="2">
        <v>2.2951388888888886E-2</v>
      </c>
      <c r="Q946" s="1" t="s">
        <v>817</v>
      </c>
      <c r="R946" s="1">
        <v>0</v>
      </c>
      <c r="S946" s="1" t="str">
        <f>""</f>
        <v/>
      </c>
      <c r="T946" s="1" t="s">
        <v>29</v>
      </c>
      <c r="U946" s="1" t="s">
        <v>30</v>
      </c>
      <c r="V946" s="1">
        <v>0</v>
      </c>
    </row>
    <row r="947" spans="2:22" x14ac:dyDescent="0.15">
      <c r="B947" s="1" t="str">
        <f>"010****0861"</f>
        <v>010****0861</v>
      </c>
      <c r="C947" s="1" t="s">
        <v>23</v>
      </c>
      <c r="D947" s="1" t="str">
        <f t="shared" si="98"/>
        <v>89177328</v>
      </c>
      <c r="E947" s="1" t="s">
        <v>24</v>
      </c>
      <c r="F947" s="1" t="str">
        <f t="shared" si="99"/>
        <v>0010</v>
      </c>
      <c r="G947" s="1" t="str">
        <f>""</f>
        <v/>
      </c>
      <c r="H947" s="1" t="str">
        <f>"0017"</f>
        <v>0017</v>
      </c>
      <c r="I947" s="1" t="s">
        <v>135</v>
      </c>
      <c r="J947" s="1" t="str">
        <f>"01043989717"</f>
        <v>01043989717</v>
      </c>
      <c r="K947" s="1" t="str">
        <f>"2017-04-05 18:46:13"</f>
        <v>2017-04-05 18:46:13</v>
      </c>
      <c r="L947" s="1" t="str">
        <f>"2017-04-05 18:46:20"</f>
        <v>2017-04-05 18:46:20</v>
      </c>
      <c r="M947" s="2">
        <v>1.2141203703703704E-2</v>
      </c>
      <c r="N947" s="1" t="s">
        <v>26</v>
      </c>
      <c r="O947" s="1" t="s">
        <v>34</v>
      </c>
      <c r="P947" s="2">
        <v>1.2222222222222223E-2</v>
      </c>
      <c r="Q947" s="1" t="s">
        <v>818</v>
      </c>
      <c r="R947" s="1">
        <v>0</v>
      </c>
      <c r="S947" s="1" t="str">
        <f>""</f>
        <v/>
      </c>
      <c r="T947" s="1" t="s">
        <v>29</v>
      </c>
      <c r="U947" s="1" t="s">
        <v>30</v>
      </c>
      <c r="V947" s="1">
        <v>0</v>
      </c>
    </row>
    <row r="948" spans="2:22" x14ac:dyDescent="0.15">
      <c r="B948" s="1" t="str">
        <f>"186****5457"</f>
        <v>186****5457</v>
      </c>
      <c r="C948" s="1" t="s">
        <v>23</v>
      </c>
      <c r="D948" s="1" t="str">
        <f t="shared" si="98"/>
        <v>89177328</v>
      </c>
      <c r="E948" s="1" t="s">
        <v>24</v>
      </c>
      <c r="F948" s="1" t="str">
        <f t="shared" si="99"/>
        <v>0010</v>
      </c>
      <c r="G948" s="1" t="str">
        <f>""</f>
        <v/>
      </c>
      <c r="H948" s="1" t="str">
        <f>"0036"</f>
        <v>0036</v>
      </c>
      <c r="I948" s="1" t="s">
        <v>143</v>
      </c>
      <c r="J948" s="1" t="str">
        <f>"01043977573"</f>
        <v>01043977573</v>
      </c>
      <c r="K948" s="1" t="str">
        <f>"2017-04-05 18:33:17"</f>
        <v>2017-04-05 18:33:17</v>
      </c>
      <c r="L948" s="1" t="str">
        <f>"2017-04-05 18:33:20"</f>
        <v>2017-04-05 18:33:20</v>
      </c>
      <c r="M948" s="2">
        <v>5.3240740740740748E-3</v>
      </c>
      <c r="N948" s="1" t="s">
        <v>26</v>
      </c>
      <c r="O948" s="1" t="s">
        <v>34</v>
      </c>
      <c r="P948" s="2">
        <v>5.3587962962962964E-3</v>
      </c>
      <c r="Q948" s="1" t="s">
        <v>819</v>
      </c>
      <c r="R948" s="1">
        <v>0</v>
      </c>
      <c r="S948" s="1" t="str">
        <f>""</f>
        <v/>
      </c>
      <c r="T948" s="1" t="s">
        <v>29</v>
      </c>
      <c r="U948" s="1" t="s">
        <v>30</v>
      </c>
      <c r="V948" s="1">
        <v>0</v>
      </c>
    </row>
    <row r="949" spans="2:22" x14ac:dyDescent="0.15">
      <c r="B949" s="1" t="str">
        <f>"135****2845"</f>
        <v>135****2845</v>
      </c>
      <c r="C949" s="1" t="s">
        <v>23</v>
      </c>
      <c r="D949" s="1" t="str">
        <f t="shared" si="98"/>
        <v>89177328</v>
      </c>
      <c r="E949" s="1" t="s">
        <v>24</v>
      </c>
      <c r="F949" s="1" t="str">
        <f t="shared" si="99"/>
        <v>0010</v>
      </c>
      <c r="G949" s="1" t="str">
        <f>""</f>
        <v/>
      </c>
      <c r="H949" s="1" t="str">
        <f>"0012"</f>
        <v>0012</v>
      </c>
      <c r="I949" s="1" t="s">
        <v>612</v>
      </c>
      <c r="J949" s="1" t="str">
        <f>"01043989720"</f>
        <v>01043989720</v>
      </c>
      <c r="K949" s="1" t="str">
        <f>"2017-04-05 18:30:10"</f>
        <v>2017-04-05 18:30:10</v>
      </c>
      <c r="L949" s="1" t="str">
        <f>"2017-04-05 18:30:19"</f>
        <v>2017-04-05 18:30:19</v>
      </c>
      <c r="M949" s="2">
        <v>1.2025462962962962E-2</v>
      </c>
      <c r="N949" s="1" t="s">
        <v>26</v>
      </c>
      <c r="O949" s="1" t="s">
        <v>34</v>
      </c>
      <c r="P949" s="2">
        <v>1.2129629629629629E-2</v>
      </c>
      <c r="Q949" s="1" t="s">
        <v>820</v>
      </c>
      <c r="R949" s="1">
        <v>0</v>
      </c>
      <c r="S949" s="1" t="str">
        <f>""</f>
        <v/>
      </c>
      <c r="T949" s="1" t="s">
        <v>29</v>
      </c>
      <c r="U949" s="1" t="s">
        <v>30</v>
      </c>
      <c r="V949" s="1">
        <v>0</v>
      </c>
    </row>
    <row r="950" spans="2:22" x14ac:dyDescent="0.15">
      <c r="B950" s="1" t="str">
        <f>"139****9564"</f>
        <v>139****9564</v>
      </c>
      <c r="C950" s="1" t="s">
        <v>23</v>
      </c>
      <c r="D950" s="1" t="str">
        <f t="shared" si="98"/>
        <v>89177328</v>
      </c>
      <c r="E950" s="1" t="s">
        <v>24</v>
      </c>
      <c r="F950" s="1" t="str">
        <f t="shared" si="99"/>
        <v>0010</v>
      </c>
      <c r="G950" s="1" t="str">
        <f>""</f>
        <v/>
      </c>
      <c r="H950" s="1" t="str">
        <f>"0017"</f>
        <v>0017</v>
      </c>
      <c r="I950" s="1" t="s">
        <v>135</v>
      </c>
      <c r="J950" s="1" t="str">
        <f>"01043989717"</f>
        <v>01043989717</v>
      </c>
      <c r="K950" s="1" t="str">
        <f>"2017-04-05 18:18:10"</f>
        <v>2017-04-05 18:18:10</v>
      </c>
      <c r="L950" s="1" t="str">
        <f>"2017-04-05 18:18:16"</f>
        <v>2017-04-05 18:18:16</v>
      </c>
      <c r="M950" s="2">
        <v>4.31712962962963E-3</v>
      </c>
      <c r="N950" s="1" t="s">
        <v>26</v>
      </c>
      <c r="O950" s="1" t="s">
        <v>34</v>
      </c>
      <c r="P950" s="2">
        <v>4.386574074074074E-3</v>
      </c>
      <c r="Q950" s="1" t="s">
        <v>821</v>
      </c>
      <c r="R950" s="1">
        <v>0</v>
      </c>
      <c r="S950" s="1" t="str">
        <f>""</f>
        <v/>
      </c>
      <c r="T950" s="1" t="s">
        <v>29</v>
      </c>
      <c r="U950" s="1" t="s">
        <v>30</v>
      </c>
      <c r="V950" s="1">
        <v>0</v>
      </c>
    </row>
    <row r="951" spans="2:22" x14ac:dyDescent="0.15">
      <c r="B951" s="1" t="str">
        <f>"136****4801"</f>
        <v>136****4801</v>
      </c>
      <c r="C951" s="1" t="s">
        <v>23</v>
      </c>
      <c r="D951" s="1" t="str">
        <f t="shared" si="98"/>
        <v>89177328</v>
      </c>
      <c r="E951" s="1" t="s">
        <v>24</v>
      </c>
      <c r="F951" s="1" t="str">
        <f t="shared" si="99"/>
        <v>0010</v>
      </c>
      <c r="G951" s="1" t="str">
        <f>""</f>
        <v/>
      </c>
      <c r="H951" s="1" t="str">
        <f>""</f>
        <v/>
      </c>
      <c r="I951" s="1" t="str">
        <f>""</f>
        <v/>
      </c>
      <c r="J951" s="1" t="str">
        <f>""</f>
        <v/>
      </c>
      <c r="K951" s="1" t="str">
        <f>"2017-04-05 18:11:53"</f>
        <v>2017-04-05 18:11:53</v>
      </c>
      <c r="L951" s="1" t="str">
        <f>"-"</f>
        <v>-</v>
      </c>
      <c r="M951" s="2">
        <v>0</v>
      </c>
      <c r="N951" s="1" t="s">
        <v>55</v>
      </c>
      <c r="O951" s="1" t="s">
        <v>34</v>
      </c>
      <c r="P951" s="2">
        <v>9.3750000000000007E-4</v>
      </c>
      <c r="Q951" s="1" t="str">
        <f>""</f>
        <v/>
      </c>
      <c r="R951" s="1">
        <v>0</v>
      </c>
      <c r="S951" s="1" t="str">
        <f>""</f>
        <v/>
      </c>
      <c r="T951" s="1" t="s">
        <v>29</v>
      </c>
      <c r="U951" s="1" t="s">
        <v>30</v>
      </c>
      <c r="V951" s="1">
        <v>0</v>
      </c>
    </row>
    <row r="952" spans="2:22" x14ac:dyDescent="0.15">
      <c r="B952" s="1" t="str">
        <f>"135****3635"</f>
        <v>135****3635</v>
      </c>
      <c r="C952" s="1" t="s">
        <v>23</v>
      </c>
      <c r="D952" s="1" t="str">
        <f t="shared" si="98"/>
        <v>89177328</v>
      </c>
      <c r="E952" s="1" t="s">
        <v>24</v>
      </c>
      <c r="F952" s="1" t="str">
        <f t="shared" si="99"/>
        <v>0010</v>
      </c>
      <c r="G952" s="1" t="str">
        <f>""</f>
        <v/>
      </c>
      <c r="H952" s="1" t="str">
        <f>"0036"</f>
        <v>0036</v>
      </c>
      <c r="I952" s="1" t="s">
        <v>143</v>
      </c>
      <c r="J952" s="1" t="str">
        <f>"01043977573"</f>
        <v>01043977573</v>
      </c>
      <c r="K952" s="1" t="str">
        <f>"2017-04-05 18:11:28"</f>
        <v>2017-04-05 18:11:28</v>
      </c>
      <c r="L952" s="1" t="str">
        <f>"2017-04-05 18:11:35"</f>
        <v>2017-04-05 18:11:35</v>
      </c>
      <c r="M952" s="2">
        <v>1.4259259259259261E-2</v>
      </c>
      <c r="N952" s="1" t="s">
        <v>26</v>
      </c>
      <c r="O952" s="1" t="s">
        <v>34</v>
      </c>
      <c r="P952" s="2">
        <v>1.4340277777777776E-2</v>
      </c>
      <c r="Q952" s="1" t="s">
        <v>822</v>
      </c>
      <c r="R952" s="1">
        <v>0</v>
      </c>
      <c r="S952" s="1" t="str">
        <f>""</f>
        <v/>
      </c>
      <c r="T952" s="1" t="s">
        <v>29</v>
      </c>
      <c r="U952" s="1" t="s">
        <v>30</v>
      </c>
      <c r="V952" s="1">
        <v>0</v>
      </c>
    </row>
    <row r="953" spans="2:22" x14ac:dyDescent="0.15">
      <c r="B953" s="1" t="str">
        <f>"010****0184"</f>
        <v>010****0184</v>
      </c>
      <c r="C953" s="1" t="s">
        <v>23</v>
      </c>
      <c r="D953" s="1" t="str">
        <f t="shared" si="98"/>
        <v>89177328</v>
      </c>
      <c r="E953" s="1" t="s">
        <v>24</v>
      </c>
      <c r="F953" s="1" t="str">
        <f t="shared" si="99"/>
        <v>0010</v>
      </c>
      <c r="G953" s="1" t="str">
        <f>""</f>
        <v/>
      </c>
      <c r="H953" s="1" t="str">
        <f>"0032"</f>
        <v>0032</v>
      </c>
      <c r="I953" s="1" t="s">
        <v>119</v>
      </c>
      <c r="J953" s="1" t="str">
        <f>"01043977566"</f>
        <v>01043977566</v>
      </c>
      <c r="K953" s="1" t="str">
        <f>"2017-04-05 18:03:28"</f>
        <v>2017-04-05 18:03:28</v>
      </c>
      <c r="L953" s="1" t="str">
        <f>"-"</f>
        <v>-</v>
      </c>
      <c r="M953" s="2">
        <v>0</v>
      </c>
      <c r="N953" s="1" t="s">
        <v>33</v>
      </c>
      <c r="O953" s="1" t="s">
        <v>34</v>
      </c>
      <c r="P953" s="2">
        <v>4.9768518518518521E-4</v>
      </c>
      <c r="Q953" s="1" t="str">
        <f>""</f>
        <v/>
      </c>
      <c r="R953" s="1">
        <v>0</v>
      </c>
      <c r="S953" s="1" t="str">
        <f>""</f>
        <v/>
      </c>
      <c r="T953" s="1" t="s">
        <v>29</v>
      </c>
      <c r="U953" s="1" t="s">
        <v>30</v>
      </c>
      <c r="V953" s="1">
        <v>0</v>
      </c>
    </row>
    <row r="954" spans="2:22" x14ac:dyDescent="0.15">
      <c r="B954" s="1" t="str">
        <f>"186****1039"</f>
        <v>186****1039</v>
      </c>
      <c r="C954" s="1" t="s">
        <v>23</v>
      </c>
      <c r="D954" s="1" t="str">
        <f t="shared" si="98"/>
        <v>89177328</v>
      </c>
      <c r="E954" s="1" t="s">
        <v>24</v>
      </c>
      <c r="F954" s="1" t="str">
        <f t="shared" si="99"/>
        <v>0010</v>
      </c>
      <c r="G954" s="1" t="str">
        <f>""</f>
        <v/>
      </c>
      <c r="H954" s="1" t="str">
        <f>"0031"</f>
        <v>0031</v>
      </c>
      <c r="I954" s="1" t="s">
        <v>95</v>
      </c>
      <c r="J954" s="1" t="str">
        <f>"01043977565"</f>
        <v>01043977565</v>
      </c>
      <c r="K954" s="1" t="str">
        <f>"2017-04-05 17:55:29"</f>
        <v>2017-04-05 17:55:29</v>
      </c>
      <c r="L954" s="1" t="str">
        <f>"2017-04-05 17:56:01"</f>
        <v>2017-04-05 17:56:01</v>
      </c>
      <c r="M954" s="2">
        <v>6.9560185185185185E-3</v>
      </c>
      <c r="N954" s="1" t="s">
        <v>26</v>
      </c>
      <c r="O954" s="1" t="s">
        <v>27</v>
      </c>
      <c r="P954" s="2">
        <v>7.3263888888888892E-3</v>
      </c>
      <c r="Q954" s="1" t="s">
        <v>823</v>
      </c>
      <c r="R954" s="1">
        <v>0</v>
      </c>
      <c r="S954" s="1" t="str">
        <f>""</f>
        <v/>
      </c>
      <c r="T954" s="1" t="s">
        <v>29</v>
      </c>
      <c r="U954" s="1" t="s">
        <v>30</v>
      </c>
      <c r="V954" s="1">
        <v>0</v>
      </c>
    </row>
    <row r="955" spans="2:22" x14ac:dyDescent="0.15">
      <c r="B955" s="1" t="str">
        <f>"135****9688"</f>
        <v>135****9688</v>
      </c>
      <c r="C955" s="1" t="s">
        <v>23</v>
      </c>
      <c r="D955" s="1" t="str">
        <f t="shared" si="98"/>
        <v>89177328</v>
      </c>
      <c r="E955" s="1" t="s">
        <v>24</v>
      </c>
      <c r="F955" s="1" t="str">
        <f t="shared" si="99"/>
        <v>0010</v>
      </c>
      <c r="G955" s="1" t="str">
        <f>""</f>
        <v/>
      </c>
      <c r="H955" s="1" t="str">
        <f>"0033"</f>
        <v>0033</v>
      </c>
      <c r="I955" s="1" t="s">
        <v>106</v>
      </c>
      <c r="J955" s="1" t="str">
        <f>"01043977567"</f>
        <v>01043977567</v>
      </c>
      <c r="K955" s="1" t="str">
        <f>"2017-04-05 17:54:08"</f>
        <v>2017-04-05 17:54:08</v>
      </c>
      <c r="L955" s="1" t="str">
        <f>"-"</f>
        <v>-</v>
      </c>
      <c r="M955" s="2">
        <v>0</v>
      </c>
      <c r="N955" s="1" t="s">
        <v>33</v>
      </c>
      <c r="O955" s="1" t="s">
        <v>34</v>
      </c>
      <c r="P955" s="2">
        <v>2.3148148148148147E-5</v>
      </c>
      <c r="Q955" s="1" t="str">
        <f>""</f>
        <v/>
      </c>
      <c r="R955" s="1">
        <v>0</v>
      </c>
      <c r="S955" s="1" t="str">
        <f>""</f>
        <v/>
      </c>
      <c r="T955" s="1" t="s">
        <v>29</v>
      </c>
      <c r="U955" s="1" t="s">
        <v>30</v>
      </c>
      <c r="V955" s="1">
        <v>0</v>
      </c>
    </row>
    <row r="956" spans="2:22" x14ac:dyDescent="0.15">
      <c r="B956" s="1" t="str">
        <f>"138****8373"</f>
        <v>138****8373</v>
      </c>
      <c r="C956" s="1" t="s">
        <v>23</v>
      </c>
      <c r="D956" s="1" t="str">
        <f t="shared" si="98"/>
        <v>89177328</v>
      </c>
      <c r="E956" s="1" t="s">
        <v>24</v>
      </c>
      <c r="F956" s="1" t="str">
        <f t="shared" si="99"/>
        <v>0010</v>
      </c>
      <c r="G956" s="1" t="str">
        <f>""</f>
        <v/>
      </c>
      <c r="H956" s="1" t="str">
        <f>"0034"</f>
        <v>0034</v>
      </c>
      <c r="I956" s="1" t="s">
        <v>31</v>
      </c>
      <c r="J956" s="1" t="str">
        <f>"01043977568"</f>
        <v>01043977568</v>
      </c>
      <c r="K956" s="1" t="str">
        <f>"2017-04-05 17:53:16"</f>
        <v>2017-04-05 17:53:16</v>
      </c>
      <c r="L956" s="1" t="str">
        <f>"-"</f>
        <v>-</v>
      </c>
      <c r="M956" s="2">
        <v>0</v>
      </c>
      <c r="N956" s="1" t="s">
        <v>33</v>
      </c>
      <c r="O956" s="1" t="s">
        <v>34</v>
      </c>
      <c r="P956" s="2">
        <v>2.3148148148148147E-5</v>
      </c>
      <c r="Q956" s="1" t="str">
        <f>""</f>
        <v/>
      </c>
      <c r="R956" s="1">
        <v>0</v>
      </c>
      <c r="S956" s="1" t="str">
        <f>""</f>
        <v/>
      </c>
      <c r="T956" s="1" t="s">
        <v>29</v>
      </c>
      <c r="U956" s="1" t="s">
        <v>30</v>
      </c>
      <c r="V956" s="1">
        <v>0</v>
      </c>
    </row>
    <row r="957" spans="2:22" x14ac:dyDescent="0.15">
      <c r="B957" s="1" t="str">
        <f>"158****1035"</f>
        <v>158****1035</v>
      </c>
      <c r="C957" s="1" t="s">
        <v>35</v>
      </c>
      <c r="D957" s="1" t="str">
        <f t="shared" si="98"/>
        <v>89177328</v>
      </c>
      <c r="E957" s="1" t="s">
        <v>24</v>
      </c>
      <c r="F957" s="1" t="str">
        <f t="shared" si="99"/>
        <v>0010</v>
      </c>
      <c r="G957" s="1" t="str">
        <f>""</f>
        <v/>
      </c>
      <c r="H957" s="1" t="str">
        <f>"0017"</f>
        <v>0017</v>
      </c>
      <c r="I957" s="1" t="s">
        <v>135</v>
      </c>
      <c r="J957" s="1" t="str">
        <f>"01043989717"</f>
        <v>01043989717</v>
      </c>
      <c r="K957" s="1" t="str">
        <f>"2017-04-05 17:37:33"</f>
        <v>2017-04-05 17:37:33</v>
      </c>
      <c r="L957" s="1" t="str">
        <f>"2017-04-05 17:37:45"</f>
        <v>2017-04-05 17:37:45</v>
      </c>
      <c r="M957" s="2">
        <v>1.8634259259259257E-2</v>
      </c>
      <c r="N957" s="1" t="s">
        <v>26</v>
      </c>
      <c r="O957" s="1" t="s">
        <v>34</v>
      </c>
      <c r="P957" s="2">
        <v>1.877314814814815E-2</v>
      </c>
      <c r="Q957" s="1" t="s">
        <v>824</v>
      </c>
      <c r="R957" s="1">
        <v>0</v>
      </c>
      <c r="S957" s="1" t="str">
        <f>""</f>
        <v/>
      </c>
      <c r="T957" s="1" t="s">
        <v>29</v>
      </c>
      <c r="U957" s="1" t="s">
        <v>30</v>
      </c>
      <c r="V957" s="1">
        <v>0</v>
      </c>
    </row>
    <row r="958" spans="2:22" x14ac:dyDescent="0.15">
      <c r="B958" s="1" t="str">
        <f>"186****3263"</f>
        <v>186****3263</v>
      </c>
      <c r="C958" s="1" t="s">
        <v>23</v>
      </c>
      <c r="D958" s="1" t="str">
        <f t="shared" si="98"/>
        <v>89177328</v>
      </c>
      <c r="E958" s="1" t="s">
        <v>24</v>
      </c>
      <c r="F958" s="1" t="str">
        <f t="shared" si="99"/>
        <v>0010</v>
      </c>
      <c r="G958" s="1" t="str">
        <f>""</f>
        <v/>
      </c>
      <c r="H958" s="1" t="str">
        <f t="shared" ref="H958:H964" si="100">"0031"</f>
        <v>0031</v>
      </c>
      <c r="I958" s="1" t="s">
        <v>95</v>
      </c>
      <c r="J958" s="1" t="str">
        <f t="shared" ref="J958:J964" si="101">"01043977565"</f>
        <v>01043977565</v>
      </c>
      <c r="K958" s="1" t="str">
        <f>"2017-04-05 17:18:21"</f>
        <v>2017-04-05 17:18:21</v>
      </c>
      <c r="L958" s="1" t="str">
        <f>"2017-04-05 17:18:30"</f>
        <v>2017-04-05 17:18:30</v>
      </c>
      <c r="M958" s="2">
        <v>4.2708333333333339E-3</v>
      </c>
      <c r="N958" s="1" t="s">
        <v>26</v>
      </c>
      <c r="O958" s="1" t="s">
        <v>27</v>
      </c>
      <c r="P958" s="2">
        <v>4.3749999999999995E-3</v>
      </c>
      <c r="Q958" s="1" t="s">
        <v>825</v>
      </c>
      <c r="R958" s="1">
        <v>0</v>
      </c>
      <c r="S958" s="1" t="str">
        <f>""</f>
        <v/>
      </c>
      <c r="T958" s="1" t="s">
        <v>29</v>
      </c>
      <c r="U958" s="1" t="s">
        <v>30</v>
      </c>
      <c r="V958" s="1">
        <v>0</v>
      </c>
    </row>
    <row r="959" spans="2:22" x14ac:dyDescent="0.15">
      <c r="B959" s="1" t="str">
        <f>"133****9597"</f>
        <v>133****9597</v>
      </c>
      <c r="C959" s="1" t="s">
        <v>23</v>
      </c>
      <c r="D959" s="1" t="str">
        <f t="shared" si="98"/>
        <v>89177328</v>
      </c>
      <c r="E959" s="1" t="s">
        <v>24</v>
      </c>
      <c r="F959" s="1" t="str">
        <f t="shared" si="99"/>
        <v>0010</v>
      </c>
      <c r="G959" s="1" t="str">
        <f>""</f>
        <v/>
      </c>
      <c r="H959" s="1" t="str">
        <f t="shared" si="100"/>
        <v>0031</v>
      </c>
      <c r="I959" s="1" t="s">
        <v>95</v>
      </c>
      <c r="J959" s="1" t="str">
        <f t="shared" si="101"/>
        <v>01043977565</v>
      </c>
      <c r="K959" s="1" t="str">
        <f>"2017-04-05 17:17:30"</f>
        <v>2017-04-05 17:17:30</v>
      </c>
      <c r="L959" s="1" t="str">
        <f t="shared" ref="L959:L964" si="102">"-"</f>
        <v>-</v>
      </c>
      <c r="M959" s="2">
        <v>0</v>
      </c>
      <c r="N959" s="1" t="s">
        <v>33</v>
      </c>
      <c r="O959" s="1" t="s">
        <v>34</v>
      </c>
      <c r="P959" s="2">
        <v>5.7870370370370366E-5</v>
      </c>
      <c r="Q959" s="1" t="str">
        <f>""</f>
        <v/>
      </c>
      <c r="R959" s="1">
        <v>0</v>
      </c>
      <c r="S959" s="1" t="str">
        <f>""</f>
        <v/>
      </c>
      <c r="T959" s="1" t="s">
        <v>29</v>
      </c>
      <c r="U959" s="1" t="s">
        <v>30</v>
      </c>
      <c r="V959" s="1">
        <v>0</v>
      </c>
    </row>
    <row r="960" spans="2:22" x14ac:dyDescent="0.15">
      <c r="B960" s="1" t="str">
        <f>"157****4678"</f>
        <v>157****4678</v>
      </c>
      <c r="C960" s="1" t="s">
        <v>23</v>
      </c>
      <c r="D960" s="1" t="str">
        <f t="shared" si="98"/>
        <v>89177328</v>
      </c>
      <c r="E960" s="1" t="s">
        <v>24</v>
      </c>
      <c r="F960" s="1" t="str">
        <f t="shared" si="99"/>
        <v>0010</v>
      </c>
      <c r="G960" s="1" t="str">
        <f>""</f>
        <v/>
      </c>
      <c r="H960" s="1" t="str">
        <f t="shared" si="100"/>
        <v>0031</v>
      </c>
      <c r="I960" s="1" t="s">
        <v>95</v>
      </c>
      <c r="J960" s="1" t="str">
        <f t="shared" si="101"/>
        <v>01043977565</v>
      </c>
      <c r="K960" s="1" t="str">
        <f>"2017-04-05 17:17:05"</f>
        <v>2017-04-05 17:17:05</v>
      </c>
      <c r="L960" s="1" t="str">
        <f t="shared" si="102"/>
        <v>-</v>
      </c>
      <c r="M960" s="2">
        <v>0</v>
      </c>
      <c r="N960" s="1" t="s">
        <v>33</v>
      </c>
      <c r="O960" s="1" t="s">
        <v>34</v>
      </c>
      <c r="P960" s="2">
        <v>5.7870370370370366E-5</v>
      </c>
      <c r="Q960" s="1" t="str">
        <f>""</f>
        <v/>
      </c>
      <c r="R960" s="1">
        <v>0</v>
      </c>
      <c r="S960" s="1" t="str">
        <f>""</f>
        <v/>
      </c>
      <c r="T960" s="1" t="s">
        <v>29</v>
      </c>
      <c r="U960" s="1" t="s">
        <v>30</v>
      </c>
      <c r="V960" s="1">
        <v>0</v>
      </c>
    </row>
    <row r="961" spans="2:22" x14ac:dyDescent="0.15">
      <c r="B961" s="1" t="str">
        <f>"133****9597"</f>
        <v>133****9597</v>
      </c>
      <c r="C961" s="1" t="s">
        <v>23</v>
      </c>
      <c r="D961" s="1" t="str">
        <f t="shared" si="98"/>
        <v>89177328</v>
      </c>
      <c r="E961" s="1" t="s">
        <v>24</v>
      </c>
      <c r="F961" s="1" t="str">
        <f t="shared" si="99"/>
        <v>0010</v>
      </c>
      <c r="G961" s="1" t="str">
        <f>""</f>
        <v/>
      </c>
      <c r="H961" s="1" t="str">
        <f t="shared" si="100"/>
        <v>0031</v>
      </c>
      <c r="I961" s="1" t="s">
        <v>95</v>
      </c>
      <c r="J961" s="1" t="str">
        <f t="shared" si="101"/>
        <v>01043977565</v>
      </c>
      <c r="K961" s="1" t="str">
        <f>"2017-04-05 17:14:45"</f>
        <v>2017-04-05 17:14:45</v>
      </c>
      <c r="L961" s="1" t="str">
        <f t="shared" si="102"/>
        <v>-</v>
      </c>
      <c r="M961" s="2">
        <v>0</v>
      </c>
      <c r="N961" s="1" t="s">
        <v>33</v>
      </c>
      <c r="O961" s="1" t="s">
        <v>34</v>
      </c>
      <c r="P961" s="2">
        <v>6.9444444444444444E-5</v>
      </c>
      <c r="Q961" s="1" t="str">
        <f>""</f>
        <v/>
      </c>
      <c r="R961" s="1">
        <v>0</v>
      </c>
      <c r="S961" s="1" t="str">
        <f>""</f>
        <v/>
      </c>
      <c r="T961" s="1" t="s">
        <v>29</v>
      </c>
      <c r="U961" s="1" t="s">
        <v>30</v>
      </c>
      <c r="V961" s="1">
        <v>0</v>
      </c>
    </row>
    <row r="962" spans="2:22" x14ac:dyDescent="0.15">
      <c r="B962" s="1" t="str">
        <f>"116114"</f>
        <v>116114</v>
      </c>
      <c r="C962" s="1" t="s">
        <v>159</v>
      </c>
      <c r="D962" s="1" t="str">
        <f t="shared" si="98"/>
        <v>89177328</v>
      </c>
      <c r="E962" s="1" t="s">
        <v>24</v>
      </c>
      <c r="F962" s="1" t="str">
        <f t="shared" si="99"/>
        <v>0010</v>
      </c>
      <c r="G962" s="1" t="str">
        <f>""</f>
        <v/>
      </c>
      <c r="H962" s="1" t="str">
        <f t="shared" si="100"/>
        <v>0031</v>
      </c>
      <c r="I962" s="1" t="s">
        <v>95</v>
      </c>
      <c r="J962" s="1" t="str">
        <f t="shared" si="101"/>
        <v>01043977565</v>
      </c>
      <c r="K962" s="1" t="str">
        <f>"2017-04-05 17:13:22"</f>
        <v>2017-04-05 17:13:22</v>
      </c>
      <c r="L962" s="1" t="str">
        <f t="shared" si="102"/>
        <v>-</v>
      </c>
      <c r="M962" s="2">
        <v>0</v>
      </c>
      <c r="N962" s="1" t="s">
        <v>33</v>
      </c>
      <c r="O962" s="1" t="s">
        <v>34</v>
      </c>
      <c r="P962" s="2">
        <v>6.9444444444444444E-5</v>
      </c>
      <c r="Q962" s="1" t="str">
        <f>""</f>
        <v/>
      </c>
      <c r="R962" s="1">
        <v>0</v>
      </c>
      <c r="S962" s="1" t="str">
        <f>""</f>
        <v/>
      </c>
      <c r="T962" s="1" t="s">
        <v>29</v>
      </c>
      <c r="U962" s="1" t="s">
        <v>30</v>
      </c>
      <c r="V962" s="1">
        <v>0</v>
      </c>
    </row>
    <row r="963" spans="2:22" x14ac:dyDescent="0.15">
      <c r="B963" s="1" t="str">
        <f>"133****9597"</f>
        <v>133****9597</v>
      </c>
      <c r="C963" s="1" t="s">
        <v>23</v>
      </c>
      <c r="D963" s="1" t="str">
        <f t="shared" si="98"/>
        <v>89177328</v>
      </c>
      <c r="E963" s="1" t="s">
        <v>24</v>
      </c>
      <c r="F963" s="1" t="str">
        <f t="shared" si="99"/>
        <v>0010</v>
      </c>
      <c r="G963" s="1" t="str">
        <f>""</f>
        <v/>
      </c>
      <c r="H963" s="1" t="str">
        <f t="shared" si="100"/>
        <v>0031</v>
      </c>
      <c r="I963" s="1" t="s">
        <v>95</v>
      </c>
      <c r="J963" s="1" t="str">
        <f t="shared" si="101"/>
        <v>01043977565</v>
      </c>
      <c r="K963" s="1" t="str">
        <f>"2017-04-05 17:12:02"</f>
        <v>2017-04-05 17:12:02</v>
      </c>
      <c r="L963" s="1" t="str">
        <f t="shared" si="102"/>
        <v>-</v>
      </c>
      <c r="M963" s="2">
        <v>0</v>
      </c>
      <c r="N963" s="1" t="s">
        <v>33</v>
      </c>
      <c r="O963" s="1" t="s">
        <v>34</v>
      </c>
      <c r="P963" s="2">
        <v>5.7870370370370366E-5</v>
      </c>
      <c r="Q963" s="1" t="str">
        <f>""</f>
        <v/>
      </c>
      <c r="R963" s="1">
        <v>0</v>
      </c>
      <c r="S963" s="1" t="str">
        <f>""</f>
        <v/>
      </c>
      <c r="T963" s="1" t="s">
        <v>29</v>
      </c>
      <c r="U963" s="1" t="s">
        <v>30</v>
      </c>
      <c r="V963" s="1">
        <v>0</v>
      </c>
    </row>
    <row r="964" spans="2:22" x14ac:dyDescent="0.15">
      <c r="B964" s="1" t="str">
        <f>"116114"</f>
        <v>116114</v>
      </c>
      <c r="C964" s="1" t="s">
        <v>159</v>
      </c>
      <c r="D964" s="1" t="str">
        <f t="shared" si="98"/>
        <v>89177328</v>
      </c>
      <c r="E964" s="1" t="s">
        <v>24</v>
      </c>
      <c r="F964" s="1" t="str">
        <f t="shared" si="99"/>
        <v>0010</v>
      </c>
      <c r="G964" s="1" t="str">
        <f>""</f>
        <v/>
      </c>
      <c r="H964" s="1" t="str">
        <f t="shared" si="100"/>
        <v>0031</v>
      </c>
      <c r="I964" s="1" t="s">
        <v>95</v>
      </c>
      <c r="J964" s="1" t="str">
        <f t="shared" si="101"/>
        <v>01043977565</v>
      </c>
      <c r="K964" s="1" t="str">
        <f>"2017-04-05 17:09:18"</f>
        <v>2017-04-05 17:09:18</v>
      </c>
      <c r="L964" s="1" t="str">
        <f t="shared" si="102"/>
        <v>-</v>
      </c>
      <c r="M964" s="2">
        <v>0</v>
      </c>
      <c r="N964" s="1" t="s">
        <v>33</v>
      </c>
      <c r="O964" s="1" t="s">
        <v>34</v>
      </c>
      <c r="P964" s="2">
        <v>9.2592592592592588E-5</v>
      </c>
      <c r="Q964" s="1" t="str">
        <f>""</f>
        <v/>
      </c>
      <c r="R964" s="1">
        <v>0</v>
      </c>
      <c r="S964" s="1" t="str">
        <f>""</f>
        <v/>
      </c>
      <c r="T964" s="1" t="s">
        <v>29</v>
      </c>
      <c r="U964" s="1" t="s">
        <v>30</v>
      </c>
      <c r="V964" s="1">
        <v>0</v>
      </c>
    </row>
    <row r="965" spans="2:22" x14ac:dyDescent="0.15">
      <c r="B965" s="1" t="str">
        <f>"158****6060"</f>
        <v>158****6060</v>
      </c>
      <c r="C965" s="1" t="s">
        <v>487</v>
      </c>
      <c r="D965" s="1" t="str">
        <f t="shared" si="98"/>
        <v>89177328</v>
      </c>
      <c r="E965" s="1" t="s">
        <v>24</v>
      </c>
      <c r="F965" s="1" t="str">
        <f t="shared" si="99"/>
        <v>0010</v>
      </c>
      <c r="G965" s="1" t="str">
        <f>""</f>
        <v/>
      </c>
      <c r="H965" s="1" t="str">
        <f>"0012"</f>
        <v>0012</v>
      </c>
      <c r="I965" s="1" t="s">
        <v>612</v>
      </c>
      <c r="J965" s="1" t="str">
        <f>"01043989720"</f>
        <v>01043989720</v>
      </c>
      <c r="K965" s="1" t="str">
        <f>"2017-04-05 17:06:46"</f>
        <v>2017-04-05 17:06:46</v>
      </c>
      <c r="L965" s="1" t="str">
        <f>"2017-04-05 17:06:56"</f>
        <v>2017-04-05 17:06:56</v>
      </c>
      <c r="M965" s="2">
        <v>8.1249999999999985E-3</v>
      </c>
      <c r="N965" s="1" t="s">
        <v>26</v>
      </c>
      <c r="O965" s="1" t="s">
        <v>34</v>
      </c>
      <c r="P965" s="2">
        <v>8.2407407407407412E-3</v>
      </c>
      <c r="Q965" s="1" t="s">
        <v>826</v>
      </c>
      <c r="R965" s="1">
        <v>0</v>
      </c>
      <c r="S965" s="1" t="str">
        <f>""</f>
        <v/>
      </c>
      <c r="T965" s="1" t="s">
        <v>29</v>
      </c>
      <c r="U965" s="1" t="s">
        <v>30</v>
      </c>
      <c r="V965" s="1">
        <v>0</v>
      </c>
    </row>
    <row r="966" spans="2:22" x14ac:dyDescent="0.15">
      <c r="B966" s="1" t="str">
        <f>"010****4988"</f>
        <v>010****4988</v>
      </c>
      <c r="C966" s="1" t="s">
        <v>23</v>
      </c>
      <c r="D966" s="1" t="str">
        <f t="shared" si="98"/>
        <v>89177328</v>
      </c>
      <c r="E966" s="1" t="s">
        <v>24</v>
      </c>
      <c r="F966" s="1" t="str">
        <f t="shared" si="99"/>
        <v>0010</v>
      </c>
      <c r="G966" s="1" t="str">
        <f>""</f>
        <v/>
      </c>
      <c r="H966" s="1" t="str">
        <f>"0034"</f>
        <v>0034</v>
      </c>
      <c r="I966" s="1" t="s">
        <v>31</v>
      </c>
      <c r="J966" s="1" t="str">
        <f>"01043977568"</f>
        <v>01043977568</v>
      </c>
      <c r="K966" s="1" t="str">
        <f>"2017-04-05 16:54:45"</f>
        <v>2017-04-05 16:54:45</v>
      </c>
      <c r="L966" s="1" t="str">
        <f>"2017-04-05 16:54:55"</f>
        <v>2017-04-05 16:54:55</v>
      </c>
      <c r="M966" s="2">
        <v>3.3877314814814811E-2</v>
      </c>
      <c r="N966" s="1" t="s">
        <v>26</v>
      </c>
      <c r="O966" s="1" t="s">
        <v>27</v>
      </c>
      <c r="P966" s="2">
        <v>3.3993055555555561E-2</v>
      </c>
      <c r="Q966" s="1" t="s">
        <v>827</v>
      </c>
      <c r="R966" s="1">
        <v>0</v>
      </c>
      <c r="S966" s="1" t="str">
        <f>""</f>
        <v/>
      </c>
      <c r="T966" s="1" t="s">
        <v>29</v>
      </c>
      <c r="U966" s="1" t="s">
        <v>30</v>
      </c>
      <c r="V966" s="1">
        <v>0</v>
      </c>
    </row>
    <row r="967" spans="2:22" x14ac:dyDescent="0.15">
      <c r="B967" s="1" t="str">
        <f>"186****2212"</f>
        <v>186****2212</v>
      </c>
      <c r="C967" s="1" t="s">
        <v>23</v>
      </c>
      <c r="D967" s="1" t="str">
        <f t="shared" si="98"/>
        <v>89177328</v>
      </c>
      <c r="E967" s="1" t="s">
        <v>24</v>
      </c>
      <c r="F967" s="1" t="str">
        <f t="shared" si="99"/>
        <v>0010</v>
      </c>
      <c r="G967" s="1" t="str">
        <f>""</f>
        <v/>
      </c>
      <c r="H967" s="1" t="str">
        <f>"0032"</f>
        <v>0032</v>
      </c>
      <c r="I967" s="1" t="s">
        <v>119</v>
      </c>
      <c r="J967" s="1" t="str">
        <f>"01043977566"</f>
        <v>01043977566</v>
      </c>
      <c r="K967" s="1" t="str">
        <f>"2017-04-05 16:52:38"</f>
        <v>2017-04-05 16:52:38</v>
      </c>
      <c r="L967" s="1" t="str">
        <f>"2017-04-05 16:52:50"</f>
        <v>2017-04-05 16:52:50</v>
      </c>
      <c r="M967" s="2">
        <v>6.3194444444444444E-3</v>
      </c>
      <c r="N967" s="1" t="s">
        <v>26</v>
      </c>
      <c r="O967" s="1" t="s">
        <v>34</v>
      </c>
      <c r="P967" s="2">
        <v>6.4583333333333333E-3</v>
      </c>
      <c r="Q967" s="1" t="s">
        <v>828</v>
      </c>
      <c r="R967" s="1">
        <v>0</v>
      </c>
      <c r="S967" s="1" t="str">
        <f>""</f>
        <v/>
      </c>
      <c r="T967" s="1" t="s">
        <v>29</v>
      </c>
      <c r="U967" s="1" t="s">
        <v>30</v>
      </c>
      <c r="V967" s="1">
        <v>0</v>
      </c>
    </row>
    <row r="968" spans="2:22" x14ac:dyDescent="0.15">
      <c r="B968" s="1" t="str">
        <f>"037****8580"</f>
        <v>037****8580</v>
      </c>
      <c r="C968" s="1" t="s">
        <v>829</v>
      </c>
      <c r="D968" s="1" t="str">
        <f t="shared" si="98"/>
        <v>89177328</v>
      </c>
      <c r="E968" s="1" t="s">
        <v>24</v>
      </c>
      <c r="F968" s="1" t="str">
        <f t="shared" si="99"/>
        <v>0010</v>
      </c>
      <c r="G968" s="1" t="str">
        <f>""</f>
        <v/>
      </c>
      <c r="H968" s="1" t="str">
        <f>"0032"</f>
        <v>0032</v>
      </c>
      <c r="I968" s="1" t="s">
        <v>119</v>
      </c>
      <c r="J968" s="1" t="str">
        <f>"01043977566"</f>
        <v>01043977566</v>
      </c>
      <c r="K968" s="1" t="str">
        <f>"2017-04-05 16:48:10"</f>
        <v>2017-04-05 16:48:10</v>
      </c>
      <c r="L968" s="1" t="str">
        <f>"2017-04-05 16:48:21"</f>
        <v>2017-04-05 16:48:21</v>
      </c>
      <c r="M968" s="2">
        <v>1.1111111111111111E-3</v>
      </c>
      <c r="N968" s="1" t="s">
        <v>26</v>
      </c>
      <c r="O968" s="1" t="s">
        <v>34</v>
      </c>
      <c r="P968" s="2">
        <v>1.2384259259259258E-3</v>
      </c>
      <c r="Q968" s="1" t="s">
        <v>830</v>
      </c>
      <c r="R968" s="1">
        <v>0</v>
      </c>
      <c r="S968" s="1" t="str">
        <f>""</f>
        <v/>
      </c>
      <c r="T968" s="1" t="s">
        <v>29</v>
      </c>
      <c r="U968" s="1" t="s">
        <v>30</v>
      </c>
      <c r="V968" s="1">
        <v>0</v>
      </c>
    </row>
    <row r="969" spans="2:22" x14ac:dyDescent="0.15">
      <c r="B969" s="1" t="str">
        <f>"150****0446"</f>
        <v>150****0446</v>
      </c>
      <c r="C969" s="1" t="s">
        <v>831</v>
      </c>
      <c r="D969" s="1" t="str">
        <f t="shared" si="98"/>
        <v>89177328</v>
      </c>
      <c r="E969" s="1" t="s">
        <v>24</v>
      </c>
      <c r="F969" s="1" t="str">
        <f t="shared" si="99"/>
        <v>0010</v>
      </c>
      <c r="G969" s="1" t="str">
        <f>""</f>
        <v/>
      </c>
      <c r="H969" s="1" t="str">
        <f>"0036"</f>
        <v>0036</v>
      </c>
      <c r="I969" s="1" t="s">
        <v>143</v>
      </c>
      <c r="J969" s="1" t="str">
        <f>"01043977573"</f>
        <v>01043977573</v>
      </c>
      <c r="K969" s="1" t="str">
        <f>"2017-04-05 16:47:49"</f>
        <v>2017-04-05 16:47:49</v>
      </c>
      <c r="L969" s="1" t="str">
        <f>"2017-04-05 16:47:52"</f>
        <v>2017-04-05 16:47:52</v>
      </c>
      <c r="M969" s="2">
        <v>1.005787037037037E-2</v>
      </c>
      <c r="N969" s="1" t="s">
        <v>26</v>
      </c>
      <c r="O969" s="1" t="s">
        <v>27</v>
      </c>
      <c r="P969" s="2">
        <v>1.0092592592592592E-2</v>
      </c>
      <c r="Q969" s="1" t="s">
        <v>832</v>
      </c>
      <c r="R969" s="1">
        <v>0</v>
      </c>
      <c r="S969" s="1" t="str">
        <f>""</f>
        <v/>
      </c>
      <c r="T969" s="1" t="s">
        <v>29</v>
      </c>
      <c r="U969" s="1" t="s">
        <v>30</v>
      </c>
      <c r="V969" s="1">
        <v>0</v>
      </c>
    </row>
    <row r="970" spans="2:22" x14ac:dyDescent="0.15">
      <c r="B970" s="1" t="str">
        <f>"010****3792"</f>
        <v>010****3792</v>
      </c>
      <c r="C970" s="1" t="s">
        <v>23</v>
      </c>
      <c r="D970" s="1" t="str">
        <f t="shared" si="98"/>
        <v>89177328</v>
      </c>
      <c r="E970" s="1" t="s">
        <v>24</v>
      </c>
      <c r="F970" s="1" t="str">
        <f t="shared" si="99"/>
        <v>0010</v>
      </c>
      <c r="G970" s="1" t="str">
        <f>""</f>
        <v/>
      </c>
      <c r="H970" s="1" t="str">
        <f>"0036"</f>
        <v>0036</v>
      </c>
      <c r="I970" s="1" t="s">
        <v>143</v>
      </c>
      <c r="J970" s="1" t="str">
        <f>"01043977573"</f>
        <v>01043977573</v>
      </c>
      <c r="K970" s="1" t="str">
        <f>"2017-04-05 16:37:31"</f>
        <v>2017-04-05 16:37:31</v>
      </c>
      <c r="L970" s="1" t="str">
        <f>"2017-04-05 16:37:35"</f>
        <v>2017-04-05 16:37:35</v>
      </c>
      <c r="M970" s="2">
        <v>2.0138888888888888E-3</v>
      </c>
      <c r="N970" s="1" t="s">
        <v>26</v>
      </c>
      <c r="O970" s="1" t="s">
        <v>27</v>
      </c>
      <c r="P970" s="2">
        <v>2.0601851851851853E-3</v>
      </c>
      <c r="Q970" s="1" t="s">
        <v>833</v>
      </c>
      <c r="R970" s="1">
        <v>0</v>
      </c>
      <c r="S970" s="1" t="str">
        <f>""</f>
        <v/>
      </c>
      <c r="T970" s="1" t="s">
        <v>29</v>
      </c>
      <c r="U970" s="1" t="s">
        <v>30</v>
      </c>
      <c r="V970" s="1">
        <v>0</v>
      </c>
    </row>
    <row r="971" spans="2:22" x14ac:dyDescent="0.15">
      <c r="B971" s="1" t="str">
        <f>"138****6006"</f>
        <v>138****6006</v>
      </c>
      <c r="C971" s="1" t="s">
        <v>80</v>
      </c>
      <c r="D971" s="1" t="str">
        <f t="shared" si="98"/>
        <v>89177328</v>
      </c>
      <c r="E971" s="1" t="s">
        <v>24</v>
      </c>
      <c r="F971" s="1" t="str">
        <f t="shared" si="99"/>
        <v>0010</v>
      </c>
      <c r="G971" s="1" t="str">
        <f>""</f>
        <v/>
      </c>
      <c r="H971" s="1" t="str">
        <f>"0034"</f>
        <v>0034</v>
      </c>
      <c r="I971" s="1" t="s">
        <v>31</v>
      </c>
      <c r="J971" s="1" t="str">
        <f>"01043977568"</f>
        <v>01043977568</v>
      </c>
      <c r="K971" s="1" t="str">
        <f>"2017-04-05 16:34:52"</f>
        <v>2017-04-05 16:34:52</v>
      </c>
      <c r="L971" s="1" t="str">
        <f>"2017-04-05 16:35:02"</f>
        <v>2017-04-05 16:35:02</v>
      </c>
      <c r="M971" s="2">
        <v>1.2824074074074073E-2</v>
      </c>
      <c r="N971" s="1" t="s">
        <v>26</v>
      </c>
      <c r="O971" s="1" t="s">
        <v>27</v>
      </c>
      <c r="P971" s="2">
        <v>1.2939814814814814E-2</v>
      </c>
      <c r="Q971" s="1" t="s">
        <v>834</v>
      </c>
      <c r="R971" s="1">
        <v>0</v>
      </c>
      <c r="S971" s="1" t="str">
        <f>""</f>
        <v/>
      </c>
      <c r="T971" s="1" t="s">
        <v>29</v>
      </c>
      <c r="U971" s="1" t="s">
        <v>30</v>
      </c>
      <c r="V971" s="1">
        <v>0</v>
      </c>
    </row>
    <row r="972" spans="2:22" x14ac:dyDescent="0.15">
      <c r="B972" s="1" t="str">
        <f>"177****1906"</f>
        <v>177****1906</v>
      </c>
      <c r="C972" s="1" t="s">
        <v>23</v>
      </c>
      <c r="D972" s="1" t="str">
        <f t="shared" si="98"/>
        <v>89177328</v>
      </c>
      <c r="E972" s="1" t="s">
        <v>24</v>
      </c>
      <c r="F972" s="1" t="str">
        <f t="shared" si="99"/>
        <v>0010</v>
      </c>
      <c r="G972" s="1" t="str">
        <f>""</f>
        <v/>
      </c>
      <c r="H972" s="1" t="str">
        <f>"0034"</f>
        <v>0034</v>
      </c>
      <c r="I972" s="1" t="s">
        <v>31</v>
      </c>
      <c r="J972" s="1" t="str">
        <f>"01043977568"</f>
        <v>01043977568</v>
      </c>
      <c r="K972" s="1" t="str">
        <f>"2017-04-05 16:17:43"</f>
        <v>2017-04-05 16:17:43</v>
      </c>
      <c r="L972" s="1" t="str">
        <f>"-"</f>
        <v>-</v>
      </c>
      <c r="M972" s="2">
        <v>0</v>
      </c>
      <c r="N972" s="1" t="s">
        <v>33</v>
      </c>
      <c r="O972" s="1" t="s">
        <v>34</v>
      </c>
      <c r="P972" s="2">
        <v>2.3148148148148147E-5</v>
      </c>
      <c r="Q972" s="1" t="str">
        <f>""</f>
        <v/>
      </c>
      <c r="R972" s="1">
        <v>0</v>
      </c>
      <c r="S972" s="1" t="str">
        <f>""</f>
        <v/>
      </c>
      <c r="T972" s="1" t="s">
        <v>29</v>
      </c>
      <c r="U972" s="1" t="s">
        <v>30</v>
      </c>
      <c r="V972" s="1">
        <v>0</v>
      </c>
    </row>
    <row r="973" spans="2:22" x14ac:dyDescent="0.15">
      <c r="B973" s="1" t="str">
        <f>"130****5656"</f>
        <v>130****5656</v>
      </c>
      <c r="C973" s="1" t="s">
        <v>112</v>
      </c>
      <c r="D973" s="1" t="str">
        <f t="shared" si="98"/>
        <v>89177328</v>
      </c>
      <c r="E973" s="1" t="s">
        <v>24</v>
      </c>
      <c r="F973" s="1" t="str">
        <f t="shared" si="99"/>
        <v>0010</v>
      </c>
      <c r="G973" s="1" t="str">
        <f>""</f>
        <v/>
      </c>
      <c r="H973" s="1" t="str">
        <f>"0034"</f>
        <v>0034</v>
      </c>
      <c r="I973" s="1" t="s">
        <v>31</v>
      </c>
      <c r="J973" s="1" t="str">
        <f>"01043977568"</f>
        <v>01043977568</v>
      </c>
      <c r="K973" s="1" t="str">
        <f>"2017-04-05 16:10:52"</f>
        <v>2017-04-05 16:10:52</v>
      </c>
      <c r="L973" s="1" t="str">
        <f>"-"</f>
        <v>-</v>
      </c>
      <c r="M973" s="2">
        <v>0</v>
      </c>
      <c r="N973" s="1" t="s">
        <v>33</v>
      </c>
      <c r="O973" s="1" t="s">
        <v>34</v>
      </c>
      <c r="P973" s="2">
        <v>2.3148148148148147E-5</v>
      </c>
      <c r="Q973" s="1" t="str">
        <f>""</f>
        <v/>
      </c>
      <c r="R973" s="1">
        <v>0</v>
      </c>
      <c r="S973" s="1" t="str">
        <f>""</f>
        <v/>
      </c>
      <c r="T973" s="1" t="s">
        <v>29</v>
      </c>
      <c r="U973" s="1" t="s">
        <v>30</v>
      </c>
      <c r="V973" s="1">
        <v>0</v>
      </c>
    </row>
    <row r="974" spans="2:22" x14ac:dyDescent="0.15">
      <c r="B974" s="1" t="str">
        <f>"186****5018"</f>
        <v>186****5018</v>
      </c>
      <c r="C974" s="1" t="s">
        <v>23</v>
      </c>
      <c r="D974" s="1" t="str">
        <f t="shared" si="98"/>
        <v>89177328</v>
      </c>
      <c r="E974" s="1" t="s">
        <v>24</v>
      </c>
      <c r="F974" s="1" t="str">
        <f t="shared" si="99"/>
        <v>0010</v>
      </c>
      <c r="G974" s="1" t="str">
        <f>""</f>
        <v/>
      </c>
      <c r="H974" s="1" t="str">
        <f>"0036"</f>
        <v>0036</v>
      </c>
      <c r="I974" s="1" t="s">
        <v>143</v>
      </c>
      <c r="J974" s="1" t="str">
        <f>"01043977573"</f>
        <v>01043977573</v>
      </c>
      <c r="K974" s="1" t="str">
        <f>"2017-04-05 16:07:12"</f>
        <v>2017-04-05 16:07:12</v>
      </c>
      <c r="L974" s="1" t="str">
        <f>"2017-04-05 16:07:15"</f>
        <v>2017-04-05 16:07:15</v>
      </c>
      <c r="M974" s="2">
        <v>9.8379629629629642E-4</v>
      </c>
      <c r="N974" s="1" t="s">
        <v>26</v>
      </c>
      <c r="O974" s="1" t="s">
        <v>27</v>
      </c>
      <c r="P974" s="2">
        <v>1.0185185185185186E-3</v>
      </c>
      <c r="Q974" s="1" t="s">
        <v>835</v>
      </c>
      <c r="R974" s="1">
        <v>0</v>
      </c>
      <c r="S974" s="1" t="str">
        <f>""</f>
        <v/>
      </c>
      <c r="T974" s="1" t="s">
        <v>29</v>
      </c>
      <c r="U974" s="1" t="s">
        <v>30</v>
      </c>
      <c r="V974" s="1">
        <v>0</v>
      </c>
    </row>
    <row r="975" spans="2:22" x14ac:dyDescent="0.15">
      <c r="B975" s="1" t="str">
        <f>"186****0604"</f>
        <v>186****0604</v>
      </c>
      <c r="C975" s="1" t="s">
        <v>23</v>
      </c>
      <c r="D975" s="1" t="str">
        <f t="shared" si="98"/>
        <v>89177328</v>
      </c>
      <c r="E975" s="1" t="s">
        <v>24</v>
      </c>
      <c r="F975" s="1" t="str">
        <f t="shared" si="99"/>
        <v>0010</v>
      </c>
      <c r="G975" s="1" t="str">
        <f>""</f>
        <v/>
      </c>
      <c r="H975" s="1" t="str">
        <f>"0036"</f>
        <v>0036</v>
      </c>
      <c r="I975" s="1" t="s">
        <v>143</v>
      </c>
      <c r="J975" s="1" t="str">
        <f>"01043977573"</f>
        <v>01043977573</v>
      </c>
      <c r="K975" s="1" t="str">
        <f>"2017-04-05 16:05:53"</f>
        <v>2017-04-05 16:05:53</v>
      </c>
      <c r="L975" s="1" t="str">
        <f>"2017-04-05 16:05:57"</f>
        <v>2017-04-05 16:05:57</v>
      </c>
      <c r="M975" s="2">
        <v>1.1574074074074073E-5</v>
      </c>
      <c r="N975" s="1" t="s">
        <v>26</v>
      </c>
      <c r="O975" s="1" t="s">
        <v>34</v>
      </c>
      <c r="P975" s="2">
        <v>5.7870370370370366E-5</v>
      </c>
      <c r="Q975" s="1" t="str">
        <f>""</f>
        <v/>
      </c>
      <c r="R975" s="1">
        <v>0</v>
      </c>
      <c r="S975" s="1" t="str">
        <f>""</f>
        <v/>
      </c>
      <c r="T975" s="1" t="s">
        <v>29</v>
      </c>
      <c r="U975" s="1" t="s">
        <v>30</v>
      </c>
      <c r="V975" s="1">
        <v>0</v>
      </c>
    </row>
    <row r="976" spans="2:22" x14ac:dyDescent="0.15">
      <c r="B976" s="1" t="str">
        <f>"183****4280"</f>
        <v>183****4280</v>
      </c>
      <c r="C976" s="1" t="s">
        <v>23</v>
      </c>
      <c r="D976" s="1" t="str">
        <f t="shared" si="98"/>
        <v>89177328</v>
      </c>
      <c r="E976" s="1" t="s">
        <v>24</v>
      </c>
      <c r="F976" s="1" t="str">
        <f t="shared" si="99"/>
        <v>0010</v>
      </c>
      <c r="G976" s="1" t="str">
        <f>""</f>
        <v/>
      </c>
      <c r="H976" s="1" t="str">
        <f>"0036"</f>
        <v>0036</v>
      </c>
      <c r="I976" s="1" t="s">
        <v>143</v>
      </c>
      <c r="J976" s="1" t="str">
        <f>"01043977573"</f>
        <v>01043977573</v>
      </c>
      <c r="K976" s="1" t="str">
        <f>"2017-04-05 16:05:17"</f>
        <v>2017-04-05 16:05:17</v>
      </c>
      <c r="L976" s="1" t="str">
        <f>"2017-04-05 16:05:20"</f>
        <v>2017-04-05 16:05:20</v>
      </c>
      <c r="M976" s="2">
        <v>3.4722222222222222E-5</v>
      </c>
      <c r="N976" s="1" t="s">
        <v>26</v>
      </c>
      <c r="O976" s="1" t="s">
        <v>34</v>
      </c>
      <c r="P976" s="2">
        <v>6.9444444444444444E-5</v>
      </c>
      <c r="Q976" s="1" t="str">
        <f>""</f>
        <v/>
      </c>
      <c r="R976" s="1">
        <v>0</v>
      </c>
      <c r="S976" s="1" t="str">
        <f>""</f>
        <v/>
      </c>
      <c r="T976" s="1" t="s">
        <v>29</v>
      </c>
      <c r="U976" s="1" t="s">
        <v>30</v>
      </c>
      <c r="V976" s="1">
        <v>0</v>
      </c>
    </row>
    <row r="977" spans="2:22" x14ac:dyDescent="0.15">
      <c r="B977" s="1" t="str">
        <f>"188****7867"</f>
        <v>188****7867</v>
      </c>
      <c r="C977" s="1" t="s">
        <v>23</v>
      </c>
      <c r="D977" s="1" t="str">
        <f t="shared" si="98"/>
        <v>89177328</v>
      </c>
      <c r="E977" s="1" t="s">
        <v>24</v>
      </c>
      <c r="F977" s="1" t="str">
        <f t="shared" si="99"/>
        <v>0010</v>
      </c>
      <c r="G977" s="1" t="str">
        <f>""</f>
        <v/>
      </c>
      <c r="H977" s="1" t="str">
        <f>"0031"</f>
        <v>0031</v>
      </c>
      <c r="I977" s="1" t="s">
        <v>95</v>
      </c>
      <c r="J977" s="1" t="str">
        <f>"01043977565"</f>
        <v>01043977565</v>
      </c>
      <c r="K977" s="1" t="str">
        <f>"2017-04-05 16:03:44"</f>
        <v>2017-04-05 16:03:44</v>
      </c>
      <c r="L977" s="1" t="str">
        <f>"-"</f>
        <v>-</v>
      </c>
      <c r="M977" s="2">
        <v>0</v>
      </c>
      <c r="N977" s="1" t="s">
        <v>33</v>
      </c>
      <c r="O977" s="1" t="s">
        <v>34</v>
      </c>
      <c r="P977" s="2">
        <v>9.2592592592592588E-5</v>
      </c>
      <c r="Q977" s="1" t="str">
        <f>""</f>
        <v/>
      </c>
      <c r="R977" s="1">
        <v>0</v>
      </c>
      <c r="S977" s="1" t="str">
        <f>""</f>
        <v/>
      </c>
      <c r="T977" s="1" t="s">
        <v>29</v>
      </c>
      <c r="U977" s="1" t="s">
        <v>30</v>
      </c>
      <c r="V977" s="1">
        <v>0</v>
      </c>
    </row>
    <row r="978" spans="2:22" x14ac:dyDescent="0.15">
      <c r="B978" s="1" t="str">
        <f>"186****0604"</f>
        <v>186****0604</v>
      </c>
      <c r="C978" s="1" t="s">
        <v>23</v>
      </c>
      <c r="D978" s="1" t="str">
        <f t="shared" si="98"/>
        <v>89177328</v>
      </c>
      <c r="E978" s="1" t="s">
        <v>24</v>
      </c>
      <c r="F978" s="1" t="str">
        <f t="shared" si="99"/>
        <v>0010</v>
      </c>
      <c r="G978" s="1" t="str">
        <f>""</f>
        <v/>
      </c>
      <c r="H978" s="1" t="str">
        <f>"0031"</f>
        <v>0031</v>
      </c>
      <c r="I978" s="1" t="s">
        <v>95</v>
      </c>
      <c r="J978" s="1" t="str">
        <f>"01043977565"</f>
        <v>01043977565</v>
      </c>
      <c r="K978" s="1" t="str">
        <f>"2017-04-05 16:02:44"</f>
        <v>2017-04-05 16:02:44</v>
      </c>
      <c r="L978" s="1" t="str">
        <f>"-"</f>
        <v>-</v>
      </c>
      <c r="M978" s="2">
        <v>0</v>
      </c>
      <c r="N978" s="1" t="s">
        <v>33</v>
      </c>
      <c r="O978" s="1" t="s">
        <v>34</v>
      </c>
      <c r="P978" s="2">
        <v>4.6296296296296294E-5</v>
      </c>
      <c r="Q978" s="1" t="str">
        <f>""</f>
        <v/>
      </c>
      <c r="R978" s="1">
        <v>0</v>
      </c>
      <c r="S978" s="1" t="str">
        <f>""</f>
        <v/>
      </c>
      <c r="T978" s="1" t="s">
        <v>29</v>
      </c>
      <c r="U978" s="1" t="s">
        <v>30</v>
      </c>
      <c r="V978" s="1">
        <v>0</v>
      </c>
    </row>
    <row r="979" spans="2:22" x14ac:dyDescent="0.15">
      <c r="B979" s="1" t="str">
        <f>"183****4280"</f>
        <v>183****4280</v>
      </c>
      <c r="C979" s="1" t="s">
        <v>23</v>
      </c>
      <c r="D979" s="1" t="str">
        <f t="shared" si="98"/>
        <v>89177328</v>
      </c>
      <c r="E979" s="1" t="s">
        <v>24</v>
      </c>
      <c r="F979" s="1" t="str">
        <f t="shared" si="99"/>
        <v>0010</v>
      </c>
      <c r="G979" s="1" t="str">
        <f>""</f>
        <v/>
      </c>
      <c r="H979" s="1" t="str">
        <f>"0031"</f>
        <v>0031</v>
      </c>
      <c r="I979" s="1" t="s">
        <v>95</v>
      </c>
      <c r="J979" s="1" t="str">
        <f>"01043977565"</f>
        <v>01043977565</v>
      </c>
      <c r="K979" s="1" t="str">
        <f>"2017-04-05 16:00:09"</f>
        <v>2017-04-05 16:00:09</v>
      </c>
      <c r="L979" s="1" t="str">
        <f>"-"</f>
        <v>-</v>
      </c>
      <c r="M979" s="2">
        <v>0</v>
      </c>
      <c r="N979" s="1" t="s">
        <v>33</v>
      </c>
      <c r="O979" s="1" t="s">
        <v>34</v>
      </c>
      <c r="P979" s="2">
        <v>4.6296296296296294E-5</v>
      </c>
      <c r="Q979" s="1" t="str">
        <f>""</f>
        <v/>
      </c>
      <c r="R979" s="1">
        <v>0</v>
      </c>
      <c r="S979" s="1" t="str">
        <f>""</f>
        <v/>
      </c>
      <c r="T979" s="1" t="s">
        <v>29</v>
      </c>
      <c r="U979" s="1" t="s">
        <v>30</v>
      </c>
      <c r="V979" s="1">
        <v>0</v>
      </c>
    </row>
    <row r="980" spans="2:22" x14ac:dyDescent="0.15">
      <c r="B980" s="1" t="str">
        <f>"186****0604"</f>
        <v>186****0604</v>
      </c>
      <c r="C980" s="1" t="s">
        <v>23</v>
      </c>
      <c r="D980" s="1" t="str">
        <f t="shared" si="98"/>
        <v>89177328</v>
      </c>
      <c r="E980" s="1" t="s">
        <v>24</v>
      </c>
      <c r="F980" s="1" t="str">
        <f t="shared" si="99"/>
        <v>0010</v>
      </c>
      <c r="G980" s="1" t="str">
        <f>""</f>
        <v/>
      </c>
      <c r="H980" s="1" t="str">
        <f>"0036"</f>
        <v>0036</v>
      </c>
      <c r="I980" s="1" t="s">
        <v>143</v>
      </c>
      <c r="J980" s="1" t="str">
        <f>"01043977573"</f>
        <v>01043977573</v>
      </c>
      <c r="K980" s="1" t="str">
        <f>"2017-04-05 16:00:09"</f>
        <v>2017-04-05 16:00:09</v>
      </c>
      <c r="L980" s="1" t="str">
        <f>"-"</f>
        <v>-</v>
      </c>
      <c r="M980" s="2">
        <v>0</v>
      </c>
      <c r="N980" s="1" t="s">
        <v>33</v>
      </c>
      <c r="O980" s="1" t="s">
        <v>34</v>
      </c>
      <c r="P980" s="2">
        <v>6.9444444444444444E-5</v>
      </c>
      <c r="Q980" s="1" t="str">
        <f>""</f>
        <v/>
      </c>
      <c r="R980" s="1">
        <v>0</v>
      </c>
      <c r="S980" s="1" t="str">
        <f>""</f>
        <v/>
      </c>
      <c r="T980" s="1" t="s">
        <v>29</v>
      </c>
      <c r="U980" s="1" t="s">
        <v>30</v>
      </c>
      <c r="V980" s="1">
        <v>0</v>
      </c>
    </row>
    <row r="981" spans="2:22" x14ac:dyDescent="0.15">
      <c r="B981" s="1" t="str">
        <f>"130****5656"</f>
        <v>130****5656</v>
      </c>
      <c r="C981" s="1" t="s">
        <v>112</v>
      </c>
      <c r="D981" s="1" t="str">
        <f t="shared" si="98"/>
        <v>89177328</v>
      </c>
      <c r="E981" s="1" t="s">
        <v>24</v>
      </c>
      <c r="F981" s="1" t="str">
        <f t="shared" si="99"/>
        <v>0010</v>
      </c>
      <c r="G981" s="1" t="str">
        <f>""</f>
        <v/>
      </c>
      <c r="H981" s="1" t="str">
        <f>"0017"</f>
        <v>0017</v>
      </c>
      <c r="I981" s="1" t="s">
        <v>135</v>
      </c>
      <c r="J981" s="1" t="str">
        <f>"01043989717"</f>
        <v>01043989717</v>
      </c>
      <c r="K981" s="1" t="str">
        <f>"2017-04-05 15:58:57"</f>
        <v>2017-04-05 15:58:57</v>
      </c>
      <c r="L981" s="1" t="str">
        <f>"2017-04-05 15:59:28"</f>
        <v>2017-04-05 15:59:28</v>
      </c>
      <c r="M981" s="2">
        <v>1.6203703703703703E-4</v>
      </c>
      <c r="N981" s="1" t="s">
        <v>26</v>
      </c>
      <c r="O981" s="1" t="s">
        <v>34</v>
      </c>
      <c r="P981" s="2">
        <v>5.2083333333333333E-4</v>
      </c>
      <c r="Q981" s="1" t="s">
        <v>836</v>
      </c>
      <c r="R981" s="1">
        <v>0</v>
      </c>
      <c r="S981" s="1" t="str">
        <f>""</f>
        <v/>
      </c>
      <c r="T981" s="1" t="s">
        <v>29</v>
      </c>
      <c r="U981" s="1" t="s">
        <v>30</v>
      </c>
      <c r="V981" s="1">
        <v>0</v>
      </c>
    </row>
    <row r="982" spans="2:22" x14ac:dyDescent="0.15">
      <c r="B982" s="1" t="str">
        <f>"188****7867"</f>
        <v>188****7867</v>
      </c>
      <c r="C982" s="1" t="s">
        <v>23</v>
      </c>
      <c r="D982" s="1" t="str">
        <f t="shared" si="98"/>
        <v>89177328</v>
      </c>
      <c r="E982" s="1" t="s">
        <v>24</v>
      </c>
      <c r="F982" s="1" t="str">
        <f t="shared" si="99"/>
        <v>0010</v>
      </c>
      <c r="G982" s="1" t="str">
        <f>""</f>
        <v/>
      </c>
      <c r="H982" s="1" t="str">
        <f>"0017"</f>
        <v>0017</v>
      </c>
      <c r="I982" s="1" t="s">
        <v>135</v>
      </c>
      <c r="J982" s="1" t="str">
        <f>"01043989717"</f>
        <v>01043989717</v>
      </c>
      <c r="K982" s="1" t="str">
        <f>"2017-04-05 15:58:54"</f>
        <v>2017-04-05 15:58:54</v>
      </c>
      <c r="L982" s="1" t="str">
        <f>"-"</f>
        <v>-</v>
      </c>
      <c r="M982" s="2">
        <v>0</v>
      </c>
      <c r="N982" s="1" t="s">
        <v>33</v>
      </c>
      <c r="O982" s="1" t="s">
        <v>34</v>
      </c>
      <c r="P982" s="2">
        <v>4.6296296296296294E-5</v>
      </c>
      <c r="Q982" s="1" t="str">
        <f>""</f>
        <v/>
      </c>
      <c r="R982" s="1">
        <v>0</v>
      </c>
      <c r="S982" s="1" t="str">
        <f>""</f>
        <v/>
      </c>
      <c r="T982" s="1" t="s">
        <v>29</v>
      </c>
      <c r="U982" s="1" t="s">
        <v>30</v>
      </c>
      <c r="V982" s="1">
        <v>0</v>
      </c>
    </row>
    <row r="983" spans="2:22" x14ac:dyDescent="0.15">
      <c r="B983" s="1" t="str">
        <f>"136****3235"</f>
        <v>136****3235</v>
      </c>
      <c r="C983" s="1" t="s">
        <v>23</v>
      </c>
      <c r="D983" s="1" t="str">
        <f>"4000108333"</f>
        <v>4000108333</v>
      </c>
      <c r="E983" s="1" t="s">
        <v>53</v>
      </c>
      <c r="F983" s="1" t="str">
        <f>"0000"</f>
        <v>0000</v>
      </c>
      <c r="G983" s="1" t="str">
        <f>""</f>
        <v/>
      </c>
      <c r="H983" s="1" t="str">
        <f>"1010"</f>
        <v>1010</v>
      </c>
      <c r="I983" s="1" t="s">
        <v>148</v>
      </c>
      <c r="J983" s="1" t="str">
        <f>"13718091869"</f>
        <v>13718091869</v>
      </c>
      <c r="K983" s="1" t="str">
        <f>"2017-04-05 15:51:36"</f>
        <v>2017-04-05 15:51:36</v>
      </c>
      <c r="L983" s="1" t="str">
        <f>"-"</f>
        <v>-</v>
      </c>
      <c r="M983" s="2">
        <v>0</v>
      </c>
      <c r="N983" s="1" t="s">
        <v>33</v>
      </c>
      <c r="O983" s="1" t="s">
        <v>34</v>
      </c>
      <c r="P983" s="2">
        <v>3.9351851851851852E-4</v>
      </c>
      <c r="Q983" s="1" t="str">
        <f>""</f>
        <v/>
      </c>
      <c r="R983" s="1">
        <v>0.12</v>
      </c>
      <c r="S983" s="1" t="str">
        <f>""</f>
        <v/>
      </c>
      <c r="T983" s="1" t="s">
        <v>29</v>
      </c>
      <c r="U983" s="1" t="s">
        <v>30</v>
      </c>
      <c r="V983" s="1">
        <v>0</v>
      </c>
    </row>
    <row r="984" spans="2:22" x14ac:dyDescent="0.15">
      <c r="B984" s="1" t="str">
        <f>"010****7188"</f>
        <v>010****7188</v>
      </c>
      <c r="C984" s="1" t="s">
        <v>23</v>
      </c>
      <c r="D984" s="1" t="str">
        <f t="shared" ref="D984:D991" si="103">"89177328"</f>
        <v>89177328</v>
      </c>
      <c r="E984" s="1" t="s">
        <v>24</v>
      </c>
      <c r="F984" s="1" t="str">
        <f t="shared" ref="F984:F991" si="104">"0010"</f>
        <v>0010</v>
      </c>
      <c r="G984" s="1" t="str">
        <f>""</f>
        <v/>
      </c>
      <c r="H984" s="1" t="str">
        <f>"0036"</f>
        <v>0036</v>
      </c>
      <c r="I984" s="1" t="s">
        <v>143</v>
      </c>
      <c r="J984" s="1" t="str">
        <f>"01043977573"</f>
        <v>01043977573</v>
      </c>
      <c r="K984" s="1" t="str">
        <f>"2017-04-05 15:50:57"</f>
        <v>2017-04-05 15:50:57</v>
      </c>
      <c r="L984" s="1" t="str">
        <f>"2017-04-05 15:51:00"</f>
        <v>2017-04-05 15:51:00</v>
      </c>
      <c r="M984" s="2">
        <v>1.1689814814814816E-3</v>
      </c>
      <c r="N984" s="1" t="s">
        <v>26</v>
      </c>
      <c r="O984" s="1" t="s">
        <v>34</v>
      </c>
      <c r="P984" s="2">
        <v>1.2037037037037038E-3</v>
      </c>
      <c r="Q984" s="1" t="s">
        <v>837</v>
      </c>
      <c r="R984" s="1">
        <v>0</v>
      </c>
      <c r="S984" s="1" t="str">
        <f>""</f>
        <v/>
      </c>
      <c r="T984" s="1" t="s">
        <v>29</v>
      </c>
      <c r="U984" s="1" t="s">
        <v>30</v>
      </c>
      <c r="V984" s="1">
        <v>0</v>
      </c>
    </row>
    <row r="985" spans="2:22" x14ac:dyDescent="0.15">
      <c r="B985" s="1" t="str">
        <f>"035****9715"</f>
        <v>035****9715</v>
      </c>
      <c r="C985" s="1" t="s">
        <v>831</v>
      </c>
      <c r="D985" s="1" t="str">
        <f t="shared" si="103"/>
        <v>89177328</v>
      </c>
      <c r="E985" s="1" t="s">
        <v>24</v>
      </c>
      <c r="F985" s="1" t="str">
        <f t="shared" si="104"/>
        <v>0010</v>
      </c>
      <c r="G985" s="1" t="str">
        <f>""</f>
        <v/>
      </c>
      <c r="H985" s="1" t="str">
        <f>"0031"</f>
        <v>0031</v>
      </c>
      <c r="I985" s="1" t="s">
        <v>95</v>
      </c>
      <c r="J985" s="1" t="str">
        <f>"01043977565"</f>
        <v>01043977565</v>
      </c>
      <c r="K985" s="1" t="str">
        <f>"2017-04-05 15:50:30"</f>
        <v>2017-04-05 15:50:30</v>
      </c>
      <c r="L985" s="1" t="str">
        <f>"2017-04-05 15:50:36"</f>
        <v>2017-04-05 15:50:36</v>
      </c>
      <c r="M985" s="2">
        <v>5.9953703703703697E-3</v>
      </c>
      <c r="N985" s="1" t="s">
        <v>26</v>
      </c>
      <c r="O985" s="1" t="s">
        <v>34</v>
      </c>
      <c r="P985" s="2">
        <v>6.0648148148148145E-3</v>
      </c>
      <c r="Q985" s="1" t="s">
        <v>838</v>
      </c>
      <c r="R985" s="1">
        <v>0</v>
      </c>
      <c r="S985" s="1" t="str">
        <f>""</f>
        <v/>
      </c>
      <c r="T985" s="1" t="s">
        <v>29</v>
      </c>
      <c r="U985" s="1" t="s">
        <v>30</v>
      </c>
      <c r="V985" s="1">
        <v>0</v>
      </c>
    </row>
    <row r="986" spans="2:22" x14ac:dyDescent="0.15">
      <c r="B986" s="1" t="str">
        <f>"180****3778"</f>
        <v>180****3778</v>
      </c>
      <c r="C986" s="1" t="s">
        <v>193</v>
      </c>
      <c r="D986" s="1" t="str">
        <f t="shared" si="103"/>
        <v>89177328</v>
      </c>
      <c r="E986" s="1" t="s">
        <v>24</v>
      </c>
      <c r="F986" s="1" t="str">
        <f t="shared" si="104"/>
        <v>0010</v>
      </c>
      <c r="G986" s="1" t="str">
        <f>""</f>
        <v/>
      </c>
      <c r="H986" s="1" t="str">
        <f>"0036"</f>
        <v>0036</v>
      </c>
      <c r="I986" s="1" t="s">
        <v>143</v>
      </c>
      <c r="J986" s="1" t="str">
        <f>"01043977573"</f>
        <v>01043977573</v>
      </c>
      <c r="K986" s="1" t="str">
        <f>"2017-04-05 15:44:26"</f>
        <v>2017-04-05 15:44:26</v>
      </c>
      <c r="L986" s="1" t="str">
        <f>"2017-04-05 15:44:48"</f>
        <v>2017-04-05 15:44:48</v>
      </c>
      <c r="M986" s="2">
        <v>3.3680555555555551E-3</v>
      </c>
      <c r="N986" s="1" t="s">
        <v>26</v>
      </c>
      <c r="O986" s="1" t="s">
        <v>34</v>
      </c>
      <c r="P986" s="2">
        <v>3.6226851851851854E-3</v>
      </c>
      <c r="Q986" s="1" t="s">
        <v>839</v>
      </c>
      <c r="R986" s="1">
        <v>0</v>
      </c>
      <c r="S986" s="1" t="str">
        <f>""</f>
        <v/>
      </c>
      <c r="T986" s="1" t="s">
        <v>29</v>
      </c>
      <c r="U986" s="1" t="s">
        <v>30</v>
      </c>
      <c r="V986" s="1">
        <v>0</v>
      </c>
    </row>
    <row r="987" spans="2:22" x14ac:dyDescent="0.15">
      <c r="B987" s="1" t="str">
        <f>"187****8895"</f>
        <v>187****8895</v>
      </c>
      <c r="C987" s="1" t="s">
        <v>23</v>
      </c>
      <c r="D987" s="1" t="str">
        <f t="shared" si="103"/>
        <v>89177328</v>
      </c>
      <c r="E987" s="1" t="s">
        <v>24</v>
      </c>
      <c r="F987" s="1" t="str">
        <f t="shared" si="104"/>
        <v>0010</v>
      </c>
      <c r="G987" s="1" t="str">
        <f>""</f>
        <v/>
      </c>
      <c r="H987" s="1" t="str">
        <f>"0036"</f>
        <v>0036</v>
      </c>
      <c r="I987" s="1" t="s">
        <v>143</v>
      </c>
      <c r="J987" s="1" t="str">
        <f>"01043977573"</f>
        <v>01043977573</v>
      </c>
      <c r="K987" s="1" t="str">
        <f>"2017-04-05 15:44:23"</f>
        <v>2017-04-05 15:44:23</v>
      </c>
      <c r="L987" s="1" t="str">
        <f>"2017-04-05 15:44:27"</f>
        <v>2017-04-05 15:44:27</v>
      </c>
      <c r="M987" s="2">
        <v>3.4722222222222222E-5</v>
      </c>
      <c r="N987" s="1" t="s">
        <v>26</v>
      </c>
      <c r="O987" s="1" t="s">
        <v>34</v>
      </c>
      <c r="P987" s="2">
        <v>8.1018518518518516E-5</v>
      </c>
      <c r="Q987" s="1" t="str">
        <f>""</f>
        <v/>
      </c>
      <c r="R987" s="1">
        <v>0</v>
      </c>
      <c r="S987" s="1" t="str">
        <f>""</f>
        <v/>
      </c>
      <c r="T987" s="1" t="s">
        <v>29</v>
      </c>
      <c r="U987" s="1" t="s">
        <v>30</v>
      </c>
      <c r="V987" s="1">
        <v>0</v>
      </c>
    </row>
    <row r="988" spans="2:22" x14ac:dyDescent="0.15">
      <c r="B988" s="1" t="str">
        <f>"187****8895"</f>
        <v>187****8895</v>
      </c>
      <c r="C988" s="1" t="s">
        <v>23</v>
      </c>
      <c r="D988" s="1" t="str">
        <f t="shared" si="103"/>
        <v>89177328</v>
      </c>
      <c r="E988" s="1" t="s">
        <v>24</v>
      </c>
      <c r="F988" s="1" t="str">
        <f t="shared" si="104"/>
        <v>0010</v>
      </c>
      <c r="G988" s="1" t="str">
        <f>""</f>
        <v/>
      </c>
      <c r="H988" s="1" t="str">
        <f>"0035"</f>
        <v>0035</v>
      </c>
      <c r="I988" s="1" t="s">
        <v>25</v>
      </c>
      <c r="J988" s="1" t="str">
        <f>"01043977569"</f>
        <v>01043977569</v>
      </c>
      <c r="K988" s="1" t="str">
        <f>"2017-04-05 15:37:40"</f>
        <v>2017-04-05 15:37:40</v>
      </c>
      <c r="L988" s="1" t="str">
        <f>"-"</f>
        <v>-</v>
      </c>
      <c r="M988" s="2">
        <v>0</v>
      </c>
      <c r="N988" s="1" t="s">
        <v>33</v>
      </c>
      <c r="O988" s="1" t="s">
        <v>34</v>
      </c>
      <c r="P988" s="2">
        <v>9.2592592592592588E-5</v>
      </c>
      <c r="Q988" s="1" t="str">
        <f>""</f>
        <v/>
      </c>
      <c r="R988" s="1">
        <v>0</v>
      </c>
      <c r="S988" s="1" t="str">
        <f>""</f>
        <v/>
      </c>
      <c r="T988" s="1" t="s">
        <v>29</v>
      </c>
      <c r="U988" s="1" t="s">
        <v>30</v>
      </c>
      <c r="V988" s="1">
        <v>0</v>
      </c>
    </row>
    <row r="989" spans="2:22" x14ac:dyDescent="0.15">
      <c r="B989" s="1" t="str">
        <f>"176****5270"</f>
        <v>176****5270</v>
      </c>
      <c r="C989" s="1" t="s">
        <v>23</v>
      </c>
      <c r="D989" s="1" t="str">
        <f t="shared" si="103"/>
        <v>89177328</v>
      </c>
      <c r="E989" s="1" t="s">
        <v>24</v>
      </c>
      <c r="F989" s="1" t="str">
        <f t="shared" si="104"/>
        <v>0010</v>
      </c>
      <c r="G989" s="1" t="str">
        <f>""</f>
        <v/>
      </c>
      <c r="H989" s="1" t="str">
        <f>"0035"</f>
        <v>0035</v>
      </c>
      <c r="I989" s="1" t="s">
        <v>25</v>
      </c>
      <c r="J989" s="1" t="str">
        <f>"01043977569"</f>
        <v>01043977569</v>
      </c>
      <c r="K989" s="1" t="str">
        <f>"2017-04-05 15:37:24"</f>
        <v>2017-04-05 15:37:24</v>
      </c>
      <c r="L989" s="1" t="str">
        <f>"-"</f>
        <v>-</v>
      </c>
      <c r="M989" s="2">
        <v>0</v>
      </c>
      <c r="N989" s="1" t="s">
        <v>33</v>
      </c>
      <c r="O989" s="1" t="s">
        <v>34</v>
      </c>
      <c r="P989" s="2">
        <v>8.1018518518518516E-5</v>
      </c>
      <c r="Q989" s="1" t="str">
        <f>""</f>
        <v/>
      </c>
      <c r="R989" s="1">
        <v>0</v>
      </c>
      <c r="S989" s="1" t="str">
        <f>""</f>
        <v/>
      </c>
      <c r="T989" s="1" t="s">
        <v>29</v>
      </c>
      <c r="U989" s="1" t="s">
        <v>30</v>
      </c>
      <c r="V989" s="1">
        <v>0</v>
      </c>
    </row>
    <row r="990" spans="2:22" x14ac:dyDescent="0.15">
      <c r="B990" s="1" t="str">
        <f>"135****2496"</f>
        <v>135****2496</v>
      </c>
      <c r="C990" s="1" t="s">
        <v>188</v>
      </c>
      <c r="D990" s="1" t="str">
        <f t="shared" si="103"/>
        <v>89177328</v>
      </c>
      <c r="E990" s="1" t="s">
        <v>24</v>
      </c>
      <c r="F990" s="1" t="str">
        <f t="shared" si="104"/>
        <v>0010</v>
      </c>
      <c r="G990" s="1" t="str">
        <f>""</f>
        <v/>
      </c>
      <c r="H990" s="1" t="str">
        <f>"0032"</f>
        <v>0032</v>
      </c>
      <c r="I990" s="1" t="s">
        <v>119</v>
      </c>
      <c r="J990" s="1" t="str">
        <f>"01043977566"</f>
        <v>01043977566</v>
      </c>
      <c r="K990" s="1" t="str">
        <f>"2017-04-05 15:37:24"</f>
        <v>2017-04-05 15:37:24</v>
      </c>
      <c r="L990" s="1" t="str">
        <f>"2017-04-05 15:37:36"</f>
        <v>2017-04-05 15:37:36</v>
      </c>
      <c r="M990" s="2">
        <v>8.2986111111111108E-3</v>
      </c>
      <c r="N990" s="1" t="s">
        <v>26</v>
      </c>
      <c r="O990" s="1" t="s">
        <v>34</v>
      </c>
      <c r="P990" s="2">
        <v>8.4375000000000006E-3</v>
      </c>
      <c r="Q990" s="1" t="s">
        <v>840</v>
      </c>
      <c r="R990" s="1">
        <v>0</v>
      </c>
      <c r="S990" s="1" t="str">
        <f>""</f>
        <v/>
      </c>
      <c r="T990" s="1" t="s">
        <v>29</v>
      </c>
      <c r="U990" s="1" t="s">
        <v>30</v>
      </c>
      <c r="V990" s="1">
        <v>0</v>
      </c>
    </row>
    <row r="991" spans="2:22" x14ac:dyDescent="0.15">
      <c r="B991" s="1" t="str">
        <f>"010****7395"</f>
        <v>010****7395</v>
      </c>
      <c r="C991" s="1" t="s">
        <v>23</v>
      </c>
      <c r="D991" s="1" t="str">
        <f t="shared" si="103"/>
        <v>89177328</v>
      </c>
      <c r="E991" s="1" t="s">
        <v>24</v>
      </c>
      <c r="F991" s="1" t="str">
        <f t="shared" si="104"/>
        <v>0010</v>
      </c>
      <c r="G991" s="1" t="str">
        <f>""</f>
        <v/>
      </c>
      <c r="H991" s="1" t="str">
        <f>"0017"</f>
        <v>0017</v>
      </c>
      <c r="I991" s="1" t="s">
        <v>135</v>
      </c>
      <c r="J991" s="1" t="str">
        <f>"01043989717"</f>
        <v>01043989717</v>
      </c>
      <c r="K991" s="1" t="str">
        <f>"2017-04-05 15:33:34"</f>
        <v>2017-04-05 15:33:34</v>
      </c>
      <c r="L991" s="1" t="str">
        <f>"2017-04-05 15:33:43"</f>
        <v>2017-04-05 15:33:43</v>
      </c>
      <c r="M991" s="2">
        <v>7.5578703703703702E-3</v>
      </c>
      <c r="N991" s="1" t="s">
        <v>26</v>
      </c>
      <c r="O991" s="1" t="s">
        <v>27</v>
      </c>
      <c r="P991" s="2">
        <v>7.6620370370370366E-3</v>
      </c>
      <c r="Q991" s="1" t="s">
        <v>841</v>
      </c>
      <c r="R991" s="1">
        <v>0</v>
      </c>
      <c r="S991" s="1" t="str">
        <f>""</f>
        <v/>
      </c>
      <c r="T991" s="1" t="s">
        <v>29</v>
      </c>
      <c r="U991" s="1" t="s">
        <v>30</v>
      </c>
      <c r="V991" s="1">
        <v>0</v>
      </c>
    </row>
    <row r="992" spans="2:22" x14ac:dyDescent="0.15">
      <c r="B992" s="1" t="str">
        <f>"158****0676"</f>
        <v>158****0676</v>
      </c>
      <c r="C992" s="1" t="s">
        <v>127</v>
      </c>
      <c r="D992" s="1" t="str">
        <f>"4000108333"</f>
        <v>4000108333</v>
      </c>
      <c r="E992" s="1" t="s">
        <v>53</v>
      </c>
      <c r="F992" s="1" t="str">
        <f>""</f>
        <v/>
      </c>
      <c r="G992" s="1" t="str">
        <f>""</f>
        <v/>
      </c>
      <c r="H992" s="1" t="str">
        <f>""</f>
        <v/>
      </c>
      <c r="I992" s="1" t="str">
        <f>""</f>
        <v/>
      </c>
      <c r="J992" s="1" t="str">
        <f>""</f>
        <v/>
      </c>
      <c r="K992" s="1" t="str">
        <f>"2017-04-05 15:26:57"</f>
        <v>2017-04-05 15:26:57</v>
      </c>
      <c r="L992" s="1" t="str">
        <f>"-"</f>
        <v>-</v>
      </c>
      <c r="M992" s="2">
        <v>0</v>
      </c>
      <c r="N992" s="1" t="s">
        <v>55</v>
      </c>
      <c r="O992" s="1" t="s">
        <v>34</v>
      </c>
      <c r="P992" s="2">
        <v>8.1018518518518516E-5</v>
      </c>
      <c r="Q992" s="1" t="str">
        <f>""</f>
        <v/>
      </c>
      <c r="R992" s="1">
        <v>0.12</v>
      </c>
      <c r="S992" s="1" t="str">
        <f>""</f>
        <v/>
      </c>
      <c r="T992" s="1" t="s">
        <v>29</v>
      </c>
      <c r="U992" s="1" t="s">
        <v>30</v>
      </c>
      <c r="V992" s="1">
        <v>0</v>
      </c>
    </row>
    <row r="993" spans="2:22" x14ac:dyDescent="0.15">
      <c r="B993" s="1" t="str">
        <f>"186****3373"</f>
        <v>186****3373</v>
      </c>
      <c r="C993" s="1" t="s">
        <v>23</v>
      </c>
      <c r="D993" s="1" t="str">
        <f t="shared" ref="D993:D1021" si="105">"89177328"</f>
        <v>89177328</v>
      </c>
      <c r="E993" s="1" t="s">
        <v>24</v>
      </c>
      <c r="F993" s="1" t="str">
        <f t="shared" ref="F993:F1021" si="106">"0010"</f>
        <v>0010</v>
      </c>
      <c r="G993" s="1" t="str">
        <f>""</f>
        <v/>
      </c>
      <c r="H993" s="1" t="str">
        <f>"0036"</f>
        <v>0036</v>
      </c>
      <c r="I993" s="1" t="s">
        <v>143</v>
      </c>
      <c r="J993" s="1" t="str">
        <f>"01043977573"</f>
        <v>01043977573</v>
      </c>
      <c r="K993" s="1" t="str">
        <f>"2017-04-05 15:18:12"</f>
        <v>2017-04-05 15:18:12</v>
      </c>
      <c r="L993" s="1" t="str">
        <f>"2017-04-05 15:18:16"</f>
        <v>2017-04-05 15:18:16</v>
      </c>
      <c r="M993" s="2">
        <v>1.5532407407407406E-2</v>
      </c>
      <c r="N993" s="1" t="s">
        <v>26</v>
      </c>
      <c r="O993" s="1" t="s">
        <v>34</v>
      </c>
      <c r="P993" s="2">
        <v>1.5578703703703704E-2</v>
      </c>
      <c r="Q993" s="1" t="s">
        <v>842</v>
      </c>
      <c r="R993" s="1">
        <v>0</v>
      </c>
      <c r="S993" s="1" t="str">
        <f>""</f>
        <v/>
      </c>
      <c r="T993" s="1" t="s">
        <v>29</v>
      </c>
      <c r="U993" s="1" t="s">
        <v>30</v>
      </c>
      <c r="V993" s="1">
        <v>0</v>
      </c>
    </row>
    <row r="994" spans="2:22" x14ac:dyDescent="0.15">
      <c r="B994" s="1" t="str">
        <f>"176****5270"</f>
        <v>176****5270</v>
      </c>
      <c r="C994" s="1" t="s">
        <v>23</v>
      </c>
      <c r="D994" s="1" t="str">
        <f t="shared" si="105"/>
        <v>89177328</v>
      </c>
      <c r="E994" s="1" t="s">
        <v>24</v>
      </c>
      <c r="F994" s="1" t="str">
        <f t="shared" si="106"/>
        <v>0010</v>
      </c>
      <c r="G994" s="1" t="str">
        <f>""</f>
        <v/>
      </c>
      <c r="H994" s="1" t="str">
        <f>"0017"</f>
        <v>0017</v>
      </c>
      <c r="I994" s="1" t="s">
        <v>135</v>
      </c>
      <c r="J994" s="1" t="str">
        <f>"01043989717"</f>
        <v>01043989717</v>
      </c>
      <c r="K994" s="1" t="str">
        <f>"2017-04-05 15:08:13"</f>
        <v>2017-04-05 15:08:13</v>
      </c>
      <c r="L994" s="1" t="str">
        <f>"-"</f>
        <v>-</v>
      </c>
      <c r="M994" s="2">
        <v>0</v>
      </c>
      <c r="N994" s="1" t="s">
        <v>33</v>
      </c>
      <c r="O994" s="1" t="s">
        <v>34</v>
      </c>
      <c r="P994" s="2">
        <v>5.7870370370370366E-5</v>
      </c>
      <c r="Q994" s="1" t="str">
        <f>""</f>
        <v/>
      </c>
      <c r="R994" s="1">
        <v>0</v>
      </c>
      <c r="S994" s="1" t="str">
        <f>""</f>
        <v/>
      </c>
      <c r="T994" s="1" t="s">
        <v>29</v>
      </c>
      <c r="U994" s="1" t="s">
        <v>30</v>
      </c>
      <c r="V994" s="1">
        <v>0</v>
      </c>
    </row>
    <row r="995" spans="2:22" x14ac:dyDescent="0.15">
      <c r="B995" s="1" t="str">
        <f>"185****1207"</f>
        <v>185****1207</v>
      </c>
      <c r="C995" s="1" t="s">
        <v>534</v>
      </c>
      <c r="D995" s="1" t="str">
        <f t="shared" si="105"/>
        <v>89177328</v>
      </c>
      <c r="E995" s="1" t="s">
        <v>24</v>
      </c>
      <c r="F995" s="1" t="str">
        <f t="shared" si="106"/>
        <v>0010</v>
      </c>
      <c r="G995" s="1" t="str">
        <f>""</f>
        <v/>
      </c>
      <c r="H995" s="1" t="str">
        <f>"0032"</f>
        <v>0032</v>
      </c>
      <c r="I995" s="1" t="s">
        <v>119</v>
      </c>
      <c r="J995" s="1" t="str">
        <f>"01043977566"</f>
        <v>01043977566</v>
      </c>
      <c r="K995" s="1" t="str">
        <f>"2017-04-05 15:08:06"</f>
        <v>2017-04-05 15:08:06</v>
      </c>
      <c r="L995" s="1" t="str">
        <f>"2017-04-05 15:08:15"</f>
        <v>2017-04-05 15:08:15</v>
      </c>
      <c r="M995" s="2">
        <v>3.2870370370370367E-3</v>
      </c>
      <c r="N995" s="1" t="s">
        <v>26</v>
      </c>
      <c r="O995" s="1" t="s">
        <v>34</v>
      </c>
      <c r="P995" s="2">
        <v>3.3912037037037036E-3</v>
      </c>
      <c r="Q995" s="1" t="s">
        <v>843</v>
      </c>
      <c r="R995" s="1">
        <v>0</v>
      </c>
      <c r="S995" s="1" t="str">
        <f>""</f>
        <v/>
      </c>
      <c r="T995" s="1" t="s">
        <v>29</v>
      </c>
      <c r="U995" s="1" t="s">
        <v>30</v>
      </c>
      <c r="V995" s="1">
        <v>0</v>
      </c>
    </row>
    <row r="996" spans="2:22" x14ac:dyDescent="0.15">
      <c r="B996" s="1" t="str">
        <f>"159****7772"</f>
        <v>159****7772</v>
      </c>
      <c r="C996" s="1" t="s">
        <v>23</v>
      </c>
      <c r="D996" s="1" t="str">
        <f t="shared" si="105"/>
        <v>89177328</v>
      </c>
      <c r="E996" s="1" t="s">
        <v>24</v>
      </c>
      <c r="F996" s="1" t="str">
        <f t="shared" si="106"/>
        <v>0010</v>
      </c>
      <c r="G996" s="1" t="str">
        <f>""</f>
        <v/>
      </c>
      <c r="H996" s="1" t="str">
        <f>"0036"</f>
        <v>0036</v>
      </c>
      <c r="I996" s="1" t="s">
        <v>143</v>
      </c>
      <c r="J996" s="1" t="str">
        <f>"01043977573"</f>
        <v>01043977573</v>
      </c>
      <c r="K996" s="1" t="str">
        <f>"2017-04-05 15:02:58"</f>
        <v>2017-04-05 15:02:58</v>
      </c>
      <c r="L996" s="1" t="str">
        <f>"2017-04-05 15:03:02"</f>
        <v>2017-04-05 15:03:02</v>
      </c>
      <c r="M996" s="2">
        <v>1.042824074074074E-2</v>
      </c>
      <c r="N996" s="1" t="s">
        <v>26</v>
      </c>
      <c r="O996" s="1" t="s">
        <v>34</v>
      </c>
      <c r="P996" s="2">
        <v>1.0474537037037037E-2</v>
      </c>
      <c r="Q996" s="1" t="s">
        <v>844</v>
      </c>
      <c r="R996" s="1">
        <v>0</v>
      </c>
      <c r="S996" s="1" t="str">
        <f>""</f>
        <v/>
      </c>
      <c r="T996" s="1" t="s">
        <v>29</v>
      </c>
      <c r="U996" s="1" t="s">
        <v>30</v>
      </c>
      <c r="V996" s="1">
        <v>0</v>
      </c>
    </row>
    <row r="997" spans="2:22" x14ac:dyDescent="0.15">
      <c r="B997" s="1" t="str">
        <f>"186****4111"</f>
        <v>186****4111</v>
      </c>
      <c r="C997" s="1" t="s">
        <v>80</v>
      </c>
      <c r="D997" s="1" t="str">
        <f t="shared" si="105"/>
        <v>89177328</v>
      </c>
      <c r="E997" s="1" t="s">
        <v>24</v>
      </c>
      <c r="F997" s="1" t="str">
        <f t="shared" si="106"/>
        <v>0010</v>
      </c>
      <c r="G997" s="1" t="str">
        <f>""</f>
        <v/>
      </c>
      <c r="H997" s="1" t="str">
        <f>"0033"</f>
        <v>0033</v>
      </c>
      <c r="I997" s="1" t="s">
        <v>106</v>
      </c>
      <c r="J997" s="1" t="str">
        <f>"01043977567"</f>
        <v>01043977567</v>
      </c>
      <c r="K997" s="1" t="str">
        <f>"2017-04-05 15:01:14"</f>
        <v>2017-04-05 15:01:14</v>
      </c>
      <c r="L997" s="1" t="str">
        <f>"2017-04-05 15:01:23"</f>
        <v>2017-04-05 15:01:23</v>
      </c>
      <c r="M997" s="2">
        <v>2.0717592592592593E-3</v>
      </c>
      <c r="N997" s="1" t="s">
        <v>26</v>
      </c>
      <c r="O997" s="1" t="s">
        <v>27</v>
      </c>
      <c r="P997" s="2">
        <v>2.1759259259259258E-3</v>
      </c>
      <c r="Q997" s="1" t="s">
        <v>845</v>
      </c>
      <c r="R997" s="1">
        <v>0</v>
      </c>
      <c r="S997" s="1" t="str">
        <f>""</f>
        <v/>
      </c>
      <c r="T997" s="1" t="s">
        <v>29</v>
      </c>
      <c r="U997" s="1" t="s">
        <v>30</v>
      </c>
      <c r="V997" s="1">
        <v>0</v>
      </c>
    </row>
    <row r="998" spans="2:22" x14ac:dyDescent="0.15">
      <c r="B998" s="1" t="str">
        <f>"185****1207"</f>
        <v>185****1207</v>
      </c>
      <c r="C998" s="1" t="s">
        <v>534</v>
      </c>
      <c r="D998" s="1" t="str">
        <f t="shared" si="105"/>
        <v>89177328</v>
      </c>
      <c r="E998" s="1" t="s">
        <v>24</v>
      </c>
      <c r="F998" s="1" t="str">
        <f t="shared" si="106"/>
        <v>0010</v>
      </c>
      <c r="G998" s="1" t="str">
        <f>""</f>
        <v/>
      </c>
      <c r="H998" s="1" t="str">
        <f>"0033"</f>
        <v>0033</v>
      </c>
      <c r="I998" s="1" t="s">
        <v>106</v>
      </c>
      <c r="J998" s="1" t="str">
        <f>"01043977567"</f>
        <v>01043977567</v>
      </c>
      <c r="K998" s="1" t="str">
        <f>"2017-04-05 14:53:03"</f>
        <v>2017-04-05 14:53:03</v>
      </c>
      <c r="L998" s="1" t="str">
        <f>"2017-04-05 14:53:12"</f>
        <v>2017-04-05 14:53:12</v>
      </c>
      <c r="M998" s="2">
        <v>3.8425925925925923E-3</v>
      </c>
      <c r="N998" s="1" t="s">
        <v>26</v>
      </c>
      <c r="O998" s="1" t="s">
        <v>27</v>
      </c>
      <c r="P998" s="2">
        <v>3.9467592592592592E-3</v>
      </c>
      <c r="Q998" s="1" t="s">
        <v>846</v>
      </c>
      <c r="R998" s="1">
        <v>0</v>
      </c>
      <c r="S998" s="1" t="str">
        <f>""</f>
        <v/>
      </c>
      <c r="T998" s="1" t="s">
        <v>29</v>
      </c>
      <c r="U998" s="1" t="s">
        <v>30</v>
      </c>
      <c r="V998" s="1">
        <v>0</v>
      </c>
    </row>
    <row r="999" spans="2:22" x14ac:dyDescent="0.15">
      <c r="B999" s="1" t="str">
        <f>"136****2095"</f>
        <v>136****2095</v>
      </c>
      <c r="C999" s="1" t="s">
        <v>23</v>
      </c>
      <c r="D999" s="1" t="str">
        <f t="shared" si="105"/>
        <v>89177328</v>
      </c>
      <c r="E999" s="1" t="s">
        <v>24</v>
      </c>
      <c r="F999" s="1" t="str">
        <f t="shared" si="106"/>
        <v>0010</v>
      </c>
      <c r="G999" s="1" t="str">
        <f>""</f>
        <v/>
      </c>
      <c r="H999" s="1" t="str">
        <f>"0036"</f>
        <v>0036</v>
      </c>
      <c r="I999" s="1" t="s">
        <v>143</v>
      </c>
      <c r="J999" s="1" t="str">
        <f>"01043977573"</f>
        <v>01043977573</v>
      </c>
      <c r="K999" s="1" t="str">
        <f>"2017-04-05 14:31:19"</f>
        <v>2017-04-05 14:31:19</v>
      </c>
      <c r="L999" s="1" t="str">
        <f>"2017-04-05 14:31:31"</f>
        <v>2017-04-05 14:31:31</v>
      </c>
      <c r="M999" s="2">
        <v>1.1481481481481483E-2</v>
      </c>
      <c r="N999" s="1" t="s">
        <v>26</v>
      </c>
      <c r="O999" s="1" t="s">
        <v>27</v>
      </c>
      <c r="P999" s="2">
        <v>1.1620370370370371E-2</v>
      </c>
      <c r="Q999" s="1" t="s">
        <v>847</v>
      </c>
      <c r="R999" s="1">
        <v>0</v>
      </c>
      <c r="S999" s="1" t="str">
        <f>""</f>
        <v/>
      </c>
      <c r="T999" s="1" t="s">
        <v>29</v>
      </c>
      <c r="U999" s="1" t="s">
        <v>30</v>
      </c>
      <c r="V999" s="1">
        <v>0</v>
      </c>
    </row>
    <row r="1000" spans="2:22" x14ac:dyDescent="0.15">
      <c r="B1000" s="1" t="str">
        <f>"183****9390"</f>
        <v>183****9390</v>
      </c>
      <c r="C1000" s="1" t="s">
        <v>23</v>
      </c>
      <c r="D1000" s="1" t="str">
        <f t="shared" si="105"/>
        <v>89177328</v>
      </c>
      <c r="E1000" s="1" t="s">
        <v>24</v>
      </c>
      <c r="F1000" s="1" t="str">
        <f t="shared" si="106"/>
        <v>0010</v>
      </c>
      <c r="G1000" s="1" t="str">
        <f>""</f>
        <v/>
      </c>
      <c r="H1000" s="1" t="str">
        <f>"0033"</f>
        <v>0033</v>
      </c>
      <c r="I1000" s="1" t="s">
        <v>106</v>
      </c>
      <c r="J1000" s="1" t="str">
        <f>"01043977567"</f>
        <v>01043977567</v>
      </c>
      <c r="K1000" s="1" t="str">
        <f>"2017-04-05 14:23:45"</f>
        <v>2017-04-05 14:23:45</v>
      </c>
      <c r="L1000" s="1" t="str">
        <f>"2017-04-05 14:23:54"</f>
        <v>2017-04-05 14:23:54</v>
      </c>
      <c r="M1000" s="2">
        <v>9.1435185185185178E-3</v>
      </c>
      <c r="N1000" s="1" t="s">
        <v>26</v>
      </c>
      <c r="O1000" s="1" t="s">
        <v>27</v>
      </c>
      <c r="P1000" s="2">
        <v>9.2476851851851852E-3</v>
      </c>
      <c r="Q1000" s="1" t="s">
        <v>848</v>
      </c>
      <c r="R1000" s="1">
        <v>0</v>
      </c>
      <c r="S1000" s="1" t="str">
        <f>""</f>
        <v/>
      </c>
      <c r="T1000" s="1" t="s">
        <v>29</v>
      </c>
      <c r="U1000" s="1" t="s">
        <v>30</v>
      </c>
      <c r="V1000" s="1">
        <v>0</v>
      </c>
    </row>
    <row r="1001" spans="2:22" x14ac:dyDescent="0.15">
      <c r="B1001" s="1" t="str">
        <f>"010****3463"</f>
        <v>010****3463</v>
      </c>
      <c r="C1001" s="1" t="s">
        <v>23</v>
      </c>
      <c r="D1001" s="1" t="str">
        <f t="shared" si="105"/>
        <v>89177328</v>
      </c>
      <c r="E1001" s="1" t="s">
        <v>24</v>
      </c>
      <c r="F1001" s="1" t="str">
        <f t="shared" si="106"/>
        <v>0010</v>
      </c>
      <c r="G1001" s="1" t="str">
        <f>""</f>
        <v/>
      </c>
      <c r="H1001" s="1" t="str">
        <f>"0017"</f>
        <v>0017</v>
      </c>
      <c r="I1001" s="1" t="s">
        <v>135</v>
      </c>
      <c r="J1001" s="1" t="str">
        <f>"01043989717"</f>
        <v>01043989717</v>
      </c>
      <c r="K1001" s="1" t="str">
        <f>"2017-04-05 14:09:51"</f>
        <v>2017-04-05 14:09:51</v>
      </c>
      <c r="L1001" s="1" t="str">
        <f>"2017-04-05 14:09:59"</f>
        <v>2017-04-05 14:09:59</v>
      </c>
      <c r="M1001" s="2">
        <v>5.115740740740741E-3</v>
      </c>
      <c r="N1001" s="1" t="s">
        <v>26</v>
      </c>
      <c r="O1001" s="1" t="s">
        <v>27</v>
      </c>
      <c r="P1001" s="2">
        <v>5.208333333333333E-3</v>
      </c>
      <c r="Q1001" s="1" t="s">
        <v>849</v>
      </c>
      <c r="R1001" s="1">
        <v>0</v>
      </c>
      <c r="S1001" s="1" t="str">
        <f>""</f>
        <v/>
      </c>
      <c r="T1001" s="1" t="s">
        <v>29</v>
      </c>
      <c r="U1001" s="1" t="s">
        <v>30</v>
      </c>
      <c r="V1001" s="1">
        <v>0</v>
      </c>
    </row>
    <row r="1002" spans="2:22" x14ac:dyDescent="0.15">
      <c r="B1002" s="1" t="str">
        <f>"010****4505"</f>
        <v>010****4505</v>
      </c>
      <c r="C1002" s="1" t="s">
        <v>23</v>
      </c>
      <c r="D1002" s="1" t="str">
        <f t="shared" si="105"/>
        <v>89177328</v>
      </c>
      <c r="E1002" s="1" t="s">
        <v>24</v>
      </c>
      <c r="F1002" s="1" t="str">
        <f t="shared" si="106"/>
        <v>0010</v>
      </c>
      <c r="G1002" s="1" t="str">
        <f>""</f>
        <v/>
      </c>
      <c r="H1002" s="1" t="str">
        <f>"0034"</f>
        <v>0034</v>
      </c>
      <c r="I1002" s="1" t="s">
        <v>31</v>
      </c>
      <c r="J1002" s="1" t="str">
        <f>"01043977568"</f>
        <v>01043977568</v>
      </c>
      <c r="K1002" s="1" t="str">
        <f>"2017-04-05 14:07:29"</f>
        <v>2017-04-05 14:07:29</v>
      </c>
      <c r="L1002" s="1" t="str">
        <f>"2017-04-05 14:07:37"</f>
        <v>2017-04-05 14:07:37</v>
      </c>
      <c r="M1002" s="2">
        <v>3.0659722222222224E-2</v>
      </c>
      <c r="N1002" s="1" t="s">
        <v>26</v>
      </c>
      <c r="O1002" s="1" t="s">
        <v>34</v>
      </c>
      <c r="P1002" s="2">
        <v>3.0752314814814816E-2</v>
      </c>
      <c r="Q1002" s="1" t="s">
        <v>850</v>
      </c>
      <c r="R1002" s="1">
        <v>0</v>
      </c>
      <c r="S1002" s="1" t="str">
        <f>""</f>
        <v/>
      </c>
      <c r="T1002" s="1" t="s">
        <v>29</v>
      </c>
      <c r="U1002" s="1" t="s">
        <v>30</v>
      </c>
      <c r="V1002" s="1">
        <v>0</v>
      </c>
    </row>
    <row r="1003" spans="2:22" x14ac:dyDescent="0.15">
      <c r="B1003" s="1" t="str">
        <f>"010****4505"</f>
        <v>010****4505</v>
      </c>
      <c r="C1003" s="1" t="s">
        <v>23</v>
      </c>
      <c r="D1003" s="1" t="str">
        <f t="shared" si="105"/>
        <v>89177328</v>
      </c>
      <c r="E1003" s="1" t="s">
        <v>24</v>
      </c>
      <c r="F1003" s="1" t="str">
        <f t="shared" si="106"/>
        <v>0010</v>
      </c>
      <c r="G1003" s="1" t="str">
        <f>""</f>
        <v/>
      </c>
      <c r="H1003" s="1" t="str">
        <f>""</f>
        <v/>
      </c>
      <c r="I1003" s="1" t="str">
        <f>""</f>
        <v/>
      </c>
      <c r="J1003" s="1" t="str">
        <f>""</f>
        <v/>
      </c>
      <c r="K1003" s="1" t="str">
        <f>"2017-04-05 13:56:50"</f>
        <v>2017-04-05 13:56:50</v>
      </c>
      <c r="L1003" s="1" t="str">
        <f>"-"</f>
        <v>-</v>
      </c>
      <c r="M1003" s="2">
        <v>0</v>
      </c>
      <c r="N1003" s="1" t="s">
        <v>55</v>
      </c>
      <c r="O1003" s="1" t="s">
        <v>27</v>
      </c>
      <c r="P1003" s="2">
        <v>3.530092592592592E-3</v>
      </c>
      <c r="Q1003" s="1" t="str">
        <f>""</f>
        <v/>
      </c>
      <c r="R1003" s="1">
        <v>0</v>
      </c>
      <c r="S1003" s="1" t="str">
        <f>""</f>
        <v/>
      </c>
      <c r="T1003" s="1" t="s">
        <v>29</v>
      </c>
      <c r="U1003" s="1" t="s">
        <v>30</v>
      </c>
      <c r="V1003" s="1">
        <v>0</v>
      </c>
    </row>
    <row r="1004" spans="2:22" x14ac:dyDescent="0.15">
      <c r="B1004" s="1" t="str">
        <f>"137****5607"</f>
        <v>137****5607</v>
      </c>
      <c r="C1004" s="1" t="s">
        <v>23</v>
      </c>
      <c r="D1004" s="1" t="str">
        <f t="shared" si="105"/>
        <v>89177328</v>
      </c>
      <c r="E1004" s="1" t="s">
        <v>24</v>
      </c>
      <c r="F1004" s="1" t="str">
        <f t="shared" si="106"/>
        <v>0010</v>
      </c>
      <c r="G1004" s="1" t="str">
        <f>""</f>
        <v/>
      </c>
      <c r="H1004" s="1" t="str">
        <f>"0034"</f>
        <v>0034</v>
      </c>
      <c r="I1004" s="1" t="s">
        <v>31</v>
      </c>
      <c r="J1004" s="1" t="str">
        <f>"01043977568"</f>
        <v>01043977568</v>
      </c>
      <c r="K1004" s="1" t="str">
        <f>"2017-04-05 13:54:43"</f>
        <v>2017-04-05 13:54:43</v>
      </c>
      <c r="L1004" s="1" t="str">
        <f>"2017-04-05 13:54:54"</f>
        <v>2017-04-05 13:54:54</v>
      </c>
      <c r="M1004" s="2">
        <v>5.4629629629629637E-3</v>
      </c>
      <c r="N1004" s="1" t="s">
        <v>26</v>
      </c>
      <c r="O1004" s="1" t="s">
        <v>34</v>
      </c>
      <c r="P1004" s="2">
        <v>5.5902777777777782E-3</v>
      </c>
      <c r="Q1004" s="1" t="s">
        <v>851</v>
      </c>
      <c r="R1004" s="1">
        <v>0</v>
      </c>
      <c r="S1004" s="1" t="str">
        <f>""</f>
        <v/>
      </c>
      <c r="T1004" s="1" t="s">
        <v>29</v>
      </c>
      <c r="U1004" s="1" t="s">
        <v>30</v>
      </c>
      <c r="V1004" s="1">
        <v>0</v>
      </c>
    </row>
    <row r="1005" spans="2:22" x14ac:dyDescent="0.15">
      <c r="B1005" s="1" t="str">
        <f>"177****0206"</f>
        <v>177****0206</v>
      </c>
      <c r="C1005" s="1" t="s">
        <v>23</v>
      </c>
      <c r="D1005" s="1" t="str">
        <f t="shared" si="105"/>
        <v>89177328</v>
      </c>
      <c r="E1005" s="1" t="s">
        <v>24</v>
      </c>
      <c r="F1005" s="1" t="str">
        <f t="shared" si="106"/>
        <v>0010</v>
      </c>
      <c r="G1005" s="1" t="str">
        <f>""</f>
        <v/>
      </c>
      <c r="H1005" s="1" t="str">
        <f>"0018"</f>
        <v>0018</v>
      </c>
      <c r="I1005" s="1" t="s">
        <v>36</v>
      </c>
      <c r="J1005" s="1" t="str">
        <f>"01043977572"</f>
        <v>01043977572</v>
      </c>
      <c r="K1005" s="1" t="str">
        <f>"2017-04-05 13:46:26"</f>
        <v>2017-04-05 13:46:26</v>
      </c>
      <c r="L1005" s="1" t="str">
        <f t="shared" ref="L1005:L1011" si="107">"-"</f>
        <v>-</v>
      </c>
      <c r="M1005" s="2">
        <v>0</v>
      </c>
      <c r="N1005" s="1" t="s">
        <v>33</v>
      </c>
      <c r="O1005" s="1" t="s">
        <v>34</v>
      </c>
      <c r="P1005" s="2">
        <v>8.1018518518518516E-5</v>
      </c>
      <c r="Q1005" s="1" t="str">
        <f>""</f>
        <v/>
      </c>
      <c r="R1005" s="1">
        <v>0</v>
      </c>
      <c r="S1005" s="1" t="str">
        <f>""</f>
        <v/>
      </c>
      <c r="T1005" s="1" t="s">
        <v>29</v>
      </c>
      <c r="U1005" s="1" t="s">
        <v>30</v>
      </c>
      <c r="V1005" s="1">
        <v>0</v>
      </c>
    </row>
    <row r="1006" spans="2:22" x14ac:dyDescent="0.15">
      <c r="B1006" s="1" t="str">
        <f>"177****0206"</f>
        <v>177****0206</v>
      </c>
      <c r="C1006" s="1" t="s">
        <v>23</v>
      </c>
      <c r="D1006" s="1" t="str">
        <f t="shared" si="105"/>
        <v>89177328</v>
      </c>
      <c r="E1006" s="1" t="s">
        <v>24</v>
      </c>
      <c r="F1006" s="1" t="str">
        <f t="shared" si="106"/>
        <v>0010</v>
      </c>
      <c r="G1006" s="1" t="str">
        <f>""</f>
        <v/>
      </c>
      <c r="H1006" s="1" t="str">
        <f>"0034"</f>
        <v>0034</v>
      </c>
      <c r="I1006" s="1" t="s">
        <v>31</v>
      </c>
      <c r="J1006" s="1" t="str">
        <f>"01043977568"</f>
        <v>01043977568</v>
      </c>
      <c r="K1006" s="1" t="str">
        <f>"2017-04-05 13:46:14"</f>
        <v>2017-04-05 13:46:14</v>
      </c>
      <c r="L1006" s="1" t="str">
        <f t="shared" si="107"/>
        <v>-</v>
      </c>
      <c r="M1006" s="2">
        <v>0</v>
      </c>
      <c r="N1006" s="1" t="s">
        <v>33</v>
      </c>
      <c r="O1006" s="1" t="s">
        <v>34</v>
      </c>
      <c r="P1006" s="2">
        <v>5.7870370370370366E-5</v>
      </c>
      <c r="Q1006" s="1" t="str">
        <f>""</f>
        <v/>
      </c>
      <c r="R1006" s="1">
        <v>0</v>
      </c>
      <c r="S1006" s="1" t="str">
        <f>""</f>
        <v/>
      </c>
      <c r="T1006" s="1" t="s">
        <v>29</v>
      </c>
      <c r="U1006" s="1" t="s">
        <v>30</v>
      </c>
      <c r="V1006" s="1">
        <v>0</v>
      </c>
    </row>
    <row r="1007" spans="2:22" x14ac:dyDescent="0.15">
      <c r="B1007" s="1" t="str">
        <f>"183****4280"</f>
        <v>183****4280</v>
      </c>
      <c r="C1007" s="1" t="s">
        <v>23</v>
      </c>
      <c r="D1007" s="1" t="str">
        <f t="shared" si="105"/>
        <v>89177328</v>
      </c>
      <c r="E1007" s="1" t="s">
        <v>24</v>
      </c>
      <c r="F1007" s="1" t="str">
        <f t="shared" si="106"/>
        <v>0010</v>
      </c>
      <c r="G1007" s="1" t="str">
        <f>""</f>
        <v/>
      </c>
      <c r="H1007" s="1" t="str">
        <f>"0018"</f>
        <v>0018</v>
      </c>
      <c r="I1007" s="1" t="s">
        <v>36</v>
      </c>
      <c r="J1007" s="1" t="str">
        <f>"01043977572"</f>
        <v>01043977572</v>
      </c>
      <c r="K1007" s="1" t="str">
        <f>"2017-04-05 13:45:05"</f>
        <v>2017-04-05 13:45:05</v>
      </c>
      <c r="L1007" s="1" t="str">
        <f t="shared" si="107"/>
        <v>-</v>
      </c>
      <c r="M1007" s="2">
        <v>0</v>
      </c>
      <c r="N1007" s="1" t="s">
        <v>33</v>
      </c>
      <c r="O1007" s="1" t="s">
        <v>34</v>
      </c>
      <c r="P1007" s="2">
        <v>1.1574074074074073E-5</v>
      </c>
      <c r="Q1007" s="1" t="str">
        <f>""</f>
        <v/>
      </c>
      <c r="R1007" s="1">
        <v>0</v>
      </c>
      <c r="S1007" s="1" t="str">
        <f>""</f>
        <v/>
      </c>
      <c r="T1007" s="1" t="s">
        <v>29</v>
      </c>
      <c r="U1007" s="1" t="s">
        <v>30</v>
      </c>
      <c r="V1007" s="1">
        <v>0</v>
      </c>
    </row>
    <row r="1008" spans="2:22" x14ac:dyDescent="0.15">
      <c r="B1008" s="1" t="str">
        <f>"010****7885"</f>
        <v>010****7885</v>
      </c>
      <c r="C1008" s="1" t="s">
        <v>23</v>
      </c>
      <c r="D1008" s="1" t="str">
        <f t="shared" si="105"/>
        <v>89177328</v>
      </c>
      <c r="E1008" s="1" t="s">
        <v>24</v>
      </c>
      <c r="F1008" s="1" t="str">
        <f t="shared" si="106"/>
        <v>0010</v>
      </c>
      <c r="G1008" s="1" t="str">
        <f>""</f>
        <v/>
      </c>
      <c r="H1008" s="1" t="str">
        <f>"0018"</f>
        <v>0018</v>
      </c>
      <c r="I1008" s="1" t="s">
        <v>36</v>
      </c>
      <c r="J1008" s="1" t="str">
        <f>"01043977572"</f>
        <v>01043977572</v>
      </c>
      <c r="K1008" s="1" t="str">
        <f>"2017-04-05 13:43:34"</f>
        <v>2017-04-05 13:43:34</v>
      </c>
      <c r="L1008" s="1" t="str">
        <f t="shared" si="107"/>
        <v>-</v>
      </c>
      <c r="M1008" s="2">
        <v>0</v>
      </c>
      <c r="N1008" s="1" t="s">
        <v>33</v>
      </c>
      <c r="O1008" s="1" t="s">
        <v>34</v>
      </c>
      <c r="P1008" s="2">
        <v>5.4398148148148144E-4</v>
      </c>
      <c r="Q1008" s="1" t="str">
        <f>""</f>
        <v/>
      </c>
      <c r="R1008" s="1">
        <v>0</v>
      </c>
      <c r="S1008" s="1" t="str">
        <f>""</f>
        <v/>
      </c>
      <c r="T1008" s="1" t="s">
        <v>29</v>
      </c>
      <c r="U1008" s="1" t="s">
        <v>30</v>
      </c>
      <c r="V1008" s="1">
        <v>0</v>
      </c>
    </row>
    <row r="1009" spans="2:22" x14ac:dyDescent="0.15">
      <c r="B1009" s="1" t="str">
        <f>"136****3966"</f>
        <v>136****3966</v>
      </c>
      <c r="C1009" s="1" t="s">
        <v>35</v>
      </c>
      <c r="D1009" s="1" t="str">
        <f t="shared" si="105"/>
        <v>89177328</v>
      </c>
      <c r="E1009" s="1" t="s">
        <v>24</v>
      </c>
      <c r="F1009" s="1" t="str">
        <f t="shared" si="106"/>
        <v>0010</v>
      </c>
      <c r="G1009" s="1" t="str">
        <f>""</f>
        <v/>
      </c>
      <c r="H1009" s="1" t="str">
        <f>"0018"</f>
        <v>0018</v>
      </c>
      <c r="I1009" s="1" t="s">
        <v>36</v>
      </c>
      <c r="J1009" s="1" t="str">
        <f>"01043977572"</f>
        <v>01043977572</v>
      </c>
      <c r="K1009" s="1" t="str">
        <f>"2017-04-05 13:25:29"</f>
        <v>2017-04-05 13:25:29</v>
      </c>
      <c r="L1009" s="1" t="str">
        <f t="shared" si="107"/>
        <v>-</v>
      </c>
      <c r="M1009" s="2">
        <v>0</v>
      </c>
      <c r="N1009" s="1" t="s">
        <v>33</v>
      </c>
      <c r="O1009" s="1" t="s">
        <v>34</v>
      </c>
      <c r="P1009" s="2">
        <v>7.7546296296296304E-4</v>
      </c>
      <c r="Q1009" s="1" t="str">
        <f>""</f>
        <v/>
      </c>
      <c r="R1009" s="1">
        <v>0</v>
      </c>
      <c r="S1009" s="1" t="str">
        <f>""</f>
        <v/>
      </c>
      <c r="T1009" s="1" t="s">
        <v>29</v>
      </c>
      <c r="U1009" s="1" t="s">
        <v>30</v>
      </c>
      <c r="V1009" s="1">
        <v>0</v>
      </c>
    </row>
    <row r="1010" spans="2:22" x14ac:dyDescent="0.15">
      <c r="B1010" s="1" t="str">
        <f>"010****9043"</f>
        <v>010****9043</v>
      </c>
      <c r="C1010" s="1" t="s">
        <v>23</v>
      </c>
      <c r="D1010" s="1" t="str">
        <f t="shared" si="105"/>
        <v>89177328</v>
      </c>
      <c r="E1010" s="1" t="s">
        <v>24</v>
      </c>
      <c r="F1010" s="1" t="str">
        <f t="shared" si="106"/>
        <v>0010</v>
      </c>
      <c r="G1010" s="1" t="str">
        <f>""</f>
        <v/>
      </c>
      <c r="H1010" s="1" t="str">
        <f>"0018"</f>
        <v>0018</v>
      </c>
      <c r="I1010" s="1" t="s">
        <v>36</v>
      </c>
      <c r="J1010" s="1" t="str">
        <f>"01043977572"</f>
        <v>01043977572</v>
      </c>
      <c r="K1010" s="1" t="str">
        <f>"2017-04-05 13:21:46"</f>
        <v>2017-04-05 13:21:46</v>
      </c>
      <c r="L1010" s="1" t="str">
        <f t="shared" si="107"/>
        <v>-</v>
      </c>
      <c r="M1010" s="2">
        <v>0</v>
      </c>
      <c r="N1010" s="1" t="s">
        <v>33</v>
      </c>
      <c r="O1010" s="1" t="s">
        <v>34</v>
      </c>
      <c r="P1010" s="2">
        <v>1.0648148148148147E-3</v>
      </c>
      <c r="Q1010" s="1" t="str">
        <f>""</f>
        <v/>
      </c>
      <c r="R1010" s="1">
        <v>0</v>
      </c>
      <c r="S1010" s="1" t="str">
        <f>""</f>
        <v/>
      </c>
      <c r="T1010" s="1" t="s">
        <v>29</v>
      </c>
      <c r="U1010" s="1" t="s">
        <v>30</v>
      </c>
      <c r="V1010" s="1">
        <v>0</v>
      </c>
    </row>
    <row r="1011" spans="2:22" x14ac:dyDescent="0.15">
      <c r="B1011" s="1" t="str">
        <f>"135****5976"</f>
        <v>135****5976</v>
      </c>
      <c r="C1011" s="1" t="s">
        <v>23</v>
      </c>
      <c r="D1011" s="1" t="str">
        <f t="shared" si="105"/>
        <v>89177328</v>
      </c>
      <c r="E1011" s="1" t="s">
        <v>24</v>
      </c>
      <c r="F1011" s="1" t="str">
        <f t="shared" si="106"/>
        <v>0010</v>
      </c>
      <c r="G1011" s="1" t="str">
        <f>""</f>
        <v/>
      </c>
      <c r="H1011" s="1" t="str">
        <f>"0018"</f>
        <v>0018</v>
      </c>
      <c r="I1011" s="1" t="s">
        <v>36</v>
      </c>
      <c r="J1011" s="1" t="str">
        <f>"01043977572"</f>
        <v>01043977572</v>
      </c>
      <c r="K1011" s="1" t="str">
        <f>"2017-04-05 12:56:57"</f>
        <v>2017-04-05 12:56:57</v>
      </c>
      <c r="L1011" s="1" t="str">
        <f t="shared" si="107"/>
        <v>-</v>
      </c>
      <c r="M1011" s="2">
        <v>0</v>
      </c>
      <c r="N1011" s="1" t="s">
        <v>33</v>
      </c>
      <c r="O1011" s="1" t="s">
        <v>34</v>
      </c>
      <c r="P1011" s="2">
        <v>1.8981481481481482E-3</v>
      </c>
      <c r="Q1011" s="1" t="str">
        <f>""</f>
        <v/>
      </c>
      <c r="R1011" s="1">
        <v>0</v>
      </c>
      <c r="S1011" s="1" t="str">
        <f>""</f>
        <v/>
      </c>
      <c r="T1011" s="1" t="s">
        <v>29</v>
      </c>
      <c r="U1011" s="1" t="s">
        <v>30</v>
      </c>
      <c r="V1011" s="1">
        <v>0</v>
      </c>
    </row>
    <row r="1012" spans="2:22" x14ac:dyDescent="0.15">
      <c r="B1012" s="1" t="str">
        <f>"156****3178"</f>
        <v>156****3178</v>
      </c>
      <c r="C1012" s="1" t="s">
        <v>23</v>
      </c>
      <c r="D1012" s="1" t="str">
        <f t="shared" si="105"/>
        <v>89177328</v>
      </c>
      <c r="E1012" s="1" t="s">
        <v>24</v>
      </c>
      <c r="F1012" s="1" t="str">
        <f t="shared" si="106"/>
        <v>0010</v>
      </c>
      <c r="G1012" s="1" t="str">
        <f>""</f>
        <v/>
      </c>
      <c r="H1012" s="1" t="str">
        <f>"0034"</f>
        <v>0034</v>
      </c>
      <c r="I1012" s="1" t="s">
        <v>31</v>
      </c>
      <c r="J1012" s="1" t="str">
        <f>"01043977568"</f>
        <v>01043977568</v>
      </c>
      <c r="K1012" s="1" t="str">
        <f>"2017-04-05 12:56:06"</f>
        <v>2017-04-05 12:56:06</v>
      </c>
      <c r="L1012" s="1" t="str">
        <f>"2017-04-05 12:56:17"</f>
        <v>2017-04-05 12:56:17</v>
      </c>
      <c r="M1012" s="2">
        <v>4.1319444444444442E-3</v>
      </c>
      <c r="N1012" s="1" t="s">
        <v>26</v>
      </c>
      <c r="O1012" s="1" t="s">
        <v>34</v>
      </c>
      <c r="P1012" s="2">
        <v>4.2592592592592595E-3</v>
      </c>
      <c r="Q1012" s="1" t="s">
        <v>852</v>
      </c>
      <c r="R1012" s="1">
        <v>0</v>
      </c>
      <c r="S1012" s="1" t="str">
        <f>""</f>
        <v/>
      </c>
      <c r="T1012" s="1" t="s">
        <v>29</v>
      </c>
      <c r="U1012" s="1" t="s">
        <v>30</v>
      </c>
      <c r="V1012" s="1">
        <v>0</v>
      </c>
    </row>
    <row r="1013" spans="2:22" x14ac:dyDescent="0.15">
      <c r="B1013" s="1" t="str">
        <f>"136****7317"</f>
        <v>136****7317</v>
      </c>
      <c r="C1013" s="1" t="s">
        <v>23</v>
      </c>
      <c r="D1013" s="1" t="str">
        <f t="shared" si="105"/>
        <v>89177328</v>
      </c>
      <c r="E1013" s="1" t="s">
        <v>24</v>
      </c>
      <c r="F1013" s="1" t="str">
        <f t="shared" si="106"/>
        <v>0010</v>
      </c>
      <c r="G1013" s="1" t="str">
        <f>""</f>
        <v/>
      </c>
      <c r="H1013" s="1" t="str">
        <f>"0033"</f>
        <v>0033</v>
      </c>
      <c r="I1013" s="1" t="s">
        <v>106</v>
      </c>
      <c r="J1013" s="1" t="str">
        <f>"01043977567"</f>
        <v>01043977567</v>
      </c>
      <c r="K1013" s="1" t="str">
        <f>"2017-04-05 12:07:53"</f>
        <v>2017-04-05 12:07:53</v>
      </c>
      <c r="L1013" s="1" t="str">
        <f>"2017-04-05 12:08:03"</f>
        <v>2017-04-05 12:08:03</v>
      </c>
      <c r="M1013" s="2">
        <v>3.9236111111111112E-3</v>
      </c>
      <c r="N1013" s="1" t="s">
        <v>26</v>
      </c>
      <c r="O1013" s="1" t="s">
        <v>27</v>
      </c>
      <c r="P1013" s="2">
        <v>4.0393518518518521E-3</v>
      </c>
      <c r="Q1013" s="1" t="s">
        <v>853</v>
      </c>
      <c r="R1013" s="1">
        <v>0</v>
      </c>
      <c r="S1013" s="1" t="str">
        <f>""</f>
        <v/>
      </c>
      <c r="T1013" s="1" t="s">
        <v>29</v>
      </c>
      <c r="U1013" s="1" t="s">
        <v>30</v>
      </c>
      <c r="V1013" s="1">
        <v>0</v>
      </c>
    </row>
    <row r="1014" spans="2:22" x14ac:dyDescent="0.15">
      <c r="B1014" s="1" t="str">
        <f>"159****5110"</f>
        <v>159****5110</v>
      </c>
      <c r="C1014" s="1" t="s">
        <v>51</v>
      </c>
      <c r="D1014" s="1" t="str">
        <f t="shared" si="105"/>
        <v>89177328</v>
      </c>
      <c r="E1014" s="1" t="s">
        <v>24</v>
      </c>
      <c r="F1014" s="1" t="str">
        <f t="shared" si="106"/>
        <v>0010</v>
      </c>
      <c r="G1014" s="1" t="str">
        <f>""</f>
        <v/>
      </c>
      <c r="H1014" s="1" t="str">
        <f>"0033"</f>
        <v>0033</v>
      </c>
      <c r="I1014" s="1" t="s">
        <v>106</v>
      </c>
      <c r="J1014" s="1" t="str">
        <f>"01043977567"</f>
        <v>01043977567</v>
      </c>
      <c r="K1014" s="1" t="str">
        <f>"2017-04-05 11:52:09"</f>
        <v>2017-04-05 11:52:09</v>
      </c>
      <c r="L1014" s="1" t="str">
        <f>"2017-04-05 11:52:18"</f>
        <v>2017-04-05 11:52:18</v>
      </c>
      <c r="M1014" s="2">
        <v>4.0509259259259258E-4</v>
      </c>
      <c r="N1014" s="1" t="s">
        <v>26</v>
      </c>
      <c r="O1014" s="1" t="s">
        <v>27</v>
      </c>
      <c r="P1014" s="2">
        <v>5.0925925925925921E-4</v>
      </c>
      <c r="Q1014" s="1" t="s">
        <v>854</v>
      </c>
      <c r="R1014" s="1">
        <v>0</v>
      </c>
      <c r="S1014" s="1" t="str">
        <f>""</f>
        <v/>
      </c>
      <c r="T1014" s="1" t="s">
        <v>29</v>
      </c>
      <c r="U1014" s="1" t="s">
        <v>30</v>
      </c>
      <c r="V1014" s="1">
        <v>0</v>
      </c>
    </row>
    <row r="1015" spans="2:22" x14ac:dyDescent="0.15">
      <c r="B1015" s="1" t="str">
        <f>"135****9091"</f>
        <v>135****9091</v>
      </c>
      <c r="C1015" s="1" t="s">
        <v>23</v>
      </c>
      <c r="D1015" s="1" t="str">
        <f t="shared" si="105"/>
        <v>89177328</v>
      </c>
      <c r="E1015" s="1" t="s">
        <v>24</v>
      </c>
      <c r="F1015" s="1" t="str">
        <f t="shared" si="106"/>
        <v>0010</v>
      </c>
      <c r="G1015" s="1" t="str">
        <f>""</f>
        <v/>
      </c>
      <c r="H1015" s="1" t="str">
        <f>"0034"</f>
        <v>0034</v>
      </c>
      <c r="I1015" s="1" t="s">
        <v>31</v>
      </c>
      <c r="J1015" s="1" t="str">
        <f>"01043977568"</f>
        <v>01043977568</v>
      </c>
      <c r="K1015" s="1" t="str">
        <f>"2017-04-05 11:47:46"</f>
        <v>2017-04-05 11:47:46</v>
      </c>
      <c r="L1015" s="1" t="str">
        <f>"2017-04-05 11:47:55"</f>
        <v>2017-04-05 11:47:55</v>
      </c>
      <c r="M1015" s="2">
        <v>2.3148148148148151E-3</v>
      </c>
      <c r="N1015" s="1" t="s">
        <v>26</v>
      </c>
      <c r="O1015" s="1" t="s">
        <v>27</v>
      </c>
      <c r="P1015" s="2">
        <v>2.4189814814814816E-3</v>
      </c>
      <c r="Q1015" s="1" t="s">
        <v>855</v>
      </c>
      <c r="R1015" s="1">
        <v>0</v>
      </c>
      <c r="S1015" s="1" t="str">
        <f>""</f>
        <v/>
      </c>
      <c r="T1015" s="1" t="s">
        <v>29</v>
      </c>
      <c r="U1015" s="1" t="s">
        <v>30</v>
      </c>
      <c r="V1015" s="1">
        <v>0</v>
      </c>
    </row>
    <row r="1016" spans="2:22" x14ac:dyDescent="0.15">
      <c r="B1016" s="1" t="str">
        <f>"188****1100"</f>
        <v>188****1100</v>
      </c>
      <c r="C1016" s="1" t="s">
        <v>23</v>
      </c>
      <c r="D1016" s="1" t="str">
        <f t="shared" si="105"/>
        <v>89177328</v>
      </c>
      <c r="E1016" s="1" t="s">
        <v>24</v>
      </c>
      <c r="F1016" s="1" t="str">
        <f t="shared" si="106"/>
        <v>0010</v>
      </c>
      <c r="G1016" s="1" t="str">
        <f>""</f>
        <v/>
      </c>
      <c r="H1016" s="1" t="str">
        <f>"0035"</f>
        <v>0035</v>
      </c>
      <c r="I1016" s="1" t="s">
        <v>25</v>
      </c>
      <c r="J1016" s="1" t="str">
        <f>"01043977569"</f>
        <v>01043977569</v>
      </c>
      <c r="K1016" s="1" t="str">
        <f>"2017-04-05 11:41:00"</f>
        <v>2017-04-05 11:41:00</v>
      </c>
      <c r="L1016" s="1" t="str">
        <f>"2017-04-05 11:41:12"</f>
        <v>2017-04-05 11:41:12</v>
      </c>
      <c r="M1016" s="2">
        <v>4.1666666666666669E-4</v>
      </c>
      <c r="N1016" s="1" t="s">
        <v>26</v>
      </c>
      <c r="O1016" s="1" t="s">
        <v>27</v>
      </c>
      <c r="P1016" s="2">
        <v>5.5555555555555556E-4</v>
      </c>
      <c r="Q1016" s="1" t="s">
        <v>856</v>
      </c>
      <c r="R1016" s="1">
        <v>0</v>
      </c>
      <c r="S1016" s="1" t="str">
        <f>""</f>
        <v/>
      </c>
      <c r="T1016" s="1" t="s">
        <v>29</v>
      </c>
      <c r="U1016" s="1" t="s">
        <v>30</v>
      </c>
      <c r="V1016" s="1">
        <v>0</v>
      </c>
    </row>
    <row r="1017" spans="2:22" x14ac:dyDescent="0.15">
      <c r="B1017" s="1" t="str">
        <f>"156****3090"</f>
        <v>156****3090</v>
      </c>
      <c r="C1017" s="1" t="s">
        <v>23</v>
      </c>
      <c r="D1017" s="1" t="str">
        <f t="shared" si="105"/>
        <v>89177328</v>
      </c>
      <c r="E1017" s="1" t="s">
        <v>24</v>
      </c>
      <c r="F1017" s="1" t="str">
        <f t="shared" si="106"/>
        <v>0010</v>
      </c>
      <c r="G1017" s="1" t="str">
        <f>""</f>
        <v/>
      </c>
      <c r="H1017" s="1" t="str">
        <f>"0017"</f>
        <v>0017</v>
      </c>
      <c r="I1017" s="1" t="s">
        <v>135</v>
      </c>
      <c r="J1017" s="1" t="str">
        <f>"01043989717"</f>
        <v>01043989717</v>
      </c>
      <c r="K1017" s="1" t="str">
        <f>"2017-04-05 11:40:45"</f>
        <v>2017-04-05 11:40:45</v>
      </c>
      <c r="L1017" s="1" t="str">
        <f>"2017-04-05 11:40:56"</f>
        <v>2017-04-05 11:40:56</v>
      </c>
      <c r="M1017" s="2">
        <v>1.005787037037037E-2</v>
      </c>
      <c r="N1017" s="1" t="s">
        <v>26</v>
      </c>
      <c r="O1017" s="1" t="s">
        <v>27</v>
      </c>
      <c r="P1017" s="2">
        <v>1.0185185185185184E-2</v>
      </c>
      <c r="Q1017" s="1" t="s">
        <v>857</v>
      </c>
      <c r="R1017" s="1">
        <v>0</v>
      </c>
      <c r="S1017" s="1" t="str">
        <f>""</f>
        <v/>
      </c>
      <c r="T1017" s="1" t="s">
        <v>29</v>
      </c>
      <c r="U1017" s="1" t="s">
        <v>30</v>
      </c>
      <c r="V1017" s="1">
        <v>0</v>
      </c>
    </row>
    <row r="1018" spans="2:22" x14ac:dyDescent="0.15">
      <c r="B1018" s="1" t="str">
        <f>"133****9597"</f>
        <v>133****9597</v>
      </c>
      <c r="C1018" s="1" t="s">
        <v>23</v>
      </c>
      <c r="D1018" s="1" t="str">
        <f t="shared" si="105"/>
        <v>89177328</v>
      </c>
      <c r="E1018" s="1" t="s">
        <v>24</v>
      </c>
      <c r="F1018" s="1" t="str">
        <f t="shared" si="106"/>
        <v>0010</v>
      </c>
      <c r="G1018" s="1" t="str">
        <f>""</f>
        <v/>
      </c>
      <c r="H1018" s="1" t="str">
        <f>"0017"</f>
        <v>0017</v>
      </c>
      <c r="I1018" s="1" t="s">
        <v>135</v>
      </c>
      <c r="J1018" s="1" t="str">
        <f>"01043989717"</f>
        <v>01043989717</v>
      </c>
      <c r="K1018" s="1" t="str">
        <f>"2017-04-05 11:32:32"</f>
        <v>2017-04-05 11:32:32</v>
      </c>
      <c r="L1018" s="1" t="str">
        <f t="shared" ref="L1018:L1023" si="108">"-"</f>
        <v>-</v>
      </c>
      <c r="M1018" s="2">
        <v>0</v>
      </c>
      <c r="N1018" s="1" t="s">
        <v>33</v>
      </c>
      <c r="O1018" s="1" t="s">
        <v>34</v>
      </c>
      <c r="P1018" s="2">
        <v>4.6296296296296294E-5</v>
      </c>
      <c r="Q1018" s="1" t="str">
        <f>""</f>
        <v/>
      </c>
      <c r="R1018" s="1">
        <v>0</v>
      </c>
      <c r="S1018" s="1" t="str">
        <f>""</f>
        <v/>
      </c>
      <c r="T1018" s="1" t="s">
        <v>29</v>
      </c>
      <c r="U1018" s="1" t="s">
        <v>30</v>
      </c>
      <c r="V1018" s="1">
        <v>0</v>
      </c>
    </row>
    <row r="1019" spans="2:22" x14ac:dyDescent="0.15">
      <c r="B1019" s="1" t="str">
        <f>"133****9597"</f>
        <v>133****9597</v>
      </c>
      <c r="C1019" s="1" t="s">
        <v>23</v>
      </c>
      <c r="D1019" s="1" t="str">
        <f t="shared" si="105"/>
        <v>89177328</v>
      </c>
      <c r="E1019" s="1" t="s">
        <v>24</v>
      </c>
      <c r="F1019" s="1" t="str">
        <f t="shared" si="106"/>
        <v>0010</v>
      </c>
      <c r="G1019" s="1" t="str">
        <f>""</f>
        <v/>
      </c>
      <c r="H1019" s="1" t="str">
        <f>"0017"</f>
        <v>0017</v>
      </c>
      <c r="I1019" s="1" t="s">
        <v>135</v>
      </c>
      <c r="J1019" s="1" t="str">
        <f>"01043989717"</f>
        <v>01043989717</v>
      </c>
      <c r="K1019" s="1" t="str">
        <f>"2017-04-05 11:28:08"</f>
        <v>2017-04-05 11:28:08</v>
      </c>
      <c r="L1019" s="1" t="str">
        <f t="shared" si="108"/>
        <v>-</v>
      </c>
      <c r="M1019" s="2">
        <v>0</v>
      </c>
      <c r="N1019" s="1" t="s">
        <v>33</v>
      </c>
      <c r="O1019" s="1" t="s">
        <v>34</v>
      </c>
      <c r="P1019" s="2">
        <v>5.7870370370370366E-5</v>
      </c>
      <c r="Q1019" s="1" t="str">
        <f>""</f>
        <v/>
      </c>
      <c r="R1019" s="1">
        <v>0</v>
      </c>
      <c r="S1019" s="1" t="str">
        <f>""</f>
        <v/>
      </c>
      <c r="T1019" s="1" t="s">
        <v>29</v>
      </c>
      <c r="U1019" s="1" t="s">
        <v>30</v>
      </c>
      <c r="V1019" s="1">
        <v>0</v>
      </c>
    </row>
    <row r="1020" spans="2:22" x14ac:dyDescent="0.15">
      <c r="B1020" s="1" t="str">
        <f>"136****0764"</f>
        <v>136****0764</v>
      </c>
      <c r="C1020" s="1" t="s">
        <v>23</v>
      </c>
      <c r="D1020" s="1" t="str">
        <f t="shared" si="105"/>
        <v>89177328</v>
      </c>
      <c r="E1020" s="1" t="s">
        <v>24</v>
      </c>
      <c r="F1020" s="1" t="str">
        <f t="shared" si="106"/>
        <v>0010</v>
      </c>
      <c r="G1020" s="1" t="str">
        <f>""</f>
        <v/>
      </c>
      <c r="H1020" s="1" t="str">
        <f>"0036"</f>
        <v>0036</v>
      </c>
      <c r="I1020" s="1" t="s">
        <v>143</v>
      </c>
      <c r="J1020" s="1" t="str">
        <f>"01043977573"</f>
        <v>01043977573</v>
      </c>
      <c r="K1020" s="1" t="str">
        <f>"2017-04-05 11:25:45"</f>
        <v>2017-04-05 11:25:45</v>
      </c>
      <c r="L1020" s="1" t="str">
        <f t="shared" si="108"/>
        <v>-</v>
      </c>
      <c r="M1020" s="2">
        <v>0</v>
      </c>
      <c r="N1020" s="1" t="s">
        <v>33</v>
      </c>
      <c r="O1020" s="1" t="s">
        <v>34</v>
      </c>
      <c r="P1020" s="2">
        <v>1.5046296296296297E-4</v>
      </c>
      <c r="Q1020" s="1" t="str">
        <f>""</f>
        <v/>
      </c>
      <c r="R1020" s="1">
        <v>0</v>
      </c>
      <c r="S1020" s="1" t="str">
        <f>""</f>
        <v/>
      </c>
      <c r="T1020" s="1" t="s">
        <v>29</v>
      </c>
      <c r="U1020" s="1" t="s">
        <v>30</v>
      </c>
      <c r="V1020" s="1">
        <v>0</v>
      </c>
    </row>
    <row r="1021" spans="2:22" x14ac:dyDescent="0.15">
      <c r="B1021" s="1" t="str">
        <f>"133****9597"</f>
        <v>133****9597</v>
      </c>
      <c r="C1021" s="1" t="s">
        <v>23</v>
      </c>
      <c r="D1021" s="1" t="str">
        <f t="shared" si="105"/>
        <v>89177328</v>
      </c>
      <c r="E1021" s="1" t="s">
        <v>24</v>
      </c>
      <c r="F1021" s="1" t="str">
        <f t="shared" si="106"/>
        <v>0010</v>
      </c>
      <c r="G1021" s="1" t="str">
        <f>""</f>
        <v/>
      </c>
      <c r="H1021" s="1" t="str">
        <f>"0034"</f>
        <v>0034</v>
      </c>
      <c r="I1021" s="1" t="s">
        <v>31</v>
      </c>
      <c r="J1021" s="1" t="str">
        <f>"01043977568"</f>
        <v>01043977568</v>
      </c>
      <c r="K1021" s="1" t="str">
        <f>"2017-04-05 11:24:33"</f>
        <v>2017-04-05 11:24:33</v>
      </c>
      <c r="L1021" s="1" t="str">
        <f t="shared" si="108"/>
        <v>-</v>
      </c>
      <c r="M1021" s="2">
        <v>0</v>
      </c>
      <c r="N1021" s="1" t="s">
        <v>33</v>
      </c>
      <c r="O1021" s="1" t="s">
        <v>34</v>
      </c>
      <c r="P1021" s="2">
        <v>4.6296296296296294E-5</v>
      </c>
      <c r="Q1021" s="1" t="str">
        <f>""</f>
        <v/>
      </c>
      <c r="R1021" s="1">
        <v>0</v>
      </c>
      <c r="S1021" s="1" t="str">
        <f>""</f>
        <v/>
      </c>
      <c r="T1021" s="1" t="s">
        <v>29</v>
      </c>
      <c r="U1021" s="1" t="s">
        <v>30</v>
      </c>
      <c r="V1021" s="1">
        <v>0</v>
      </c>
    </row>
    <row r="1022" spans="2:22" x14ac:dyDescent="0.15">
      <c r="B1022" s="1" t="str">
        <f>"158****0676"</f>
        <v>158****0676</v>
      </c>
      <c r="C1022" s="1" t="s">
        <v>127</v>
      </c>
      <c r="D1022" s="1" t="str">
        <f>"4000108333"</f>
        <v>4000108333</v>
      </c>
      <c r="E1022" s="1" t="s">
        <v>53</v>
      </c>
      <c r="F1022" s="1" t="str">
        <f>""</f>
        <v/>
      </c>
      <c r="G1022" s="1" t="str">
        <f>""</f>
        <v/>
      </c>
      <c r="H1022" s="1" t="str">
        <f>""</f>
        <v/>
      </c>
      <c r="I1022" s="1" t="str">
        <f>""</f>
        <v/>
      </c>
      <c r="J1022" s="1" t="str">
        <f>""</f>
        <v/>
      </c>
      <c r="K1022" s="1" t="str">
        <f>"2017-04-05 11:22:15"</f>
        <v>2017-04-05 11:22:15</v>
      </c>
      <c r="L1022" s="1" t="str">
        <f t="shared" si="108"/>
        <v>-</v>
      </c>
      <c r="M1022" s="2">
        <v>0</v>
      </c>
      <c r="N1022" s="1" t="s">
        <v>55</v>
      </c>
      <c r="O1022" s="1" t="s">
        <v>34</v>
      </c>
      <c r="P1022" s="2">
        <v>8.1018518518518516E-5</v>
      </c>
      <c r="Q1022" s="1" t="str">
        <f>""</f>
        <v/>
      </c>
      <c r="R1022" s="1">
        <v>0.12</v>
      </c>
      <c r="S1022" s="1" t="str">
        <f>""</f>
        <v/>
      </c>
      <c r="T1022" s="1" t="s">
        <v>29</v>
      </c>
      <c r="U1022" s="1" t="s">
        <v>30</v>
      </c>
      <c r="V1022" s="1">
        <v>0</v>
      </c>
    </row>
    <row r="1023" spans="2:22" x14ac:dyDescent="0.15">
      <c r="B1023" s="1" t="str">
        <f>"157****4678"</f>
        <v>157****4678</v>
      </c>
      <c r="C1023" s="1" t="s">
        <v>23</v>
      </c>
      <c r="D1023" s="1" t="str">
        <f t="shared" ref="D1023:D1032" si="109">"89177328"</f>
        <v>89177328</v>
      </c>
      <c r="E1023" s="1" t="s">
        <v>24</v>
      </c>
      <c r="F1023" s="1" t="str">
        <f t="shared" ref="F1023:F1032" si="110">"0010"</f>
        <v>0010</v>
      </c>
      <c r="G1023" s="1" t="str">
        <f>""</f>
        <v/>
      </c>
      <c r="H1023" s="1" t="str">
        <f>"0033"</f>
        <v>0033</v>
      </c>
      <c r="I1023" s="1" t="s">
        <v>106</v>
      </c>
      <c r="J1023" s="1" t="str">
        <f>"01043977567"</f>
        <v>01043977567</v>
      </c>
      <c r="K1023" s="1" t="str">
        <f>"2017-04-05 11:21:08"</f>
        <v>2017-04-05 11:21:08</v>
      </c>
      <c r="L1023" s="1" t="str">
        <f t="shared" si="108"/>
        <v>-</v>
      </c>
      <c r="M1023" s="2">
        <v>0</v>
      </c>
      <c r="N1023" s="1" t="s">
        <v>33</v>
      </c>
      <c r="O1023" s="1" t="s">
        <v>34</v>
      </c>
      <c r="P1023" s="2">
        <v>8.1018518518518516E-5</v>
      </c>
      <c r="Q1023" s="1" t="str">
        <f>""</f>
        <v/>
      </c>
      <c r="R1023" s="1">
        <v>0</v>
      </c>
      <c r="S1023" s="1" t="str">
        <f>""</f>
        <v/>
      </c>
      <c r="T1023" s="1" t="s">
        <v>29</v>
      </c>
      <c r="U1023" s="1" t="s">
        <v>30</v>
      </c>
      <c r="V1023" s="1">
        <v>0</v>
      </c>
    </row>
    <row r="1024" spans="2:22" x14ac:dyDescent="0.15">
      <c r="B1024" s="1" t="str">
        <f>"136****0764"</f>
        <v>136****0764</v>
      </c>
      <c r="C1024" s="1" t="s">
        <v>23</v>
      </c>
      <c r="D1024" s="1" t="str">
        <f t="shared" si="109"/>
        <v>89177328</v>
      </c>
      <c r="E1024" s="1" t="s">
        <v>24</v>
      </c>
      <c r="F1024" s="1" t="str">
        <f t="shared" si="110"/>
        <v>0010</v>
      </c>
      <c r="G1024" s="1" t="str">
        <f>""</f>
        <v/>
      </c>
      <c r="H1024" s="1" t="str">
        <f>"0033"</f>
        <v>0033</v>
      </c>
      <c r="I1024" s="1" t="s">
        <v>106</v>
      </c>
      <c r="J1024" s="1" t="str">
        <f>"01043977567"</f>
        <v>01043977567</v>
      </c>
      <c r="K1024" s="1" t="str">
        <f>"2017-04-05 11:20:03"</f>
        <v>2017-04-05 11:20:03</v>
      </c>
      <c r="L1024" s="1" t="str">
        <f>"2017-04-05 11:20:12"</f>
        <v>2017-04-05 11:20:12</v>
      </c>
      <c r="M1024" s="2">
        <v>2.3148148148148147E-5</v>
      </c>
      <c r="N1024" s="1" t="s">
        <v>26</v>
      </c>
      <c r="O1024" s="1" t="s">
        <v>34</v>
      </c>
      <c r="P1024" s="2">
        <v>1.273148148148148E-4</v>
      </c>
      <c r="Q1024" s="1" t="str">
        <f>""</f>
        <v/>
      </c>
      <c r="R1024" s="1">
        <v>0</v>
      </c>
      <c r="S1024" s="1" t="str">
        <f>""</f>
        <v/>
      </c>
      <c r="T1024" s="1" t="s">
        <v>29</v>
      </c>
      <c r="U1024" s="1" t="s">
        <v>30</v>
      </c>
      <c r="V1024" s="1">
        <v>0</v>
      </c>
    </row>
    <row r="1025" spans="2:22" x14ac:dyDescent="0.15">
      <c r="B1025" s="1" t="str">
        <f>"157****4678"</f>
        <v>157****4678</v>
      </c>
      <c r="C1025" s="1" t="s">
        <v>23</v>
      </c>
      <c r="D1025" s="1" t="str">
        <f t="shared" si="109"/>
        <v>89177328</v>
      </c>
      <c r="E1025" s="1" t="s">
        <v>24</v>
      </c>
      <c r="F1025" s="1" t="str">
        <f t="shared" si="110"/>
        <v>0010</v>
      </c>
      <c r="G1025" s="1" t="str">
        <f>""</f>
        <v/>
      </c>
      <c r="H1025" s="1" t="str">
        <f>"0031"</f>
        <v>0031</v>
      </c>
      <c r="I1025" s="1" t="s">
        <v>95</v>
      </c>
      <c r="J1025" s="1" t="str">
        <f>"01043977565"</f>
        <v>01043977565</v>
      </c>
      <c r="K1025" s="1" t="str">
        <f>"2017-04-05 11:17:30"</f>
        <v>2017-04-05 11:17:30</v>
      </c>
      <c r="L1025" s="1" t="str">
        <f>"-"</f>
        <v>-</v>
      </c>
      <c r="M1025" s="2">
        <v>0</v>
      </c>
      <c r="N1025" s="1" t="s">
        <v>33</v>
      </c>
      <c r="O1025" s="1" t="s">
        <v>34</v>
      </c>
      <c r="P1025" s="2">
        <v>5.7870370370370366E-5</v>
      </c>
      <c r="Q1025" s="1" t="str">
        <f>""</f>
        <v/>
      </c>
      <c r="R1025" s="1">
        <v>0</v>
      </c>
      <c r="S1025" s="1" t="str">
        <f>""</f>
        <v/>
      </c>
      <c r="T1025" s="1" t="s">
        <v>29</v>
      </c>
      <c r="U1025" s="1" t="s">
        <v>30</v>
      </c>
      <c r="V1025" s="1">
        <v>0</v>
      </c>
    </row>
    <row r="1026" spans="2:22" x14ac:dyDescent="0.15">
      <c r="B1026" s="1" t="str">
        <f>"136****0764"</f>
        <v>136****0764</v>
      </c>
      <c r="C1026" s="1" t="s">
        <v>23</v>
      </c>
      <c r="D1026" s="1" t="str">
        <f t="shared" si="109"/>
        <v>89177328</v>
      </c>
      <c r="E1026" s="1" t="s">
        <v>24</v>
      </c>
      <c r="F1026" s="1" t="str">
        <f t="shared" si="110"/>
        <v>0010</v>
      </c>
      <c r="G1026" s="1" t="str">
        <f>""</f>
        <v/>
      </c>
      <c r="H1026" s="1" t="str">
        <f>"0031"</f>
        <v>0031</v>
      </c>
      <c r="I1026" s="1" t="s">
        <v>95</v>
      </c>
      <c r="J1026" s="1" t="str">
        <f>"01043977565"</f>
        <v>01043977565</v>
      </c>
      <c r="K1026" s="1" t="str">
        <f>"2017-04-05 11:16:53"</f>
        <v>2017-04-05 11:16:53</v>
      </c>
      <c r="L1026" s="1" t="str">
        <f>"2017-04-05 11:17:02"</f>
        <v>2017-04-05 11:17:02</v>
      </c>
      <c r="M1026" s="2">
        <v>2.3148148148148147E-5</v>
      </c>
      <c r="N1026" s="1" t="s">
        <v>26</v>
      </c>
      <c r="O1026" s="1" t="s">
        <v>27</v>
      </c>
      <c r="P1026" s="2">
        <v>1.273148148148148E-4</v>
      </c>
      <c r="Q1026" s="1" t="str">
        <f>""</f>
        <v/>
      </c>
      <c r="R1026" s="1">
        <v>0</v>
      </c>
      <c r="S1026" s="1" t="str">
        <f>""</f>
        <v/>
      </c>
      <c r="T1026" s="1" t="s">
        <v>29</v>
      </c>
      <c r="U1026" s="1" t="s">
        <v>30</v>
      </c>
      <c r="V1026" s="1">
        <v>0</v>
      </c>
    </row>
    <row r="1027" spans="2:22" x14ac:dyDescent="0.15">
      <c r="B1027" s="1" t="str">
        <f>"157****4678"</f>
        <v>157****4678</v>
      </c>
      <c r="C1027" s="1" t="s">
        <v>23</v>
      </c>
      <c r="D1027" s="1" t="str">
        <f t="shared" si="109"/>
        <v>89177328</v>
      </c>
      <c r="E1027" s="1" t="s">
        <v>24</v>
      </c>
      <c r="F1027" s="1" t="str">
        <f t="shared" si="110"/>
        <v>0010</v>
      </c>
      <c r="G1027" s="1" t="str">
        <f>""</f>
        <v/>
      </c>
      <c r="H1027" s="1" t="str">
        <f>"0032"</f>
        <v>0032</v>
      </c>
      <c r="I1027" s="1" t="s">
        <v>119</v>
      </c>
      <c r="J1027" s="1" t="str">
        <f>"01043977566"</f>
        <v>01043977566</v>
      </c>
      <c r="K1027" s="1" t="str">
        <f>"2017-04-05 11:13:02"</f>
        <v>2017-04-05 11:13:02</v>
      </c>
      <c r="L1027" s="1" t="str">
        <f>"-"</f>
        <v>-</v>
      </c>
      <c r="M1027" s="2">
        <v>0</v>
      </c>
      <c r="N1027" s="1" t="s">
        <v>33</v>
      </c>
      <c r="O1027" s="1" t="s">
        <v>34</v>
      </c>
      <c r="P1027" s="2">
        <v>9.2592592592592588E-5</v>
      </c>
      <c r="Q1027" s="1" t="str">
        <f>""</f>
        <v/>
      </c>
      <c r="R1027" s="1">
        <v>0</v>
      </c>
      <c r="S1027" s="1" t="str">
        <f>""</f>
        <v/>
      </c>
      <c r="T1027" s="1" t="s">
        <v>29</v>
      </c>
      <c r="U1027" s="1" t="s">
        <v>30</v>
      </c>
      <c r="V1027" s="1">
        <v>0</v>
      </c>
    </row>
    <row r="1028" spans="2:22" x14ac:dyDescent="0.15">
      <c r="B1028" s="1" t="str">
        <f>"035****8588"</f>
        <v>035****8588</v>
      </c>
      <c r="C1028" s="1" t="s">
        <v>105</v>
      </c>
      <c r="D1028" s="1" t="str">
        <f t="shared" si="109"/>
        <v>89177328</v>
      </c>
      <c r="E1028" s="1" t="s">
        <v>24</v>
      </c>
      <c r="F1028" s="1" t="str">
        <f t="shared" si="110"/>
        <v>0010</v>
      </c>
      <c r="G1028" s="1" t="str">
        <f>""</f>
        <v/>
      </c>
      <c r="H1028" s="1" t="str">
        <f>"0036"</f>
        <v>0036</v>
      </c>
      <c r="I1028" s="1" t="s">
        <v>143</v>
      </c>
      <c r="J1028" s="1" t="str">
        <f>"01043977573"</f>
        <v>01043977573</v>
      </c>
      <c r="K1028" s="1" t="str">
        <f>"2017-04-05 11:08:12"</f>
        <v>2017-04-05 11:08:12</v>
      </c>
      <c r="L1028" s="1" t="str">
        <f>"2017-04-05 11:08:19"</f>
        <v>2017-04-05 11:08:19</v>
      </c>
      <c r="M1028" s="2">
        <v>5.6712962962962956E-4</v>
      </c>
      <c r="N1028" s="1" t="s">
        <v>26</v>
      </c>
      <c r="O1028" s="1" t="s">
        <v>27</v>
      </c>
      <c r="P1028" s="2">
        <v>6.4814814814814813E-4</v>
      </c>
      <c r="Q1028" s="1" t="s">
        <v>858</v>
      </c>
      <c r="R1028" s="1">
        <v>0</v>
      </c>
      <c r="S1028" s="1" t="str">
        <f>""</f>
        <v/>
      </c>
      <c r="T1028" s="1" t="s">
        <v>29</v>
      </c>
      <c r="U1028" s="1" t="s">
        <v>30</v>
      </c>
      <c r="V1028" s="1">
        <v>0</v>
      </c>
    </row>
    <row r="1029" spans="2:22" x14ac:dyDescent="0.15">
      <c r="B1029" s="1" t="str">
        <f>"010****8444"</f>
        <v>010****8444</v>
      </c>
      <c r="C1029" s="1" t="s">
        <v>23</v>
      </c>
      <c r="D1029" s="1" t="str">
        <f t="shared" si="109"/>
        <v>89177328</v>
      </c>
      <c r="E1029" s="1" t="s">
        <v>24</v>
      </c>
      <c r="F1029" s="1" t="str">
        <f t="shared" si="110"/>
        <v>0010</v>
      </c>
      <c r="G1029" s="1" t="str">
        <f>""</f>
        <v/>
      </c>
      <c r="H1029" s="1" t="str">
        <f>"0031"</f>
        <v>0031</v>
      </c>
      <c r="I1029" s="1" t="s">
        <v>95</v>
      </c>
      <c r="J1029" s="1" t="str">
        <f>"01043977565"</f>
        <v>01043977565</v>
      </c>
      <c r="K1029" s="1" t="str">
        <f>"2017-04-05 11:03:17"</f>
        <v>2017-04-05 11:03:17</v>
      </c>
      <c r="L1029" s="1" t="str">
        <f>"2017-04-05 11:03:25"</f>
        <v>2017-04-05 11:03:25</v>
      </c>
      <c r="M1029" s="2">
        <v>7.2800925925925915E-3</v>
      </c>
      <c r="N1029" s="1" t="s">
        <v>26</v>
      </c>
      <c r="O1029" s="1" t="s">
        <v>27</v>
      </c>
      <c r="P1029" s="2">
        <v>7.3726851851851861E-3</v>
      </c>
      <c r="Q1029" s="1" t="s">
        <v>859</v>
      </c>
      <c r="R1029" s="1">
        <v>0</v>
      </c>
      <c r="S1029" s="1" t="str">
        <f>""</f>
        <v/>
      </c>
      <c r="T1029" s="1" t="s">
        <v>29</v>
      </c>
      <c r="U1029" s="1" t="s">
        <v>30</v>
      </c>
      <c r="V1029" s="1">
        <v>0</v>
      </c>
    </row>
    <row r="1030" spans="2:22" x14ac:dyDescent="0.15">
      <c r="B1030" s="1" t="str">
        <f>"010****1154"</f>
        <v>010****1154</v>
      </c>
      <c r="C1030" s="1" t="s">
        <v>23</v>
      </c>
      <c r="D1030" s="1" t="str">
        <f t="shared" si="109"/>
        <v>89177328</v>
      </c>
      <c r="E1030" s="1" t="s">
        <v>24</v>
      </c>
      <c r="F1030" s="1" t="str">
        <f t="shared" si="110"/>
        <v>0010</v>
      </c>
      <c r="G1030" s="1" t="str">
        <f>""</f>
        <v/>
      </c>
      <c r="H1030" s="1" t="str">
        <f>"0032"</f>
        <v>0032</v>
      </c>
      <c r="I1030" s="1" t="s">
        <v>119</v>
      </c>
      <c r="J1030" s="1" t="str">
        <f>"01043977566"</f>
        <v>01043977566</v>
      </c>
      <c r="K1030" s="1" t="str">
        <f>"2017-04-05 11:02:29"</f>
        <v>2017-04-05 11:02:29</v>
      </c>
      <c r="L1030" s="1" t="str">
        <f>"2017-04-05 11:02:48"</f>
        <v>2017-04-05 11:02:48</v>
      </c>
      <c r="M1030" s="2">
        <v>1.0069444444444444E-3</v>
      </c>
      <c r="N1030" s="1" t="s">
        <v>26</v>
      </c>
      <c r="O1030" s="1" t="s">
        <v>34</v>
      </c>
      <c r="P1030" s="2">
        <v>1.2268518518518518E-3</v>
      </c>
      <c r="Q1030" s="1" t="s">
        <v>860</v>
      </c>
      <c r="R1030" s="1">
        <v>0</v>
      </c>
      <c r="S1030" s="1" t="str">
        <f>""</f>
        <v/>
      </c>
      <c r="T1030" s="1" t="s">
        <v>29</v>
      </c>
      <c r="U1030" s="1" t="s">
        <v>30</v>
      </c>
      <c r="V1030" s="1">
        <v>0</v>
      </c>
    </row>
    <row r="1031" spans="2:22" x14ac:dyDescent="0.15">
      <c r="B1031" s="1" t="str">
        <f>"177****0206"</f>
        <v>177****0206</v>
      </c>
      <c r="C1031" s="1" t="s">
        <v>23</v>
      </c>
      <c r="D1031" s="1" t="str">
        <f t="shared" si="109"/>
        <v>89177328</v>
      </c>
      <c r="E1031" s="1" t="s">
        <v>24</v>
      </c>
      <c r="F1031" s="1" t="str">
        <f t="shared" si="110"/>
        <v>0010</v>
      </c>
      <c r="G1031" s="1" t="str">
        <f>""</f>
        <v/>
      </c>
      <c r="H1031" s="1" t="str">
        <f>"0036"</f>
        <v>0036</v>
      </c>
      <c r="I1031" s="1" t="s">
        <v>143</v>
      </c>
      <c r="J1031" s="1" t="str">
        <f>"01043977573"</f>
        <v>01043977573</v>
      </c>
      <c r="K1031" s="1" t="str">
        <f>"2017-04-05 11:02:24"</f>
        <v>2017-04-05 11:02:24</v>
      </c>
      <c r="L1031" s="1" t="str">
        <f>"2017-04-05 11:02:32"</f>
        <v>2017-04-05 11:02:32</v>
      </c>
      <c r="M1031" s="2">
        <v>1.1921296296296296E-3</v>
      </c>
      <c r="N1031" s="1" t="s">
        <v>26</v>
      </c>
      <c r="O1031" s="1" t="s">
        <v>27</v>
      </c>
      <c r="P1031" s="2">
        <v>1.2847222222222223E-3</v>
      </c>
      <c r="Q1031" s="1" t="s">
        <v>861</v>
      </c>
      <c r="R1031" s="1">
        <v>0</v>
      </c>
      <c r="S1031" s="1" t="str">
        <f>""</f>
        <v/>
      </c>
      <c r="T1031" s="1" t="s">
        <v>29</v>
      </c>
      <c r="U1031" s="1" t="s">
        <v>30</v>
      </c>
      <c r="V1031" s="1">
        <v>0</v>
      </c>
    </row>
    <row r="1032" spans="2:22" x14ac:dyDescent="0.15">
      <c r="B1032" s="1" t="str">
        <f>"136****0646"</f>
        <v>136****0646</v>
      </c>
      <c r="C1032" s="1" t="s">
        <v>97</v>
      </c>
      <c r="D1032" s="1" t="str">
        <f t="shared" si="109"/>
        <v>89177328</v>
      </c>
      <c r="E1032" s="1" t="s">
        <v>24</v>
      </c>
      <c r="F1032" s="1" t="str">
        <f t="shared" si="110"/>
        <v>0010</v>
      </c>
      <c r="G1032" s="1" t="str">
        <f>""</f>
        <v/>
      </c>
      <c r="H1032" s="1" t="str">
        <f>"0034"</f>
        <v>0034</v>
      </c>
      <c r="I1032" s="1" t="s">
        <v>31</v>
      </c>
      <c r="J1032" s="1" t="str">
        <f>"01043977568"</f>
        <v>01043977568</v>
      </c>
      <c r="K1032" s="1" t="str">
        <f>"2017-04-05 11:02:16"</f>
        <v>2017-04-05 11:02:16</v>
      </c>
      <c r="L1032" s="1" t="str">
        <f>"2017-04-05 11:02:31"</f>
        <v>2017-04-05 11:02:31</v>
      </c>
      <c r="M1032" s="2">
        <v>1.1261574074074071E-2</v>
      </c>
      <c r="N1032" s="1" t="s">
        <v>26</v>
      </c>
      <c r="O1032" s="1" t="s">
        <v>27</v>
      </c>
      <c r="P1032" s="2">
        <v>1.1435185185185185E-2</v>
      </c>
      <c r="Q1032" s="1" t="s">
        <v>862</v>
      </c>
      <c r="R1032" s="1">
        <v>0</v>
      </c>
      <c r="S1032" s="1" t="str">
        <f>""</f>
        <v/>
      </c>
      <c r="T1032" s="1" t="s">
        <v>29</v>
      </c>
      <c r="U1032" s="1" t="s">
        <v>30</v>
      </c>
      <c r="V1032" s="1">
        <v>0</v>
      </c>
    </row>
    <row r="1033" spans="2:22" x14ac:dyDescent="0.15">
      <c r="B1033" s="1" t="str">
        <f>"189****7317"</f>
        <v>189****7317</v>
      </c>
      <c r="C1033" s="1" t="s">
        <v>703</v>
      </c>
      <c r="D1033" s="1" t="str">
        <f>"4000108333"</f>
        <v>4000108333</v>
      </c>
      <c r="E1033" s="1" t="s">
        <v>53</v>
      </c>
      <c r="F1033" s="1" t="str">
        <f>"0000"</f>
        <v>0000</v>
      </c>
      <c r="G1033" s="1" t="str">
        <f>""</f>
        <v/>
      </c>
      <c r="H1033" s="1" t="str">
        <f>"1010"</f>
        <v>1010</v>
      </c>
      <c r="I1033" s="1" t="s">
        <v>148</v>
      </c>
      <c r="J1033" s="1" t="str">
        <f>"13718091869"</f>
        <v>13718091869</v>
      </c>
      <c r="K1033" s="1" t="str">
        <f>"2017-04-05 10:58:16"</f>
        <v>2017-04-05 10:58:16</v>
      </c>
      <c r="L1033" s="1" t="str">
        <f>"2017-04-05 10:58:52"</f>
        <v>2017-04-05 10:58:52</v>
      </c>
      <c r="M1033" s="2">
        <v>1.2048611111111112E-2</v>
      </c>
      <c r="N1033" s="1" t="s">
        <v>26</v>
      </c>
      <c r="O1033" s="1" t="s">
        <v>34</v>
      </c>
      <c r="P1033" s="2">
        <v>1.2465277777777777E-2</v>
      </c>
      <c r="Q1033" s="1" t="s">
        <v>863</v>
      </c>
      <c r="R1033" s="1">
        <v>2.16</v>
      </c>
      <c r="S1033" s="1" t="str">
        <f>""</f>
        <v/>
      </c>
      <c r="T1033" s="1" t="s">
        <v>29</v>
      </c>
      <c r="U1033" s="1" t="s">
        <v>30</v>
      </c>
      <c r="V1033" s="1">
        <v>0</v>
      </c>
    </row>
    <row r="1034" spans="2:22" x14ac:dyDescent="0.15">
      <c r="B1034" s="1" t="str">
        <f>"188****7867"</f>
        <v>188****7867</v>
      </c>
      <c r="C1034" s="1" t="s">
        <v>23</v>
      </c>
      <c r="D1034" s="1" t="str">
        <f t="shared" ref="D1034:D1046" si="111">"89177328"</f>
        <v>89177328</v>
      </c>
      <c r="E1034" s="1" t="s">
        <v>24</v>
      </c>
      <c r="F1034" s="1" t="str">
        <f t="shared" ref="F1034:F1046" si="112">"0010"</f>
        <v>0010</v>
      </c>
      <c r="G1034" s="1" t="str">
        <f>""</f>
        <v/>
      </c>
      <c r="H1034" s="1" t="str">
        <f>"0034"</f>
        <v>0034</v>
      </c>
      <c r="I1034" s="1" t="s">
        <v>31</v>
      </c>
      <c r="J1034" s="1" t="str">
        <f>"01043977568"</f>
        <v>01043977568</v>
      </c>
      <c r="K1034" s="1" t="str">
        <f>"2017-04-05 10:53:04"</f>
        <v>2017-04-05 10:53:04</v>
      </c>
      <c r="L1034" s="1" t="str">
        <f>"-"</f>
        <v>-</v>
      </c>
      <c r="M1034" s="2">
        <v>0</v>
      </c>
      <c r="N1034" s="1" t="s">
        <v>33</v>
      </c>
      <c r="O1034" s="1" t="s">
        <v>34</v>
      </c>
      <c r="P1034" s="2">
        <v>5.7870370370370366E-5</v>
      </c>
      <c r="Q1034" s="1" t="str">
        <f>""</f>
        <v/>
      </c>
      <c r="R1034" s="1">
        <v>0</v>
      </c>
      <c r="S1034" s="1" t="str">
        <f>""</f>
        <v/>
      </c>
      <c r="T1034" s="1" t="s">
        <v>29</v>
      </c>
      <c r="U1034" s="1" t="s">
        <v>30</v>
      </c>
      <c r="V1034" s="1">
        <v>0</v>
      </c>
    </row>
    <row r="1035" spans="2:22" x14ac:dyDescent="0.15">
      <c r="B1035" s="1" t="str">
        <f>"0314114018310257138"</f>
        <v>0314114018310257138</v>
      </c>
      <c r="C1035" s="1" t="s">
        <v>137</v>
      </c>
      <c r="D1035" s="1" t="str">
        <f t="shared" si="111"/>
        <v>89177328</v>
      </c>
      <c r="E1035" s="1" t="s">
        <v>24</v>
      </c>
      <c r="F1035" s="1" t="str">
        <f t="shared" si="112"/>
        <v>0010</v>
      </c>
      <c r="G1035" s="1" t="str">
        <f>""</f>
        <v/>
      </c>
      <c r="H1035" s="1" t="str">
        <f>"0031"</f>
        <v>0031</v>
      </c>
      <c r="I1035" s="1" t="s">
        <v>95</v>
      </c>
      <c r="J1035" s="1" t="str">
        <f>"01043977565"</f>
        <v>01043977565</v>
      </c>
      <c r="K1035" s="1" t="str">
        <f>"2017-04-05 10:47:40"</f>
        <v>2017-04-05 10:47:40</v>
      </c>
      <c r="L1035" s="1" t="str">
        <f>"-"</f>
        <v>-</v>
      </c>
      <c r="M1035" s="2">
        <v>0</v>
      </c>
      <c r="N1035" s="1" t="s">
        <v>33</v>
      </c>
      <c r="O1035" s="1" t="s">
        <v>34</v>
      </c>
      <c r="P1035" s="2">
        <v>2.3148148148148147E-5</v>
      </c>
      <c r="Q1035" s="1" t="str">
        <f>""</f>
        <v/>
      </c>
      <c r="R1035" s="1">
        <v>0</v>
      </c>
      <c r="S1035" s="1" t="str">
        <f>""</f>
        <v/>
      </c>
      <c r="T1035" s="1" t="s">
        <v>29</v>
      </c>
      <c r="U1035" s="1" t="s">
        <v>30</v>
      </c>
      <c r="V1035" s="1">
        <v>0</v>
      </c>
    </row>
    <row r="1036" spans="2:22" x14ac:dyDescent="0.15">
      <c r="B1036" s="1" t="str">
        <f>"184****3188"</f>
        <v>184****3188</v>
      </c>
      <c r="C1036" s="1" t="s">
        <v>23</v>
      </c>
      <c r="D1036" s="1" t="str">
        <f t="shared" si="111"/>
        <v>89177328</v>
      </c>
      <c r="E1036" s="1" t="s">
        <v>24</v>
      </c>
      <c r="F1036" s="1" t="str">
        <f t="shared" si="112"/>
        <v>0010</v>
      </c>
      <c r="G1036" s="1" t="str">
        <f>""</f>
        <v/>
      </c>
      <c r="H1036" s="1" t="str">
        <f>"0035"</f>
        <v>0035</v>
      </c>
      <c r="I1036" s="1" t="s">
        <v>25</v>
      </c>
      <c r="J1036" s="1" t="str">
        <f>"01043977569"</f>
        <v>01043977569</v>
      </c>
      <c r="K1036" s="1" t="str">
        <f>"2017-04-05 10:43:53"</f>
        <v>2017-04-05 10:43:53</v>
      </c>
      <c r="L1036" s="1" t="str">
        <f>"2017-04-05 10:44:08"</f>
        <v>2017-04-05 10:44:08</v>
      </c>
      <c r="M1036" s="2">
        <v>2.9745370370370373E-3</v>
      </c>
      <c r="N1036" s="1" t="s">
        <v>26</v>
      </c>
      <c r="O1036" s="1" t="s">
        <v>27</v>
      </c>
      <c r="P1036" s="2">
        <v>3.1481481481481482E-3</v>
      </c>
      <c r="Q1036" s="1" t="s">
        <v>864</v>
      </c>
      <c r="R1036" s="1">
        <v>0</v>
      </c>
      <c r="S1036" s="1" t="str">
        <f>""</f>
        <v/>
      </c>
      <c r="T1036" s="1" t="s">
        <v>29</v>
      </c>
      <c r="U1036" s="1" t="s">
        <v>30</v>
      </c>
      <c r="V1036" s="1">
        <v>0</v>
      </c>
    </row>
    <row r="1037" spans="2:22" x14ac:dyDescent="0.15">
      <c r="B1037" s="1" t="str">
        <f>"188****7867"</f>
        <v>188****7867</v>
      </c>
      <c r="C1037" s="1" t="s">
        <v>23</v>
      </c>
      <c r="D1037" s="1" t="str">
        <f t="shared" si="111"/>
        <v>89177328</v>
      </c>
      <c r="E1037" s="1" t="s">
        <v>24</v>
      </c>
      <c r="F1037" s="1" t="str">
        <f t="shared" si="112"/>
        <v>0010</v>
      </c>
      <c r="G1037" s="1" t="str">
        <f>""</f>
        <v/>
      </c>
      <c r="H1037" s="1" t="str">
        <f>"0036"</f>
        <v>0036</v>
      </c>
      <c r="I1037" s="1" t="s">
        <v>143</v>
      </c>
      <c r="J1037" s="1" t="str">
        <f>"01043977573"</f>
        <v>01043977573</v>
      </c>
      <c r="K1037" s="1" t="str">
        <f>"2017-04-05 10:42:49"</f>
        <v>2017-04-05 10:42:49</v>
      </c>
      <c r="L1037" s="1" t="str">
        <f>"2017-04-05 10:42:53"</f>
        <v>2017-04-05 10:42:53</v>
      </c>
      <c r="M1037" s="2">
        <v>1.1574074074074073E-5</v>
      </c>
      <c r="N1037" s="1" t="s">
        <v>26</v>
      </c>
      <c r="O1037" s="1" t="s">
        <v>34</v>
      </c>
      <c r="P1037" s="2">
        <v>5.7870370370370366E-5</v>
      </c>
      <c r="Q1037" s="1" t="str">
        <f>""</f>
        <v/>
      </c>
      <c r="R1037" s="1">
        <v>0</v>
      </c>
      <c r="S1037" s="1" t="str">
        <f>""</f>
        <v/>
      </c>
      <c r="T1037" s="1" t="s">
        <v>29</v>
      </c>
      <c r="U1037" s="1" t="s">
        <v>30</v>
      </c>
      <c r="V1037" s="1">
        <v>0</v>
      </c>
    </row>
    <row r="1038" spans="2:22" x14ac:dyDescent="0.15">
      <c r="B1038" s="1" t="str">
        <f>"130****5656"</f>
        <v>130****5656</v>
      </c>
      <c r="C1038" s="1" t="s">
        <v>112</v>
      </c>
      <c r="D1038" s="1" t="str">
        <f t="shared" si="111"/>
        <v>89177328</v>
      </c>
      <c r="E1038" s="1" t="s">
        <v>24</v>
      </c>
      <c r="F1038" s="1" t="str">
        <f t="shared" si="112"/>
        <v>0010</v>
      </c>
      <c r="G1038" s="1" t="str">
        <f>""</f>
        <v/>
      </c>
      <c r="H1038" s="1" t="str">
        <f>"0036"</f>
        <v>0036</v>
      </c>
      <c r="I1038" s="1" t="s">
        <v>143</v>
      </c>
      <c r="J1038" s="1" t="str">
        <f>"01043977573"</f>
        <v>01043977573</v>
      </c>
      <c r="K1038" s="1" t="str">
        <f>"2017-04-05 10:42:27"</f>
        <v>2017-04-05 10:42:27</v>
      </c>
      <c r="L1038" s="1" t="str">
        <f>"-"</f>
        <v>-</v>
      </c>
      <c r="M1038" s="2">
        <v>0</v>
      </c>
      <c r="N1038" s="1" t="s">
        <v>33</v>
      </c>
      <c r="O1038" s="1" t="s">
        <v>34</v>
      </c>
      <c r="P1038" s="2">
        <v>3.4722222222222222E-5</v>
      </c>
      <c r="Q1038" s="1" t="str">
        <f>""</f>
        <v/>
      </c>
      <c r="R1038" s="1">
        <v>0</v>
      </c>
      <c r="S1038" s="1" t="str">
        <f>""</f>
        <v/>
      </c>
      <c r="T1038" s="1" t="s">
        <v>29</v>
      </c>
      <c r="U1038" s="1" t="s">
        <v>30</v>
      </c>
      <c r="V1038" s="1">
        <v>0</v>
      </c>
    </row>
    <row r="1039" spans="2:22" x14ac:dyDescent="0.15">
      <c r="B1039" s="1" t="str">
        <f>"130****5656"</f>
        <v>130****5656</v>
      </c>
      <c r="C1039" s="1" t="s">
        <v>112</v>
      </c>
      <c r="D1039" s="1" t="str">
        <f t="shared" si="111"/>
        <v>89177328</v>
      </c>
      <c r="E1039" s="1" t="s">
        <v>24</v>
      </c>
      <c r="F1039" s="1" t="str">
        <f t="shared" si="112"/>
        <v>0010</v>
      </c>
      <c r="G1039" s="1" t="str">
        <f>""</f>
        <v/>
      </c>
      <c r="H1039" s="1" t="str">
        <f>"0035"</f>
        <v>0035</v>
      </c>
      <c r="I1039" s="1" t="s">
        <v>25</v>
      </c>
      <c r="J1039" s="1" t="str">
        <f>"01043977569"</f>
        <v>01043977569</v>
      </c>
      <c r="K1039" s="1" t="str">
        <f>"2017-04-05 10:35:38"</f>
        <v>2017-04-05 10:35:38</v>
      </c>
      <c r="L1039" s="1" t="str">
        <f>"-"</f>
        <v>-</v>
      </c>
      <c r="M1039" s="2">
        <v>0</v>
      </c>
      <c r="N1039" s="1" t="s">
        <v>33</v>
      </c>
      <c r="O1039" s="1" t="s">
        <v>34</v>
      </c>
      <c r="P1039" s="2">
        <v>3.4722222222222222E-5</v>
      </c>
      <c r="Q1039" s="1" t="str">
        <f>""</f>
        <v/>
      </c>
      <c r="R1039" s="1">
        <v>0</v>
      </c>
      <c r="S1039" s="1" t="str">
        <f>""</f>
        <v/>
      </c>
      <c r="T1039" s="1" t="s">
        <v>29</v>
      </c>
      <c r="U1039" s="1" t="s">
        <v>30</v>
      </c>
      <c r="V1039" s="1">
        <v>0</v>
      </c>
    </row>
    <row r="1040" spans="2:22" x14ac:dyDescent="0.15">
      <c r="B1040" s="1" t="str">
        <f>"010****0492"</f>
        <v>010****0492</v>
      </c>
      <c r="C1040" s="1" t="s">
        <v>23</v>
      </c>
      <c r="D1040" s="1" t="str">
        <f t="shared" si="111"/>
        <v>89177328</v>
      </c>
      <c r="E1040" s="1" t="s">
        <v>24</v>
      </c>
      <c r="F1040" s="1" t="str">
        <f t="shared" si="112"/>
        <v>0010</v>
      </c>
      <c r="G1040" s="1" t="str">
        <f>""</f>
        <v/>
      </c>
      <c r="H1040" s="1" t="str">
        <f>"0032"</f>
        <v>0032</v>
      </c>
      <c r="I1040" s="1" t="s">
        <v>119</v>
      </c>
      <c r="J1040" s="1" t="str">
        <f>"01043977566"</f>
        <v>01043977566</v>
      </c>
      <c r="K1040" s="1" t="str">
        <f>"2017-04-05 10:34:08"</f>
        <v>2017-04-05 10:34:08</v>
      </c>
      <c r="L1040" s="1" t="str">
        <f>"2017-04-05 10:34:18"</f>
        <v>2017-04-05 10:34:18</v>
      </c>
      <c r="M1040" s="2">
        <v>3.4027777777777784E-3</v>
      </c>
      <c r="N1040" s="1" t="s">
        <v>26</v>
      </c>
      <c r="O1040" s="1" t="s">
        <v>34</v>
      </c>
      <c r="P1040" s="2">
        <v>3.5185185185185185E-3</v>
      </c>
      <c r="Q1040" s="1" t="s">
        <v>865</v>
      </c>
      <c r="R1040" s="1">
        <v>0</v>
      </c>
      <c r="S1040" s="1" t="str">
        <f>""</f>
        <v/>
      </c>
      <c r="T1040" s="1" t="s">
        <v>29</v>
      </c>
      <c r="U1040" s="1" t="s">
        <v>30</v>
      </c>
      <c r="V1040" s="1">
        <v>0</v>
      </c>
    </row>
    <row r="1041" spans="2:22" x14ac:dyDescent="0.15">
      <c r="B1041" s="1" t="str">
        <f>"186****0604"</f>
        <v>186****0604</v>
      </c>
      <c r="C1041" s="1" t="s">
        <v>23</v>
      </c>
      <c r="D1041" s="1" t="str">
        <f t="shared" si="111"/>
        <v>89177328</v>
      </c>
      <c r="E1041" s="1" t="s">
        <v>24</v>
      </c>
      <c r="F1041" s="1" t="str">
        <f t="shared" si="112"/>
        <v>0010</v>
      </c>
      <c r="G1041" s="1" t="str">
        <f>""</f>
        <v/>
      </c>
      <c r="H1041" s="1" t="str">
        <f>"0017"</f>
        <v>0017</v>
      </c>
      <c r="I1041" s="1" t="s">
        <v>135</v>
      </c>
      <c r="J1041" s="1" t="str">
        <f>"01043989717"</f>
        <v>01043989717</v>
      </c>
      <c r="K1041" s="1" t="str">
        <f>"2017-04-05 10:29:11"</f>
        <v>2017-04-05 10:29:11</v>
      </c>
      <c r="L1041" s="1" t="str">
        <f>"-"</f>
        <v>-</v>
      </c>
      <c r="M1041" s="2">
        <v>0</v>
      </c>
      <c r="N1041" s="1" t="s">
        <v>33</v>
      </c>
      <c r="O1041" s="1" t="s">
        <v>34</v>
      </c>
      <c r="P1041" s="2">
        <v>5.7870370370370366E-5</v>
      </c>
      <c r="Q1041" s="1" t="str">
        <f>""</f>
        <v/>
      </c>
      <c r="R1041" s="1">
        <v>0</v>
      </c>
      <c r="S1041" s="1" t="str">
        <f>""</f>
        <v/>
      </c>
      <c r="T1041" s="1" t="s">
        <v>29</v>
      </c>
      <c r="U1041" s="1" t="s">
        <v>30</v>
      </c>
      <c r="V1041" s="1">
        <v>0</v>
      </c>
    </row>
    <row r="1042" spans="2:22" x14ac:dyDescent="0.15">
      <c r="B1042" s="1" t="str">
        <f>"139****2532"</f>
        <v>139****2532</v>
      </c>
      <c r="C1042" s="1" t="s">
        <v>23</v>
      </c>
      <c r="D1042" s="1" t="str">
        <f t="shared" si="111"/>
        <v>89177328</v>
      </c>
      <c r="E1042" s="1" t="s">
        <v>24</v>
      </c>
      <c r="F1042" s="1" t="str">
        <f t="shared" si="112"/>
        <v>0010</v>
      </c>
      <c r="G1042" s="1" t="str">
        <f>""</f>
        <v/>
      </c>
      <c r="H1042" s="1" t="str">
        <f>"0031"</f>
        <v>0031</v>
      </c>
      <c r="I1042" s="1" t="s">
        <v>95</v>
      </c>
      <c r="J1042" s="1" t="str">
        <f>"01043977565"</f>
        <v>01043977565</v>
      </c>
      <c r="K1042" s="1" t="str">
        <f>"2017-04-05 10:29:09"</f>
        <v>2017-04-05 10:29:09</v>
      </c>
      <c r="L1042" s="1" t="str">
        <f>"2017-04-05 10:29:16"</f>
        <v>2017-04-05 10:29:16</v>
      </c>
      <c r="M1042" s="2">
        <v>1.1203703703703704E-2</v>
      </c>
      <c r="N1042" s="1" t="s">
        <v>26</v>
      </c>
      <c r="O1042" s="1" t="s">
        <v>27</v>
      </c>
      <c r="P1042" s="2">
        <v>1.1284722222222222E-2</v>
      </c>
      <c r="Q1042" s="1" t="s">
        <v>866</v>
      </c>
      <c r="R1042" s="1">
        <v>0</v>
      </c>
      <c r="S1042" s="1" t="str">
        <f>""</f>
        <v/>
      </c>
      <c r="T1042" s="1" t="s">
        <v>29</v>
      </c>
      <c r="U1042" s="1" t="s">
        <v>30</v>
      </c>
      <c r="V1042" s="1">
        <v>0</v>
      </c>
    </row>
    <row r="1043" spans="2:22" x14ac:dyDescent="0.15">
      <c r="B1043" s="1" t="str">
        <f>"185****6473"</f>
        <v>185****6473</v>
      </c>
      <c r="C1043" s="1" t="s">
        <v>23</v>
      </c>
      <c r="D1043" s="1" t="str">
        <f t="shared" si="111"/>
        <v>89177328</v>
      </c>
      <c r="E1043" s="1" t="s">
        <v>24</v>
      </c>
      <c r="F1043" s="1" t="str">
        <f t="shared" si="112"/>
        <v>0010</v>
      </c>
      <c r="G1043" s="1" t="str">
        <f>""</f>
        <v/>
      </c>
      <c r="H1043" s="1" t="str">
        <f>"0034"</f>
        <v>0034</v>
      </c>
      <c r="I1043" s="1" t="s">
        <v>31</v>
      </c>
      <c r="J1043" s="1" t="str">
        <f>"01043977568"</f>
        <v>01043977568</v>
      </c>
      <c r="K1043" s="1" t="str">
        <f>"2017-04-05 10:28:53"</f>
        <v>2017-04-05 10:28:53</v>
      </c>
      <c r="L1043" s="1" t="str">
        <f>"2017-04-05 10:29:02"</f>
        <v>2017-04-05 10:29:02</v>
      </c>
      <c r="M1043" s="2">
        <v>1.306712962962963E-2</v>
      </c>
      <c r="N1043" s="1" t="s">
        <v>26</v>
      </c>
      <c r="O1043" s="1" t="s">
        <v>27</v>
      </c>
      <c r="P1043" s="2">
        <v>1.3171296296296294E-2</v>
      </c>
      <c r="Q1043" s="1" t="s">
        <v>867</v>
      </c>
      <c r="R1043" s="1">
        <v>0</v>
      </c>
      <c r="S1043" s="1" t="str">
        <f>""</f>
        <v/>
      </c>
      <c r="T1043" s="1" t="s">
        <v>29</v>
      </c>
      <c r="U1043" s="1" t="s">
        <v>30</v>
      </c>
      <c r="V1043" s="1">
        <v>0</v>
      </c>
    </row>
    <row r="1044" spans="2:22" x14ac:dyDescent="0.15">
      <c r="B1044" s="1" t="str">
        <f>"158****0233"</f>
        <v>158****0233</v>
      </c>
      <c r="C1044" s="1" t="s">
        <v>23</v>
      </c>
      <c r="D1044" s="1" t="str">
        <f t="shared" si="111"/>
        <v>89177328</v>
      </c>
      <c r="E1044" s="1" t="s">
        <v>24</v>
      </c>
      <c r="F1044" s="1" t="str">
        <f t="shared" si="112"/>
        <v>0010</v>
      </c>
      <c r="G1044" s="1" t="str">
        <f>""</f>
        <v/>
      </c>
      <c r="H1044" s="1" t="str">
        <f>"0036"</f>
        <v>0036</v>
      </c>
      <c r="I1044" s="1" t="s">
        <v>143</v>
      </c>
      <c r="J1044" s="1" t="str">
        <f>"01043977573"</f>
        <v>01043977573</v>
      </c>
      <c r="K1044" s="1" t="str">
        <f>"2017-04-05 10:18:07"</f>
        <v>2017-04-05 10:18:07</v>
      </c>
      <c r="L1044" s="1" t="str">
        <f>"2017-04-05 10:18:42"</f>
        <v>2017-04-05 10:18:42</v>
      </c>
      <c r="M1044" s="2">
        <v>1.2499999999999999E-2</v>
      </c>
      <c r="N1044" s="1" t="s">
        <v>26</v>
      </c>
      <c r="O1044" s="1" t="s">
        <v>34</v>
      </c>
      <c r="P1044" s="2">
        <v>1.2905092592592591E-2</v>
      </c>
      <c r="Q1044" s="1" t="s">
        <v>868</v>
      </c>
      <c r="R1044" s="1">
        <v>0</v>
      </c>
      <c r="S1044" s="1" t="str">
        <f>""</f>
        <v/>
      </c>
      <c r="T1044" s="1" t="s">
        <v>29</v>
      </c>
      <c r="U1044" s="1" t="s">
        <v>30</v>
      </c>
      <c r="V1044" s="1">
        <v>0</v>
      </c>
    </row>
    <row r="1045" spans="2:22" x14ac:dyDescent="0.15">
      <c r="B1045" s="1" t="str">
        <f>"138****1790"</f>
        <v>138****1790</v>
      </c>
      <c r="C1045" s="1" t="s">
        <v>23</v>
      </c>
      <c r="D1045" s="1" t="str">
        <f t="shared" si="111"/>
        <v>89177328</v>
      </c>
      <c r="E1045" s="1" t="s">
        <v>24</v>
      </c>
      <c r="F1045" s="1" t="str">
        <f t="shared" si="112"/>
        <v>0010</v>
      </c>
      <c r="G1045" s="1" t="str">
        <f>""</f>
        <v/>
      </c>
      <c r="H1045" s="1" t="str">
        <f>"0034"</f>
        <v>0034</v>
      </c>
      <c r="I1045" s="1" t="s">
        <v>31</v>
      </c>
      <c r="J1045" s="1" t="str">
        <f>"01043977568"</f>
        <v>01043977568</v>
      </c>
      <c r="K1045" s="1" t="str">
        <f>"2017-04-05 10:10:04"</f>
        <v>2017-04-05 10:10:04</v>
      </c>
      <c r="L1045" s="1" t="str">
        <f>"2017-04-05 10:10:14"</f>
        <v>2017-04-05 10:10:14</v>
      </c>
      <c r="M1045" s="2">
        <v>8.2175925925925917E-4</v>
      </c>
      <c r="N1045" s="1" t="s">
        <v>26</v>
      </c>
      <c r="O1045" s="1" t="s">
        <v>27</v>
      </c>
      <c r="P1045" s="2">
        <v>9.3750000000000007E-4</v>
      </c>
      <c r="Q1045" s="1" t="s">
        <v>869</v>
      </c>
      <c r="R1045" s="1">
        <v>0</v>
      </c>
      <c r="S1045" s="1" t="str">
        <f>""</f>
        <v/>
      </c>
      <c r="T1045" s="1" t="s">
        <v>29</v>
      </c>
      <c r="U1045" s="1" t="s">
        <v>30</v>
      </c>
      <c r="V1045" s="1">
        <v>0</v>
      </c>
    </row>
    <row r="1046" spans="2:22" x14ac:dyDescent="0.15">
      <c r="B1046" s="1" t="str">
        <f>"151****1099"</f>
        <v>151****1099</v>
      </c>
      <c r="C1046" s="1" t="s">
        <v>97</v>
      </c>
      <c r="D1046" s="1" t="str">
        <f t="shared" si="111"/>
        <v>89177328</v>
      </c>
      <c r="E1046" s="1" t="s">
        <v>24</v>
      </c>
      <c r="F1046" s="1" t="str">
        <f t="shared" si="112"/>
        <v>0010</v>
      </c>
      <c r="G1046" s="1" t="str">
        <f>""</f>
        <v/>
      </c>
      <c r="H1046" s="1" t="str">
        <f>"0031"</f>
        <v>0031</v>
      </c>
      <c r="I1046" s="1" t="s">
        <v>95</v>
      </c>
      <c r="J1046" s="1" t="str">
        <f>"01043977565"</f>
        <v>01043977565</v>
      </c>
      <c r="K1046" s="1" t="str">
        <f>"2017-04-05 09:58:38"</f>
        <v>2017-04-05 09:58:38</v>
      </c>
      <c r="L1046" s="1" t="str">
        <f>"2017-04-05 09:58:44"</f>
        <v>2017-04-05 09:58:44</v>
      </c>
      <c r="M1046" s="2">
        <v>6.6782407407407415E-3</v>
      </c>
      <c r="N1046" s="1" t="s">
        <v>26</v>
      </c>
      <c r="O1046" s="1" t="s">
        <v>27</v>
      </c>
      <c r="P1046" s="2">
        <v>6.7476851851851856E-3</v>
      </c>
      <c r="Q1046" s="1" t="s">
        <v>870</v>
      </c>
      <c r="R1046" s="1">
        <v>0</v>
      </c>
      <c r="S1046" s="1" t="str">
        <f>""</f>
        <v/>
      </c>
      <c r="T1046" s="1" t="s">
        <v>29</v>
      </c>
      <c r="U1046" s="1" t="s">
        <v>30</v>
      </c>
      <c r="V1046" s="1">
        <v>0</v>
      </c>
    </row>
    <row r="1047" spans="2:22" x14ac:dyDescent="0.15">
      <c r="B1047" s="1" t="str">
        <f>"151****9328"</f>
        <v>151****9328</v>
      </c>
      <c r="C1047" s="1" t="s">
        <v>127</v>
      </c>
      <c r="D1047" s="1" t="str">
        <f>"4000108333"</f>
        <v>4000108333</v>
      </c>
      <c r="E1047" s="1" t="s">
        <v>53</v>
      </c>
      <c r="F1047" s="1" t="str">
        <f>""</f>
        <v/>
      </c>
      <c r="G1047" s="1" t="str">
        <f>""</f>
        <v/>
      </c>
      <c r="H1047" s="1" t="str">
        <f>""</f>
        <v/>
      </c>
      <c r="I1047" s="1" t="str">
        <f>""</f>
        <v/>
      </c>
      <c r="J1047" s="1" t="str">
        <f>""</f>
        <v/>
      </c>
      <c r="K1047" s="1" t="str">
        <f>"2017-04-05 09:57:34"</f>
        <v>2017-04-05 09:57:34</v>
      </c>
      <c r="L1047" s="1" t="str">
        <f>"-"</f>
        <v>-</v>
      </c>
      <c r="M1047" s="2">
        <v>0</v>
      </c>
      <c r="N1047" s="1" t="s">
        <v>55</v>
      </c>
      <c r="O1047" s="1" t="s">
        <v>34</v>
      </c>
      <c r="P1047" s="2">
        <v>1.273148148148148E-4</v>
      </c>
      <c r="Q1047" s="1" t="str">
        <f>""</f>
        <v/>
      </c>
      <c r="R1047" s="1">
        <v>0.12</v>
      </c>
      <c r="S1047" s="1" t="str">
        <f>""</f>
        <v/>
      </c>
      <c r="T1047" s="1" t="s">
        <v>29</v>
      </c>
      <c r="U1047" s="1" t="s">
        <v>30</v>
      </c>
      <c r="V1047" s="1">
        <v>0</v>
      </c>
    </row>
    <row r="1048" spans="2:22" x14ac:dyDescent="0.15">
      <c r="B1048" s="1" t="str">
        <f>"135****7189"</f>
        <v>135****7189</v>
      </c>
      <c r="C1048" s="1" t="s">
        <v>23</v>
      </c>
      <c r="D1048" s="1" t="str">
        <f t="shared" ref="D1048:D1110" si="113">"89177328"</f>
        <v>89177328</v>
      </c>
      <c r="E1048" s="1" t="s">
        <v>24</v>
      </c>
      <c r="F1048" s="1" t="str">
        <f t="shared" ref="F1048:F1068" si="114">"0010"</f>
        <v>0010</v>
      </c>
      <c r="G1048" s="1" t="str">
        <f>""</f>
        <v/>
      </c>
      <c r="H1048" s="1" t="str">
        <f>"0033"</f>
        <v>0033</v>
      </c>
      <c r="I1048" s="1" t="s">
        <v>106</v>
      </c>
      <c r="J1048" s="1" t="str">
        <f>"01043977567"</f>
        <v>01043977567</v>
      </c>
      <c r="K1048" s="1" t="str">
        <f>"2017-04-05 09:51:34"</f>
        <v>2017-04-05 09:51:34</v>
      </c>
      <c r="L1048" s="1" t="str">
        <f>"2017-04-05 09:51:42"</f>
        <v>2017-04-05 09:51:42</v>
      </c>
      <c r="M1048" s="2">
        <v>8.9004629629629625E-3</v>
      </c>
      <c r="N1048" s="1" t="s">
        <v>26</v>
      </c>
      <c r="O1048" s="1" t="s">
        <v>27</v>
      </c>
      <c r="P1048" s="2">
        <v>8.9930555555555545E-3</v>
      </c>
      <c r="Q1048" s="1" t="s">
        <v>871</v>
      </c>
      <c r="R1048" s="1">
        <v>0</v>
      </c>
      <c r="S1048" s="1" t="str">
        <f>""</f>
        <v/>
      </c>
      <c r="T1048" s="1" t="s">
        <v>29</v>
      </c>
      <c r="U1048" s="1" t="s">
        <v>30</v>
      </c>
      <c r="V1048" s="1">
        <v>0</v>
      </c>
    </row>
    <row r="1049" spans="2:22" x14ac:dyDescent="0.15">
      <c r="B1049" s="1" t="str">
        <f>"159****3207"</f>
        <v>159****3207</v>
      </c>
      <c r="C1049" s="1" t="s">
        <v>872</v>
      </c>
      <c r="D1049" s="1" t="str">
        <f t="shared" si="113"/>
        <v>89177328</v>
      </c>
      <c r="E1049" s="1" t="s">
        <v>24</v>
      </c>
      <c r="F1049" s="1" t="str">
        <f t="shared" si="114"/>
        <v>0010</v>
      </c>
      <c r="G1049" s="1" t="str">
        <f>""</f>
        <v/>
      </c>
      <c r="H1049" s="1" t="str">
        <f>"0036"</f>
        <v>0036</v>
      </c>
      <c r="I1049" s="1" t="s">
        <v>143</v>
      </c>
      <c r="J1049" s="1" t="str">
        <f>"01043977573"</f>
        <v>01043977573</v>
      </c>
      <c r="K1049" s="1" t="str">
        <f>"2017-04-05 09:48:08"</f>
        <v>2017-04-05 09:48:08</v>
      </c>
      <c r="L1049" s="1" t="str">
        <f>"2017-04-05 09:48:16"</f>
        <v>2017-04-05 09:48:16</v>
      </c>
      <c r="M1049" s="2">
        <v>1.6840277777777777E-2</v>
      </c>
      <c r="N1049" s="1" t="s">
        <v>26</v>
      </c>
      <c r="O1049" s="1" t="s">
        <v>34</v>
      </c>
      <c r="P1049" s="2">
        <v>1.6932870370370369E-2</v>
      </c>
      <c r="Q1049" s="1" t="s">
        <v>873</v>
      </c>
      <c r="R1049" s="1">
        <v>0</v>
      </c>
      <c r="S1049" s="1" t="str">
        <f>""</f>
        <v/>
      </c>
      <c r="T1049" s="1" t="s">
        <v>29</v>
      </c>
      <c r="U1049" s="1" t="s">
        <v>30</v>
      </c>
      <c r="V1049" s="1">
        <v>0</v>
      </c>
    </row>
    <row r="1050" spans="2:22" x14ac:dyDescent="0.15">
      <c r="B1050" s="1" t="str">
        <f>"186****7809"</f>
        <v>186****7809</v>
      </c>
      <c r="C1050" s="1" t="s">
        <v>23</v>
      </c>
      <c r="D1050" s="1" t="str">
        <f t="shared" si="113"/>
        <v>89177328</v>
      </c>
      <c r="E1050" s="1" t="s">
        <v>24</v>
      </c>
      <c r="F1050" s="1" t="str">
        <f t="shared" si="114"/>
        <v>0010</v>
      </c>
      <c r="G1050" s="1" t="str">
        <f>""</f>
        <v/>
      </c>
      <c r="H1050" s="1" t="str">
        <f>"0033"</f>
        <v>0033</v>
      </c>
      <c r="I1050" s="1" t="s">
        <v>106</v>
      </c>
      <c r="J1050" s="1" t="str">
        <f>"01043977567"</f>
        <v>01043977567</v>
      </c>
      <c r="K1050" s="1" t="str">
        <f>"2017-04-05 09:42:36"</f>
        <v>2017-04-05 09:42:36</v>
      </c>
      <c r="L1050" s="1" t="str">
        <f>"2017-04-05 09:42:45"</f>
        <v>2017-04-05 09:42:45</v>
      </c>
      <c r="M1050" s="2">
        <v>4.6759259259259263E-3</v>
      </c>
      <c r="N1050" s="1" t="s">
        <v>26</v>
      </c>
      <c r="O1050" s="1" t="s">
        <v>27</v>
      </c>
      <c r="P1050" s="2">
        <v>4.7800925925925919E-3</v>
      </c>
      <c r="Q1050" s="1" t="s">
        <v>874</v>
      </c>
      <c r="R1050" s="1">
        <v>0</v>
      </c>
      <c r="S1050" s="1" t="str">
        <f>""</f>
        <v/>
      </c>
      <c r="T1050" s="1" t="s">
        <v>29</v>
      </c>
      <c r="U1050" s="1" t="s">
        <v>30</v>
      </c>
      <c r="V1050" s="1">
        <v>0</v>
      </c>
    </row>
    <row r="1051" spans="2:22" x14ac:dyDescent="0.15">
      <c r="B1051" s="1" t="str">
        <f>"132****4082"</f>
        <v>132****4082</v>
      </c>
      <c r="C1051" s="1" t="s">
        <v>23</v>
      </c>
      <c r="D1051" s="1" t="str">
        <f t="shared" si="113"/>
        <v>89177328</v>
      </c>
      <c r="E1051" s="1" t="s">
        <v>24</v>
      </c>
      <c r="F1051" s="1" t="str">
        <f t="shared" si="114"/>
        <v>0010</v>
      </c>
      <c r="G1051" s="1" t="str">
        <f>""</f>
        <v/>
      </c>
      <c r="H1051" s="1" t="str">
        <f>"0036"</f>
        <v>0036</v>
      </c>
      <c r="I1051" s="1" t="s">
        <v>143</v>
      </c>
      <c r="J1051" s="1" t="str">
        <f>"01043977573"</f>
        <v>01043977573</v>
      </c>
      <c r="K1051" s="1" t="str">
        <f>"2017-04-05 09:32:39"</f>
        <v>2017-04-05 09:32:39</v>
      </c>
      <c r="L1051" s="1" t="str">
        <f>"2017-04-05 09:32:56"</f>
        <v>2017-04-05 09:32:56</v>
      </c>
      <c r="M1051" s="2">
        <v>1.7361111111111112E-4</v>
      </c>
      <c r="N1051" s="1" t="s">
        <v>26</v>
      </c>
      <c r="O1051" s="1" t="s">
        <v>34</v>
      </c>
      <c r="P1051" s="2">
        <v>3.7037037037037035E-4</v>
      </c>
      <c r="Q1051" s="1" t="s">
        <v>875</v>
      </c>
      <c r="R1051" s="1">
        <v>0</v>
      </c>
      <c r="S1051" s="1" t="str">
        <f>""</f>
        <v/>
      </c>
      <c r="T1051" s="1" t="s">
        <v>29</v>
      </c>
      <c r="U1051" s="1" t="s">
        <v>30</v>
      </c>
      <c r="V1051" s="1">
        <v>0</v>
      </c>
    </row>
    <row r="1052" spans="2:22" x14ac:dyDescent="0.15">
      <c r="B1052" s="1" t="str">
        <f>"010****0642"</f>
        <v>010****0642</v>
      </c>
      <c r="C1052" s="1" t="s">
        <v>23</v>
      </c>
      <c r="D1052" s="1" t="str">
        <f t="shared" si="113"/>
        <v>89177328</v>
      </c>
      <c r="E1052" s="1" t="s">
        <v>24</v>
      </c>
      <c r="F1052" s="1" t="str">
        <f t="shared" si="114"/>
        <v>0010</v>
      </c>
      <c r="G1052" s="1" t="str">
        <f>""</f>
        <v/>
      </c>
      <c r="H1052" s="1" t="str">
        <f>"0034"</f>
        <v>0034</v>
      </c>
      <c r="I1052" s="1" t="s">
        <v>31</v>
      </c>
      <c r="J1052" s="1" t="str">
        <f>"01043977568"</f>
        <v>01043977568</v>
      </c>
      <c r="K1052" s="1" t="str">
        <f>"2017-04-05 09:32:38"</f>
        <v>2017-04-05 09:32:38</v>
      </c>
      <c r="L1052" s="1" t="str">
        <f>"2017-04-05 09:33:14"</f>
        <v>2017-04-05 09:33:14</v>
      </c>
      <c r="M1052" s="2">
        <v>1.8171296296296297E-3</v>
      </c>
      <c r="N1052" s="1" t="s">
        <v>26</v>
      </c>
      <c r="O1052" s="1" t="s">
        <v>27</v>
      </c>
      <c r="P1052" s="2">
        <v>2.2337962962962967E-3</v>
      </c>
      <c r="Q1052" s="1" t="s">
        <v>876</v>
      </c>
      <c r="R1052" s="1">
        <v>0</v>
      </c>
      <c r="S1052" s="1" t="str">
        <f>""</f>
        <v/>
      </c>
      <c r="T1052" s="1" t="s">
        <v>29</v>
      </c>
      <c r="U1052" s="1" t="s">
        <v>30</v>
      </c>
      <c r="V1052" s="1">
        <v>0</v>
      </c>
    </row>
    <row r="1053" spans="2:22" x14ac:dyDescent="0.15">
      <c r="B1053" s="1" t="str">
        <f>"183****4696"</f>
        <v>183****4696</v>
      </c>
      <c r="C1053" s="1" t="s">
        <v>23</v>
      </c>
      <c r="D1053" s="1" t="str">
        <f t="shared" si="113"/>
        <v>89177328</v>
      </c>
      <c r="E1053" s="1" t="s">
        <v>24</v>
      </c>
      <c r="F1053" s="1" t="str">
        <f t="shared" si="114"/>
        <v>0010</v>
      </c>
      <c r="G1053" s="1" t="str">
        <f>""</f>
        <v/>
      </c>
      <c r="H1053" s="1" t="str">
        <f>"0010"</f>
        <v>0010</v>
      </c>
      <c r="I1053" s="1" t="s">
        <v>71</v>
      </c>
      <c r="J1053" s="1" t="str">
        <f>"01043977571"</f>
        <v>01043977571</v>
      </c>
      <c r="K1053" s="1" t="str">
        <f>"2017-04-05 09:31:36"</f>
        <v>2017-04-05 09:31:36</v>
      </c>
      <c r="L1053" s="1" t="str">
        <f>"2017-04-05 09:31:48"</f>
        <v>2017-04-05 09:31:48</v>
      </c>
      <c r="M1053" s="2">
        <v>2.8935185185185188E-3</v>
      </c>
      <c r="N1053" s="1" t="s">
        <v>26</v>
      </c>
      <c r="O1053" s="1" t="s">
        <v>34</v>
      </c>
      <c r="P1053" s="2">
        <v>3.0324074074074073E-3</v>
      </c>
      <c r="Q1053" s="1" t="s">
        <v>877</v>
      </c>
      <c r="R1053" s="1">
        <v>0</v>
      </c>
      <c r="S1053" s="1" t="str">
        <f>""</f>
        <v/>
      </c>
      <c r="T1053" s="1" t="s">
        <v>29</v>
      </c>
      <c r="U1053" s="1" t="s">
        <v>30</v>
      </c>
      <c r="V1053" s="1">
        <v>0</v>
      </c>
    </row>
    <row r="1054" spans="2:22" x14ac:dyDescent="0.15">
      <c r="B1054" s="1" t="str">
        <f>"132****4082"</f>
        <v>132****4082</v>
      </c>
      <c r="C1054" s="1" t="s">
        <v>23</v>
      </c>
      <c r="D1054" s="1" t="str">
        <f t="shared" si="113"/>
        <v>89177328</v>
      </c>
      <c r="E1054" s="1" t="s">
        <v>24</v>
      </c>
      <c r="F1054" s="1" t="str">
        <f t="shared" si="114"/>
        <v>0010</v>
      </c>
      <c r="G1054" s="1" t="str">
        <f>""</f>
        <v/>
      </c>
      <c r="H1054" s="1" t="str">
        <f>"0036"</f>
        <v>0036</v>
      </c>
      <c r="I1054" s="1" t="s">
        <v>143</v>
      </c>
      <c r="J1054" s="1" t="str">
        <f>"01043977573"</f>
        <v>01043977573</v>
      </c>
      <c r="K1054" s="1" t="str">
        <f>"2017-04-05 09:31:33"</f>
        <v>2017-04-05 09:31:33</v>
      </c>
      <c r="L1054" s="1" t="str">
        <f>"2017-04-05 09:32:06"</f>
        <v>2017-04-05 09:32:06</v>
      </c>
      <c r="M1054" s="2">
        <v>1.5046296296296297E-4</v>
      </c>
      <c r="N1054" s="1" t="s">
        <v>26</v>
      </c>
      <c r="O1054" s="1" t="s">
        <v>34</v>
      </c>
      <c r="P1054" s="2">
        <v>5.3240740740740744E-4</v>
      </c>
      <c r="Q1054" s="1" t="s">
        <v>878</v>
      </c>
      <c r="R1054" s="1">
        <v>0</v>
      </c>
      <c r="S1054" s="1" t="str">
        <f>""</f>
        <v/>
      </c>
      <c r="T1054" s="1" t="s">
        <v>29</v>
      </c>
      <c r="U1054" s="1" t="s">
        <v>30</v>
      </c>
      <c r="V1054" s="1">
        <v>0</v>
      </c>
    </row>
    <row r="1055" spans="2:22" x14ac:dyDescent="0.15">
      <c r="B1055" s="1" t="str">
        <f>"157****9500"</f>
        <v>157****9500</v>
      </c>
      <c r="C1055" s="1" t="s">
        <v>23</v>
      </c>
      <c r="D1055" s="1" t="str">
        <f t="shared" si="113"/>
        <v>89177328</v>
      </c>
      <c r="E1055" s="1" t="s">
        <v>24</v>
      </c>
      <c r="F1055" s="1" t="str">
        <f t="shared" si="114"/>
        <v>0010</v>
      </c>
      <c r="G1055" s="1" t="str">
        <f>""</f>
        <v/>
      </c>
      <c r="H1055" s="1" t="str">
        <f>"0033"</f>
        <v>0033</v>
      </c>
      <c r="I1055" s="1" t="s">
        <v>106</v>
      </c>
      <c r="J1055" s="1" t="str">
        <f>"01043977567"</f>
        <v>01043977567</v>
      </c>
      <c r="K1055" s="1" t="str">
        <f>"2017-04-05 09:17:18"</f>
        <v>2017-04-05 09:17:18</v>
      </c>
      <c r="L1055" s="1" t="str">
        <f>"2017-04-05 09:17:26"</f>
        <v>2017-04-05 09:17:26</v>
      </c>
      <c r="M1055" s="2">
        <v>6.018518518518519E-4</v>
      </c>
      <c r="N1055" s="1" t="s">
        <v>26</v>
      </c>
      <c r="O1055" s="1" t="s">
        <v>27</v>
      </c>
      <c r="P1055" s="2">
        <v>6.9444444444444447E-4</v>
      </c>
      <c r="Q1055" s="1" t="s">
        <v>879</v>
      </c>
      <c r="R1055" s="1">
        <v>0</v>
      </c>
      <c r="S1055" s="1" t="str">
        <f>""</f>
        <v/>
      </c>
      <c r="T1055" s="1" t="s">
        <v>29</v>
      </c>
      <c r="U1055" s="1" t="s">
        <v>30</v>
      </c>
      <c r="V1055" s="1">
        <v>0</v>
      </c>
    </row>
    <row r="1056" spans="2:22" x14ac:dyDescent="0.15">
      <c r="B1056" s="1" t="str">
        <f>"185****8879"</f>
        <v>185****8879</v>
      </c>
      <c r="C1056" s="1" t="s">
        <v>23</v>
      </c>
      <c r="D1056" s="1" t="str">
        <f t="shared" si="113"/>
        <v>89177328</v>
      </c>
      <c r="E1056" s="1" t="s">
        <v>24</v>
      </c>
      <c r="F1056" s="1" t="str">
        <f t="shared" si="114"/>
        <v>0010</v>
      </c>
      <c r="G1056" s="1" t="str">
        <f>""</f>
        <v/>
      </c>
      <c r="H1056" s="1" t="str">
        <f>"0034"</f>
        <v>0034</v>
      </c>
      <c r="I1056" s="1" t="s">
        <v>31</v>
      </c>
      <c r="J1056" s="1" t="str">
        <f>"01043977568"</f>
        <v>01043977568</v>
      </c>
      <c r="K1056" s="1" t="str">
        <f>"2017-04-05 09:17:03"</f>
        <v>2017-04-05 09:17:03</v>
      </c>
      <c r="L1056" s="1" t="str">
        <f>"2017-04-05 09:17:11"</f>
        <v>2017-04-05 09:17:11</v>
      </c>
      <c r="M1056" s="2">
        <v>7.5231481481481471E-4</v>
      </c>
      <c r="N1056" s="1" t="s">
        <v>26</v>
      </c>
      <c r="O1056" s="1" t="s">
        <v>27</v>
      </c>
      <c r="P1056" s="2">
        <v>8.449074074074075E-4</v>
      </c>
      <c r="Q1056" s="1" t="s">
        <v>880</v>
      </c>
      <c r="R1056" s="1">
        <v>0</v>
      </c>
      <c r="S1056" s="1" t="str">
        <f>""</f>
        <v/>
      </c>
      <c r="T1056" s="1" t="s">
        <v>29</v>
      </c>
      <c r="U1056" s="1" t="s">
        <v>30</v>
      </c>
      <c r="V1056" s="1">
        <v>0</v>
      </c>
    </row>
    <row r="1057" spans="2:22" x14ac:dyDescent="0.15">
      <c r="B1057" s="1" t="str">
        <f>"150****5812"</f>
        <v>150****5812</v>
      </c>
      <c r="C1057" s="1" t="s">
        <v>51</v>
      </c>
      <c r="D1057" s="1" t="str">
        <f t="shared" si="113"/>
        <v>89177328</v>
      </c>
      <c r="E1057" s="1" t="s">
        <v>24</v>
      </c>
      <c r="F1057" s="1" t="str">
        <f t="shared" si="114"/>
        <v>0010</v>
      </c>
      <c r="G1057" s="1" t="str">
        <f>""</f>
        <v/>
      </c>
      <c r="H1057" s="1" t="str">
        <f>"0034"</f>
        <v>0034</v>
      </c>
      <c r="I1057" s="1" t="s">
        <v>31</v>
      </c>
      <c r="J1057" s="1" t="str">
        <f>"01043977568"</f>
        <v>01043977568</v>
      </c>
      <c r="K1057" s="1" t="str">
        <f>"2017-04-05 09:12:40"</f>
        <v>2017-04-05 09:12:40</v>
      </c>
      <c r="L1057" s="1" t="str">
        <f>"2017-04-05 09:12:57"</f>
        <v>2017-04-05 09:12:57</v>
      </c>
      <c r="M1057" s="2">
        <v>2.3842592592592591E-3</v>
      </c>
      <c r="N1057" s="1" t="s">
        <v>26</v>
      </c>
      <c r="O1057" s="1" t="s">
        <v>27</v>
      </c>
      <c r="P1057" s="2">
        <v>2.5810185185185185E-3</v>
      </c>
      <c r="Q1057" s="1" t="s">
        <v>881</v>
      </c>
      <c r="R1057" s="1">
        <v>0</v>
      </c>
      <c r="S1057" s="1" t="str">
        <f>""</f>
        <v/>
      </c>
      <c r="T1057" s="1" t="s">
        <v>29</v>
      </c>
      <c r="U1057" s="1" t="s">
        <v>30</v>
      </c>
      <c r="V1057" s="1">
        <v>0</v>
      </c>
    </row>
    <row r="1058" spans="2:22" x14ac:dyDescent="0.15">
      <c r="B1058" s="1" t="str">
        <f>"156****5918"</f>
        <v>156****5918</v>
      </c>
      <c r="C1058" s="1" t="s">
        <v>113</v>
      </c>
      <c r="D1058" s="1" t="str">
        <f t="shared" si="113"/>
        <v>89177328</v>
      </c>
      <c r="E1058" s="1" t="s">
        <v>24</v>
      </c>
      <c r="F1058" s="1" t="str">
        <f t="shared" si="114"/>
        <v>0010</v>
      </c>
      <c r="G1058" s="1" t="str">
        <f>""</f>
        <v/>
      </c>
      <c r="H1058" s="1" t="str">
        <f>"0017"</f>
        <v>0017</v>
      </c>
      <c r="I1058" s="1" t="s">
        <v>135</v>
      </c>
      <c r="J1058" s="1" t="str">
        <f>"01043989717"</f>
        <v>01043989717</v>
      </c>
      <c r="K1058" s="1" t="str">
        <f>"2017-04-05 09:12:06"</f>
        <v>2017-04-05 09:12:06</v>
      </c>
      <c r="L1058" s="1" t="str">
        <f>"2017-04-05 09:12:13"</f>
        <v>2017-04-05 09:12:13</v>
      </c>
      <c r="M1058" s="2">
        <v>8.7962962962962962E-4</v>
      </c>
      <c r="N1058" s="1" t="s">
        <v>26</v>
      </c>
      <c r="O1058" s="1" t="s">
        <v>34</v>
      </c>
      <c r="P1058" s="2">
        <v>9.6064814814814808E-4</v>
      </c>
      <c r="Q1058" s="1" t="s">
        <v>882</v>
      </c>
      <c r="R1058" s="1">
        <v>0</v>
      </c>
      <c r="S1058" s="1" t="str">
        <f>""</f>
        <v/>
      </c>
      <c r="T1058" s="1" t="s">
        <v>29</v>
      </c>
      <c r="U1058" s="1" t="s">
        <v>30</v>
      </c>
      <c r="V1058" s="1">
        <v>0</v>
      </c>
    </row>
    <row r="1059" spans="2:22" x14ac:dyDescent="0.15">
      <c r="B1059" s="1" t="str">
        <f>"177****3939"</f>
        <v>177****3939</v>
      </c>
      <c r="C1059" s="1" t="s">
        <v>883</v>
      </c>
      <c r="D1059" s="1" t="str">
        <f t="shared" si="113"/>
        <v>89177328</v>
      </c>
      <c r="E1059" s="1" t="s">
        <v>24</v>
      </c>
      <c r="F1059" s="1" t="str">
        <f t="shared" si="114"/>
        <v>0010</v>
      </c>
      <c r="G1059" s="1" t="str">
        <f>""</f>
        <v/>
      </c>
      <c r="H1059" s="1" t="str">
        <f>"0031"</f>
        <v>0031</v>
      </c>
      <c r="I1059" s="1" t="s">
        <v>95</v>
      </c>
      <c r="J1059" s="1" t="str">
        <f>"01043977565"</f>
        <v>01043977565</v>
      </c>
      <c r="K1059" s="1" t="str">
        <f>"2017-04-05 09:11:24"</f>
        <v>2017-04-05 09:11:24</v>
      </c>
      <c r="L1059" s="1" t="str">
        <f>"2017-04-05 09:11:34"</f>
        <v>2017-04-05 09:11:34</v>
      </c>
      <c r="M1059" s="2">
        <v>7.4305555555555548E-3</v>
      </c>
      <c r="N1059" s="1" t="s">
        <v>26</v>
      </c>
      <c r="O1059" s="1" t="s">
        <v>34</v>
      </c>
      <c r="P1059" s="2">
        <v>7.5462962962962966E-3</v>
      </c>
      <c r="Q1059" s="1" t="s">
        <v>884</v>
      </c>
      <c r="R1059" s="1">
        <v>0</v>
      </c>
      <c r="S1059" s="1" t="str">
        <f>""</f>
        <v/>
      </c>
      <c r="T1059" s="1" t="s">
        <v>29</v>
      </c>
      <c r="U1059" s="1" t="s">
        <v>30</v>
      </c>
      <c r="V1059" s="1">
        <v>0</v>
      </c>
    </row>
    <row r="1060" spans="2:22" x14ac:dyDescent="0.15">
      <c r="B1060" s="1" t="str">
        <f>"189****7761"</f>
        <v>189****7761</v>
      </c>
      <c r="C1060" s="1" t="s">
        <v>23</v>
      </c>
      <c r="D1060" s="1" t="str">
        <f t="shared" si="113"/>
        <v>89177328</v>
      </c>
      <c r="E1060" s="1" t="s">
        <v>24</v>
      </c>
      <c r="F1060" s="1" t="str">
        <f t="shared" si="114"/>
        <v>0010</v>
      </c>
      <c r="G1060" s="1" t="str">
        <f>""</f>
        <v/>
      </c>
      <c r="H1060" s="1" t="str">
        <f>"0035"</f>
        <v>0035</v>
      </c>
      <c r="I1060" s="1" t="s">
        <v>25</v>
      </c>
      <c r="J1060" s="1" t="str">
        <f>"01043977569"</f>
        <v>01043977569</v>
      </c>
      <c r="K1060" s="1" t="str">
        <f>"2017-04-05 09:08:13"</f>
        <v>2017-04-05 09:08:13</v>
      </c>
      <c r="L1060" s="1" t="str">
        <f>"2017-04-05 09:08:23"</f>
        <v>2017-04-05 09:08:23</v>
      </c>
      <c r="M1060" s="2">
        <v>6.2499999999999995E-3</v>
      </c>
      <c r="N1060" s="1" t="s">
        <v>26</v>
      </c>
      <c r="O1060" s="1" t="s">
        <v>27</v>
      </c>
      <c r="P1060" s="2">
        <v>6.3657407407407404E-3</v>
      </c>
      <c r="Q1060" s="1" t="s">
        <v>885</v>
      </c>
      <c r="R1060" s="1">
        <v>0</v>
      </c>
      <c r="S1060" s="1" t="str">
        <f>""</f>
        <v/>
      </c>
      <c r="T1060" s="1" t="s">
        <v>29</v>
      </c>
      <c r="U1060" s="1" t="s">
        <v>30</v>
      </c>
      <c r="V1060" s="1">
        <v>0</v>
      </c>
    </row>
    <row r="1061" spans="2:22" x14ac:dyDescent="0.15">
      <c r="B1061" s="1" t="str">
        <f>"139****4842"</f>
        <v>139****4842</v>
      </c>
      <c r="C1061" s="1" t="s">
        <v>226</v>
      </c>
      <c r="D1061" s="1" t="str">
        <f t="shared" si="113"/>
        <v>89177328</v>
      </c>
      <c r="E1061" s="1" t="s">
        <v>24</v>
      </c>
      <c r="F1061" s="1" t="str">
        <f t="shared" si="114"/>
        <v>0010</v>
      </c>
      <c r="G1061" s="1" t="str">
        <f>""</f>
        <v/>
      </c>
      <c r="H1061" s="1" t="str">
        <f>"0017"</f>
        <v>0017</v>
      </c>
      <c r="I1061" s="1" t="s">
        <v>135</v>
      </c>
      <c r="J1061" s="1" t="str">
        <f>"01043989717"</f>
        <v>01043989717</v>
      </c>
      <c r="K1061" s="1" t="str">
        <f>"2017-04-05 09:08:12"</f>
        <v>2017-04-05 09:08:12</v>
      </c>
      <c r="L1061" s="1" t="str">
        <f>"2017-04-05 09:08:19"</f>
        <v>2017-04-05 09:08:19</v>
      </c>
      <c r="M1061" s="2">
        <v>7.175925925925927E-4</v>
      </c>
      <c r="N1061" s="1" t="s">
        <v>26</v>
      </c>
      <c r="O1061" s="1" t="s">
        <v>34</v>
      </c>
      <c r="P1061" s="2">
        <v>7.9861111111111105E-4</v>
      </c>
      <c r="Q1061" s="1" t="s">
        <v>886</v>
      </c>
      <c r="R1061" s="1">
        <v>0</v>
      </c>
      <c r="S1061" s="1" t="str">
        <f>""</f>
        <v/>
      </c>
      <c r="T1061" s="1" t="s">
        <v>29</v>
      </c>
      <c r="U1061" s="1" t="s">
        <v>30</v>
      </c>
      <c r="V1061" s="1">
        <v>0</v>
      </c>
    </row>
    <row r="1062" spans="2:22" x14ac:dyDescent="0.15">
      <c r="B1062" s="1" t="str">
        <f>"136****8651"</f>
        <v>136****8651</v>
      </c>
      <c r="C1062" s="1" t="s">
        <v>23</v>
      </c>
      <c r="D1062" s="1" t="str">
        <f t="shared" si="113"/>
        <v>89177328</v>
      </c>
      <c r="E1062" s="1" t="s">
        <v>24</v>
      </c>
      <c r="F1062" s="1" t="str">
        <f t="shared" si="114"/>
        <v>0010</v>
      </c>
      <c r="G1062" s="1" t="str">
        <f>""</f>
        <v/>
      </c>
      <c r="H1062" s="1" t="str">
        <f>"0036"</f>
        <v>0036</v>
      </c>
      <c r="I1062" s="1" t="s">
        <v>143</v>
      </c>
      <c r="J1062" s="1" t="str">
        <f>"01043977573"</f>
        <v>01043977573</v>
      </c>
      <c r="K1062" s="1" t="str">
        <f>"2017-04-05 09:02:55"</f>
        <v>2017-04-05 09:02:55</v>
      </c>
      <c r="L1062" s="1" t="str">
        <f>"2017-04-05 09:03:03"</f>
        <v>2017-04-05 09:03:03</v>
      </c>
      <c r="M1062" s="2">
        <v>9.9189814814814817E-3</v>
      </c>
      <c r="N1062" s="1" t="s">
        <v>26</v>
      </c>
      <c r="O1062" s="1" t="s">
        <v>34</v>
      </c>
      <c r="P1062" s="2">
        <v>1.0011574074074074E-2</v>
      </c>
      <c r="Q1062" s="1" t="s">
        <v>887</v>
      </c>
      <c r="R1062" s="1">
        <v>0</v>
      </c>
      <c r="S1062" s="1" t="str">
        <f>""</f>
        <v/>
      </c>
      <c r="T1062" s="1" t="s">
        <v>29</v>
      </c>
      <c r="U1062" s="1" t="s">
        <v>30</v>
      </c>
      <c r="V1062" s="1">
        <v>0</v>
      </c>
    </row>
    <row r="1063" spans="2:22" x14ac:dyDescent="0.15">
      <c r="B1063" s="1" t="str">
        <f>"133****7313"</f>
        <v>133****7313</v>
      </c>
      <c r="C1063" s="1" t="s">
        <v>23</v>
      </c>
      <c r="D1063" s="1" t="str">
        <f t="shared" si="113"/>
        <v>89177328</v>
      </c>
      <c r="E1063" s="1" t="s">
        <v>24</v>
      </c>
      <c r="F1063" s="1" t="str">
        <f t="shared" si="114"/>
        <v>0010</v>
      </c>
      <c r="G1063" s="1" t="str">
        <f>""</f>
        <v/>
      </c>
      <c r="H1063" s="1" t="str">
        <f>"0010"</f>
        <v>0010</v>
      </c>
      <c r="I1063" s="1" t="s">
        <v>71</v>
      </c>
      <c r="J1063" s="1" t="str">
        <f>"01043977571"</f>
        <v>01043977571</v>
      </c>
      <c r="K1063" s="1" t="str">
        <f>"2017-04-05 08:56:02"</f>
        <v>2017-04-05 08:56:02</v>
      </c>
      <c r="L1063" s="1" t="str">
        <f>"2017-04-05 08:56:12"</f>
        <v>2017-04-05 08:56:12</v>
      </c>
      <c r="M1063" s="2">
        <v>1.5196759259259259E-2</v>
      </c>
      <c r="N1063" s="1" t="s">
        <v>26</v>
      </c>
      <c r="O1063" s="1" t="s">
        <v>34</v>
      </c>
      <c r="P1063" s="2">
        <v>1.53125E-2</v>
      </c>
      <c r="Q1063" s="1" t="s">
        <v>888</v>
      </c>
      <c r="R1063" s="1">
        <v>0</v>
      </c>
      <c r="S1063" s="1" t="str">
        <f>""</f>
        <v/>
      </c>
      <c r="T1063" s="1" t="s">
        <v>29</v>
      </c>
      <c r="U1063" s="1" t="s">
        <v>30</v>
      </c>
      <c r="V1063" s="1">
        <v>0</v>
      </c>
    </row>
    <row r="1064" spans="2:22" x14ac:dyDescent="0.15">
      <c r="B1064" s="1" t="str">
        <f>"135****2116"</f>
        <v>135****2116</v>
      </c>
      <c r="C1064" s="1" t="s">
        <v>379</v>
      </c>
      <c r="D1064" s="1" t="str">
        <f t="shared" si="113"/>
        <v>89177328</v>
      </c>
      <c r="E1064" s="1" t="s">
        <v>24</v>
      </c>
      <c r="F1064" s="1" t="str">
        <f t="shared" si="114"/>
        <v>0010</v>
      </c>
      <c r="G1064" s="1" t="str">
        <f>""</f>
        <v/>
      </c>
      <c r="H1064" s="1" t="str">
        <f>"0010"</f>
        <v>0010</v>
      </c>
      <c r="I1064" s="1" t="s">
        <v>71</v>
      </c>
      <c r="J1064" s="1" t="str">
        <f>"01043977571"</f>
        <v>01043977571</v>
      </c>
      <c r="K1064" s="1" t="str">
        <f>"2017-04-05 08:49:33"</f>
        <v>2017-04-05 08:49:33</v>
      </c>
      <c r="L1064" s="1" t="str">
        <f>"2017-04-05 08:49:43"</f>
        <v>2017-04-05 08:49:43</v>
      </c>
      <c r="M1064" s="2">
        <v>6.7129629629629625E-4</v>
      </c>
      <c r="N1064" s="1" t="s">
        <v>26</v>
      </c>
      <c r="O1064" s="1" t="s">
        <v>34</v>
      </c>
      <c r="P1064" s="2">
        <v>7.8703703703703705E-4</v>
      </c>
      <c r="Q1064" s="1" t="s">
        <v>889</v>
      </c>
      <c r="R1064" s="1">
        <v>0</v>
      </c>
      <c r="S1064" s="1" t="str">
        <f>""</f>
        <v/>
      </c>
      <c r="T1064" s="1" t="s">
        <v>29</v>
      </c>
      <c r="U1064" s="1" t="s">
        <v>30</v>
      </c>
      <c r="V1064" s="1">
        <v>0</v>
      </c>
    </row>
    <row r="1065" spans="2:22" x14ac:dyDescent="0.15">
      <c r="B1065" s="1" t="str">
        <f>"159****8149"</f>
        <v>159****8149</v>
      </c>
      <c r="C1065" s="1" t="s">
        <v>831</v>
      </c>
      <c r="D1065" s="1" t="str">
        <f t="shared" si="113"/>
        <v>89177328</v>
      </c>
      <c r="E1065" s="1" t="s">
        <v>24</v>
      </c>
      <c r="F1065" s="1" t="str">
        <f t="shared" si="114"/>
        <v>0010</v>
      </c>
      <c r="G1065" s="1" t="str">
        <f>""</f>
        <v/>
      </c>
      <c r="H1065" s="1" t="str">
        <f>"0035"</f>
        <v>0035</v>
      </c>
      <c r="I1065" s="1" t="s">
        <v>25</v>
      </c>
      <c r="J1065" s="1" t="str">
        <f>"01043977569"</f>
        <v>01043977569</v>
      </c>
      <c r="K1065" s="1" t="str">
        <f>"2017-04-05 08:18:32"</f>
        <v>2017-04-05 08:18:32</v>
      </c>
      <c r="L1065" s="1" t="str">
        <f>"2017-04-05 08:18:42"</f>
        <v>2017-04-05 08:18:42</v>
      </c>
      <c r="M1065" s="2">
        <v>9.5833333333333343E-3</v>
      </c>
      <c r="N1065" s="1" t="s">
        <v>26</v>
      </c>
      <c r="O1065" s="1" t="s">
        <v>27</v>
      </c>
      <c r="P1065" s="2">
        <v>9.6990740740740735E-3</v>
      </c>
      <c r="Q1065" s="1" t="s">
        <v>890</v>
      </c>
      <c r="R1065" s="1">
        <v>0</v>
      </c>
      <c r="S1065" s="1" t="str">
        <f>""</f>
        <v/>
      </c>
      <c r="T1065" s="1" t="s">
        <v>29</v>
      </c>
      <c r="U1065" s="1" t="s">
        <v>30</v>
      </c>
      <c r="V1065" s="1">
        <v>0</v>
      </c>
    </row>
    <row r="1066" spans="2:22" x14ac:dyDescent="0.15">
      <c r="B1066" s="1" t="str">
        <f>"010****2291"</f>
        <v>010****2291</v>
      </c>
      <c r="C1066" s="1" t="s">
        <v>23</v>
      </c>
      <c r="D1066" s="1" t="str">
        <f t="shared" si="113"/>
        <v>89177328</v>
      </c>
      <c r="E1066" s="1" t="s">
        <v>24</v>
      </c>
      <c r="F1066" s="1" t="str">
        <f t="shared" si="114"/>
        <v>0010</v>
      </c>
      <c r="G1066" s="1" t="str">
        <f>""</f>
        <v/>
      </c>
      <c r="H1066" s="1" t="str">
        <f>"0010"</f>
        <v>0010</v>
      </c>
      <c r="I1066" s="1" t="s">
        <v>71</v>
      </c>
      <c r="J1066" s="1" t="str">
        <f>"01043977571"</f>
        <v>01043977571</v>
      </c>
      <c r="K1066" s="1" t="str">
        <f>"2017-04-05 08:08:17"</f>
        <v>2017-04-05 08:08:17</v>
      </c>
      <c r="L1066" s="1" t="str">
        <f>"2017-04-05 08:08:28"</f>
        <v>2017-04-05 08:08:28</v>
      </c>
      <c r="M1066" s="2">
        <v>8.2060185185185187E-3</v>
      </c>
      <c r="N1066" s="1" t="s">
        <v>26</v>
      </c>
      <c r="O1066" s="1" t="s">
        <v>34</v>
      </c>
      <c r="P1066" s="2">
        <v>8.3333333333333332E-3</v>
      </c>
      <c r="Q1066" s="1" t="s">
        <v>891</v>
      </c>
      <c r="R1066" s="1">
        <v>0</v>
      </c>
      <c r="S1066" s="1" t="str">
        <f>""</f>
        <v/>
      </c>
      <c r="T1066" s="1" t="s">
        <v>29</v>
      </c>
      <c r="U1066" s="1" t="s">
        <v>30</v>
      </c>
      <c r="V1066" s="1">
        <v>0</v>
      </c>
    </row>
    <row r="1067" spans="2:22" x14ac:dyDescent="0.15">
      <c r="B1067" s="1" t="str">
        <f>"186****3456"</f>
        <v>186****3456</v>
      </c>
      <c r="C1067" s="1" t="s">
        <v>23</v>
      </c>
      <c r="D1067" s="1" t="str">
        <f t="shared" si="113"/>
        <v>89177328</v>
      </c>
      <c r="E1067" s="1" t="s">
        <v>24</v>
      </c>
      <c r="F1067" s="1" t="str">
        <f t="shared" si="114"/>
        <v>0010</v>
      </c>
      <c r="G1067" s="1" t="str">
        <f>""</f>
        <v/>
      </c>
      <c r="H1067" s="1" t="str">
        <f>"0017"</f>
        <v>0017</v>
      </c>
      <c r="I1067" s="1" t="s">
        <v>135</v>
      </c>
      <c r="J1067" s="1" t="str">
        <f>"01043989717"</f>
        <v>01043989717</v>
      </c>
      <c r="K1067" s="1" t="str">
        <f>"2017-04-05 08:00:50"</f>
        <v>2017-04-05 08:00:50</v>
      </c>
      <c r="L1067" s="1" t="str">
        <f>"-"</f>
        <v>-</v>
      </c>
      <c r="M1067" s="2">
        <v>0</v>
      </c>
      <c r="N1067" s="1" t="s">
        <v>33</v>
      </c>
      <c r="O1067" s="1" t="s">
        <v>34</v>
      </c>
      <c r="P1067" s="2">
        <v>6.7129629629629625E-4</v>
      </c>
      <c r="Q1067" s="1" t="str">
        <f>""</f>
        <v/>
      </c>
      <c r="R1067" s="1">
        <v>0</v>
      </c>
      <c r="S1067" s="1" t="str">
        <f>""</f>
        <v/>
      </c>
      <c r="T1067" s="1" t="s">
        <v>29</v>
      </c>
      <c r="U1067" s="1" t="s">
        <v>30</v>
      </c>
      <c r="V1067" s="1">
        <v>0</v>
      </c>
    </row>
    <row r="1068" spans="2:22" x14ac:dyDescent="0.15">
      <c r="B1068" s="1" t="str">
        <f>"186****3456"</f>
        <v>186****3456</v>
      </c>
      <c r="C1068" s="1" t="s">
        <v>23</v>
      </c>
      <c r="D1068" s="1" t="str">
        <f t="shared" si="113"/>
        <v>89177328</v>
      </c>
      <c r="E1068" s="1" t="s">
        <v>24</v>
      </c>
      <c r="F1068" s="1" t="str">
        <f t="shared" si="114"/>
        <v>0010</v>
      </c>
      <c r="G1068" s="1" t="str">
        <f>""</f>
        <v/>
      </c>
      <c r="H1068" s="1" t="str">
        <f>"0010"</f>
        <v>0010</v>
      </c>
      <c r="I1068" s="1" t="s">
        <v>71</v>
      </c>
      <c r="J1068" s="1" t="str">
        <f>"01043977571"</f>
        <v>01043977571</v>
      </c>
      <c r="K1068" s="1" t="str">
        <f>"2017-04-05 08:00:29"</f>
        <v>2017-04-05 08:00:29</v>
      </c>
      <c r="L1068" s="1" t="str">
        <f>"-"</f>
        <v>-</v>
      </c>
      <c r="M1068" s="2">
        <v>0</v>
      </c>
      <c r="N1068" s="1" t="s">
        <v>33</v>
      </c>
      <c r="O1068" s="1" t="s">
        <v>34</v>
      </c>
      <c r="P1068" s="2">
        <v>1.273148148148148E-4</v>
      </c>
      <c r="Q1068" s="1" t="str">
        <f>""</f>
        <v/>
      </c>
      <c r="R1068" s="1">
        <v>0</v>
      </c>
      <c r="S1068" s="1" t="str">
        <f>""</f>
        <v/>
      </c>
      <c r="T1068" s="1" t="s">
        <v>29</v>
      </c>
      <c r="U1068" s="1" t="s">
        <v>30</v>
      </c>
      <c r="V1068" s="1">
        <v>0</v>
      </c>
    </row>
    <row r="1069" spans="2:22" x14ac:dyDescent="0.15">
      <c r="B1069" s="1" t="str">
        <f>"186****3456"</f>
        <v>186****3456</v>
      </c>
      <c r="C1069" s="1" t="s">
        <v>23</v>
      </c>
      <c r="D1069" s="1" t="str">
        <f t="shared" si="113"/>
        <v>89177328</v>
      </c>
      <c r="E1069" s="1" t="s">
        <v>181</v>
      </c>
      <c r="F1069" s="1" t="str">
        <f>""</f>
        <v/>
      </c>
      <c r="G1069" s="1" t="str">
        <f>""</f>
        <v/>
      </c>
      <c r="H1069" s="1" t="str">
        <f>""</f>
        <v/>
      </c>
      <c r="I1069" s="1" t="str">
        <f>""</f>
        <v/>
      </c>
      <c r="J1069" s="1" t="str">
        <f>""</f>
        <v/>
      </c>
      <c r="K1069" s="1" t="str">
        <f>"2017-04-05 07:57:39"</f>
        <v>2017-04-05 07:57:39</v>
      </c>
      <c r="L1069" s="1" t="str">
        <f>"2017-04-05 07:57:50"</f>
        <v>2017-04-05 07:57:50</v>
      </c>
      <c r="M1069" s="2">
        <v>0</v>
      </c>
      <c r="N1069" s="1" t="s">
        <v>55</v>
      </c>
      <c r="O1069" s="1" t="s">
        <v>27</v>
      </c>
      <c r="P1069" s="2">
        <v>1.9675925925925926E-4</v>
      </c>
      <c r="Q1069" s="1" t="str">
        <f>""</f>
        <v/>
      </c>
      <c r="R1069" s="1">
        <v>0</v>
      </c>
      <c r="S1069" s="1" t="str">
        <f>""</f>
        <v/>
      </c>
      <c r="T1069" s="1" t="s">
        <v>183</v>
      </c>
      <c r="U1069" s="1" t="s">
        <v>30</v>
      </c>
      <c r="V1069" s="1">
        <v>0</v>
      </c>
    </row>
    <row r="1070" spans="2:22" x14ac:dyDescent="0.15">
      <c r="B1070" s="1" t="str">
        <f>"133****7313"</f>
        <v>133****7313</v>
      </c>
      <c r="C1070" s="1" t="s">
        <v>23</v>
      </c>
      <c r="D1070" s="1" t="str">
        <f t="shared" si="113"/>
        <v>89177328</v>
      </c>
      <c r="E1070" s="1" t="s">
        <v>181</v>
      </c>
      <c r="F1070" s="1" t="str">
        <f>""</f>
        <v/>
      </c>
      <c r="G1070" s="1" t="str">
        <f>""</f>
        <v/>
      </c>
      <c r="H1070" s="1" t="str">
        <f>""</f>
        <v/>
      </c>
      <c r="I1070" s="1" t="str">
        <f>""</f>
        <v/>
      </c>
      <c r="J1070" s="1" t="str">
        <f>""</f>
        <v/>
      </c>
      <c r="K1070" s="1" t="str">
        <f>"2017-04-05 07:55:46"</f>
        <v>2017-04-05 07:55:46</v>
      </c>
      <c r="L1070" s="1" t="str">
        <f>"2017-04-05 07:55:57"</f>
        <v>2017-04-05 07:55:57</v>
      </c>
      <c r="M1070" s="2">
        <v>4.6296296296296294E-5</v>
      </c>
      <c r="N1070" s="1" t="s">
        <v>55</v>
      </c>
      <c r="O1070" s="1" t="s">
        <v>34</v>
      </c>
      <c r="P1070" s="2">
        <v>1.7361111111111112E-4</v>
      </c>
      <c r="Q1070" s="1" t="str">
        <f>""</f>
        <v/>
      </c>
      <c r="R1070" s="1">
        <v>0</v>
      </c>
      <c r="S1070" s="1" t="str">
        <f>""</f>
        <v/>
      </c>
      <c r="T1070" s="1" t="s">
        <v>183</v>
      </c>
      <c r="U1070" s="1" t="s">
        <v>30</v>
      </c>
      <c r="V1070" s="1">
        <v>0</v>
      </c>
    </row>
    <row r="1071" spans="2:22" x14ac:dyDescent="0.15">
      <c r="B1071" s="1" t="str">
        <f>"186****3456"</f>
        <v>186****3456</v>
      </c>
      <c r="C1071" s="1" t="s">
        <v>23</v>
      </c>
      <c r="D1071" s="1" t="str">
        <f t="shared" si="113"/>
        <v>89177328</v>
      </c>
      <c r="E1071" s="1" t="s">
        <v>181</v>
      </c>
      <c r="F1071" s="1" t="str">
        <f>""</f>
        <v/>
      </c>
      <c r="G1071" s="1" t="str">
        <f>""</f>
        <v/>
      </c>
      <c r="H1071" s="1" t="str">
        <f>""</f>
        <v/>
      </c>
      <c r="I1071" s="1" t="str">
        <f>""</f>
        <v/>
      </c>
      <c r="J1071" s="1" t="str">
        <f>""</f>
        <v/>
      </c>
      <c r="K1071" s="1" t="str">
        <f>"2017-04-05 07:50:14"</f>
        <v>2017-04-05 07:50:14</v>
      </c>
      <c r="L1071" s="1" t="str">
        <f>"2017-04-05 07:50:24"</f>
        <v>2017-04-05 07:50:24</v>
      </c>
      <c r="M1071" s="2">
        <v>6.9444444444444444E-5</v>
      </c>
      <c r="N1071" s="1" t="s">
        <v>55</v>
      </c>
      <c r="O1071" s="1" t="s">
        <v>34</v>
      </c>
      <c r="P1071" s="2">
        <v>1.8518518518518518E-4</v>
      </c>
      <c r="Q1071" s="1" t="s">
        <v>892</v>
      </c>
      <c r="R1071" s="1">
        <v>0</v>
      </c>
      <c r="S1071" s="1" t="str">
        <f>""</f>
        <v/>
      </c>
      <c r="T1071" s="1" t="s">
        <v>183</v>
      </c>
      <c r="U1071" s="1" t="s">
        <v>30</v>
      </c>
      <c r="V1071" s="1">
        <v>0</v>
      </c>
    </row>
    <row r="1072" spans="2:22" x14ac:dyDescent="0.15">
      <c r="B1072" s="1" t="str">
        <f>"137****1869"</f>
        <v>137****1869</v>
      </c>
      <c r="C1072" s="1" t="s">
        <v>23</v>
      </c>
      <c r="D1072" s="1" t="str">
        <f t="shared" si="113"/>
        <v>89177328</v>
      </c>
      <c r="E1072" s="1" t="s">
        <v>181</v>
      </c>
      <c r="F1072" s="1" t="str">
        <f>""</f>
        <v/>
      </c>
      <c r="G1072" s="1" t="str">
        <f>""</f>
        <v/>
      </c>
      <c r="H1072" s="1" t="str">
        <f>""</f>
        <v/>
      </c>
      <c r="I1072" s="1" t="str">
        <f>""</f>
        <v/>
      </c>
      <c r="J1072" s="1" t="str">
        <f>""</f>
        <v/>
      </c>
      <c r="K1072" s="1" t="str">
        <f>"2017-04-05 07:47:12"</f>
        <v>2017-04-05 07:47:12</v>
      </c>
      <c r="L1072" s="1" t="str">
        <f>"-"</f>
        <v>-</v>
      </c>
      <c r="M1072" s="2">
        <v>0</v>
      </c>
      <c r="N1072" s="1" t="s">
        <v>55</v>
      </c>
      <c r="O1072" s="1" t="s">
        <v>34</v>
      </c>
      <c r="P1072" s="2">
        <v>9.2592592592592588E-5</v>
      </c>
      <c r="Q1072" s="1" t="str">
        <f>""</f>
        <v/>
      </c>
      <c r="R1072" s="1">
        <v>0</v>
      </c>
      <c r="S1072" s="1" t="str">
        <f>""</f>
        <v/>
      </c>
      <c r="T1072" s="1" t="s">
        <v>183</v>
      </c>
      <c r="U1072" s="1" t="s">
        <v>30</v>
      </c>
      <c r="V1072" s="1">
        <v>0</v>
      </c>
    </row>
    <row r="1073" spans="2:22" x14ac:dyDescent="0.15">
      <c r="B1073" s="1" t="str">
        <f>"186****9004"</f>
        <v>186****9004</v>
      </c>
      <c r="C1073" s="1" t="s">
        <v>23</v>
      </c>
      <c r="D1073" s="1" t="str">
        <f t="shared" si="113"/>
        <v>89177328</v>
      </c>
      <c r="E1073" s="1" t="s">
        <v>24</v>
      </c>
      <c r="F1073" s="1" t="str">
        <f t="shared" ref="F1073:F1110" si="115">"0010"</f>
        <v>0010</v>
      </c>
      <c r="G1073" s="1" t="str">
        <f>""</f>
        <v/>
      </c>
      <c r="H1073" s="1" t="str">
        <f>"0034"</f>
        <v>0034</v>
      </c>
      <c r="I1073" s="1" t="s">
        <v>31</v>
      </c>
      <c r="J1073" s="1" t="str">
        <f>"01043977568"</f>
        <v>01043977568</v>
      </c>
      <c r="K1073" s="1" t="str">
        <f>"2017-04-04 20:32:19"</f>
        <v>2017-04-04 20:32:19</v>
      </c>
      <c r="L1073" s="1" t="str">
        <f>"2017-04-04 20:32:30"</f>
        <v>2017-04-04 20:32:30</v>
      </c>
      <c r="M1073" s="2">
        <v>5.6134259259259271E-3</v>
      </c>
      <c r="N1073" s="1" t="s">
        <v>26</v>
      </c>
      <c r="O1073" s="1" t="s">
        <v>27</v>
      </c>
      <c r="P1073" s="2">
        <v>5.7407407407407416E-3</v>
      </c>
      <c r="Q1073" s="1" t="s">
        <v>893</v>
      </c>
      <c r="R1073" s="1">
        <v>0</v>
      </c>
      <c r="S1073" s="1" t="str">
        <f>""</f>
        <v/>
      </c>
      <c r="T1073" s="1" t="s">
        <v>29</v>
      </c>
      <c r="U1073" s="1" t="s">
        <v>30</v>
      </c>
      <c r="V1073" s="1">
        <v>0</v>
      </c>
    </row>
    <row r="1074" spans="2:22" x14ac:dyDescent="0.15">
      <c r="B1074" s="1" t="str">
        <f>"137****7686"</f>
        <v>137****7686</v>
      </c>
      <c r="C1074" s="1" t="s">
        <v>23</v>
      </c>
      <c r="D1074" s="1" t="str">
        <f t="shared" si="113"/>
        <v>89177328</v>
      </c>
      <c r="E1074" s="1" t="s">
        <v>24</v>
      </c>
      <c r="F1074" s="1" t="str">
        <f t="shared" si="115"/>
        <v>0010</v>
      </c>
      <c r="G1074" s="1" t="str">
        <f>""</f>
        <v/>
      </c>
      <c r="H1074" s="1" t="str">
        <f>"0034"</f>
        <v>0034</v>
      </c>
      <c r="I1074" s="1" t="s">
        <v>31</v>
      </c>
      <c r="J1074" s="1" t="str">
        <f>"01043977568"</f>
        <v>01043977568</v>
      </c>
      <c r="K1074" s="1" t="str">
        <f>"2017-04-04 20:27:35"</f>
        <v>2017-04-04 20:27:35</v>
      </c>
      <c r="L1074" s="1" t="str">
        <f>"-"</f>
        <v>-</v>
      </c>
      <c r="M1074" s="2">
        <v>0</v>
      </c>
      <c r="N1074" s="1" t="s">
        <v>33</v>
      </c>
      <c r="O1074" s="1" t="s">
        <v>34</v>
      </c>
      <c r="P1074" s="2">
        <v>1.1574074074074073E-5</v>
      </c>
      <c r="Q1074" s="1" t="str">
        <f>""</f>
        <v/>
      </c>
      <c r="R1074" s="1">
        <v>0</v>
      </c>
      <c r="S1074" s="1" t="str">
        <f>""</f>
        <v/>
      </c>
      <c r="T1074" s="1" t="s">
        <v>29</v>
      </c>
      <c r="U1074" s="1" t="s">
        <v>30</v>
      </c>
      <c r="V1074" s="1">
        <v>0</v>
      </c>
    </row>
    <row r="1075" spans="2:22" x14ac:dyDescent="0.15">
      <c r="B1075" s="1" t="str">
        <f>"132****4082"</f>
        <v>132****4082</v>
      </c>
      <c r="C1075" s="1" t="s">
        <v>23</v>
      </c>
      <c r="D1075" s="1" t="str">
        <f t="shared" si="113"/>
        <v>89177328</v>
      </c>
      <c r="E1075" s="1" t="s">
        <v>24</v>
      </c>
      <c r="F1075" s="1" t="str">
        <f t="shared" si="115"/>
        <v>0010</v>
      </c>
      <c r="G1075" s="1" t="str">
        <f>""</f>
        <v/>
      </c>
      <c r="H1075" s="1" t="str">
        <f>"0012"</f>
        <v>0012</v>
      </c>
      <c r="I1075" s="1" t="s">
        <v>612</v>
      </c>
      <c r="J1075" s="1" t="str">
        <f>"01043989720"</f>
        <v>01043989720</v>
      </c>
      <c r="K1075" s="1" t="str">
        <f>"2017-04-04 20:22:49"</f>
        <v>2017-04-04 20:22:49</v>
      </c>
      <c r="L1075" s="1" t="str">
        <f>"-"</f>
        <v>-</v>
      </c>
      <c r="M1075" s="2">
        <v>0</v>
      </c>
      <c r="N1075" s="1" t="s">
        <v>33</v>
      </c>
      <c r="O1075" s="1" t="s">
        <v>34</v>
      </c>
      <c r="P1075" s="2">
        <v>6.9444444444444444E-5</v>
      </c>
      <c r="Q1075" s="1" t="str">
        <f>""</f>
        <v/>
      </c>
      <c r="R1075" s="1">
        <v>0</v>
      </c>
      <c r="S1075" s="1" t="str">
        <f>""</f>
        <v/>
      </c>
      <c r="T1075" s="1" t="s">
        <v>29</v>
      </c>
      <c r="U1075" s="1" t="s">
        <v>30</v>
      </c>
      <c r="V1075" s="1">
        <v>0</v>
      </c>
    </row>
    <row r="1076" spans="2:22" x14ac:dyDescent="0.15">
      <c r="B1076" s="1" t="str">
        <f>"132****4082"</f>
        <v>132****4082</v>
      </c>
      <c r="C1076" s="1" t="s">
        <v>23</v>
      </c>
      <c r="D1076" s="1" t="str">
        <f t="shared" si="113"/>
        <v>89177328</v>
      </c>
      <c r="E1076" s="1" t="s">
        <v>24</v>
      </c>
      <c r="F1076" s="1" t="str">
        <f t="shared" si="115"/>
        <v>0010</v>
      </c>
      <c r="G1076" s="1" t="str">
        <f>""</f>
        <v/>
      </c>
      <c r="H1076" s="1" t="str">
        <f>"0012"</f>
        <v>0012</v>
      </c>
      <c r="I1076" s="1" t="s">
        <v>612</v>
      </c>
      <c r="J1076" s="1" t="str">
        <f>"01043989720"</f>
        <v>01043989720</v>
      </c>
      <c r="K1076" s="1" t="str">
        <f>"2017-04-04 20:21:50"</f>
        <v>2017-04-04 20:21:50</v>
      </c>
      <c r="L1076" s="1" t="str">
        <f>"-"</f>
        <v>-</v>
      </c>
      <c r="M1076" s="2">
        <v>0</v>
      </c>
      <c r="N1076" s="1" t="s">
        <v>33</v>
      </c>
      <c r="O1076" s="1" t="s">
        <v>34</v>
      </c>
      <c r="P1076" s="2">
        <v>3.3564814814814812E-4</v>
      </c>
      <c r="Q1076" s="1" t="str">
        <f>""</f>
        <v/>
      </c>
      <c r="R1076" s="1">
        <v>0</v>
      </c>
      <c r="S1076" s="1" t="str">
        <f>""</f>
        <v/>
      </c>
      <c r="T1076" s="1" t="s">
        <v>29</v>
      </c>
      <c r="U1076" s="1" t="s">
        <v>30</v>
      </c>
      <c r="V1076" s="1">
        <v>0</v>
      </c>
    </row>
    <row r="1077" spans="2:22" x14ac:dyDescent="0.15">
      <c r="B1077" s="1" t="str">
        <f>"132****4082"</f>
        <v>132****4082</v>
      </c>
      <c r="C1077" s="1" t="s">
        <v>23</v>
      </c>
      <c r="D1077" s="1" t="str">
        <f t="shared" si="113"/>
        <v>89177328</v>
      </c>
      <c r="E1077" s="1" t="s">
        <v>24</v>
      </c>
      <c r="F1077" s="1" t="str">
        <f t="shared" si="115"/>
        <v>0010</v>
      </c>
      <c r="G1077" s="1" t="str">
        <f>""</f>
        <v/>
      </c>
      <c r="H1077" s="1" t="str">
        <f>"0012"</f>
        <v>0012</v>
      </c>
      <c r="I1077" s="1" t="s">
        <v>612</v>
      </c>
      <c r="J1077" s="1" t="str">
        <f>"01043989720"</f>
        <v>01043989720</v>
      </c>
      <c r="K1077" s="1" t="str">
        <f>"2017-04-04 20:15:39"</f>
        <v>2017-04-04 20:15:39</v>
      </c>
      <c r="L1077" s="1" t="str">
        <f>"-"</f>
        <v>-</v>
      </c>
      <c r="M1077" s="2">
        <v>0</v>
      </c>
      <c r="N1077" s="1" t="s">
        <v>33</v>
      </c>
      <c r="O1077" s="1" t="s">
        <v>34</v>
      </c>
      <c r="P1077" s="2">
        <v>1.9675925925925926E-4</v>
      </c>
      <c r="Q1077" s="1" t="str">
        <f>""</f>
        <v/>
      </c>
      <c r="R1077" s="1">
        <v>0</v>
      </c>
      <c r="S1077" s="1" t="str">
        <f>""</f>
        <v/>
      </c>
      <c r="T1077" s="1" t="s">
        <v>29</v>
      </c>
      <c r="U1077" s="1" t="s">
        <v>30</v>
      </c>
      <c r="V1077" s="1">
        <v>0</v>
      </c>
    </row>
    <row r="1078" spans="2:22" x14ac:dyDescent="0.15">
      <c r="B1078" s="1" t="str">
        <f>"182****3568"</f>
        <v>182****3568</v>
      </c>
      <c r="C1078" s="1" t="s">
        <v>23</v>
      </c>
      <c r="D1078" s="1" t="str">
        <f t="shared" si="113"/>
        <v>89177328</v>
      </c>
      <c r="E1078" s="1" t="s">
        <v>24</v>
      </c>
      <c r="F1078" s="1" t="str">
        <f t="shared" si="115"/>
        <v>0010</v>
      </c>
      <c r="G1078" s="1" t="str">
        <f>""</f>
        <v/>
      </c>
      <c r="H1078" s="1" t="str">
        <f>"0034"</f>
        <v>0034</v>
      </c>
      <c r="I1078" s="1" t="s">
        <v>31</v>
      </c>
      <c r="J1078" s="1" t="str">
        <f>"01043977568"</f>
        <v>01043977568</v>
      </c>
      <c r="K1078" s="1" t="str">
        <f>"2017-04-04 20:13:06"</f>
        <v>2017-04-04 20:13:06</v>
      </c>
      <c r="L1078" s="1" t="str">
        <f>"2017-04-04 20:13:18"</f>
        <v>2017-04-04 20:13:18</v>
      </c>
      <c r="M1078" s="2">
        <v>0</v>
      </c>
      <c r="N1078" s="1" t="s">
        <v>26</v>
      </c>
      <c r="O1078" s="1" t="s">
        <v>34</v>
      </c>
      <c r="P1078" s="2">
        <v>1.3888888888888889E-4</v>
      </c>
      <c r="Q1078" s="1" t="str">
        <f>""</f>
        <v/>
      </c>
      <c r="R1078" s="1">
        <v>0</v>
      </c>
      <c r="S1078" s="1" t="str">
        <f>""</f>
        <v/>
      </c>
      <c r="T1078" s="1" t="s">
        <v>29</v>
      </c>
      <c r="U1078" s="1" t="s">
        <v>30</v>
      </c>
      <c r="V1078" s="1">
        <v>0</v>
      </c>
    </row>
    <row r="1079" spans="2:22" x14ac:dyDescent="0.15">
      <c r="B1079" s="1" t="str">
        <f>"185****5186"</f>
        <v>185****5186</v>
      </c>
      <c r="C1079" s="1" t="s">
        <v>38</v>
      </c>
      <c r="D1079" s="1" t="str">
        <f t="shared" si="113"/>
        <v>89177328</v>
      </c>
      <c r="E1079" s="1" t="s">
        <v>24</v>
      </c>
      <c r="F1079" s="1" t="str">
        <f t="shared" si="115"/>
        <v>0010</v>
      </c>
      <c r="G1079" s="1" t="str">
        <f>""</f>
        <v/>
      </c>
      <c r="H1079" s="1" t="str">
        <f>"0034"</f>
        <v>0034</v>
      </c>
      <c r="I1079" s="1" t="s">
        <v>31</v>
      </c>
      <c r="J1079" s="1" t="str">
        <f>"01043977568"</f>
        <v>01043977568</v>
      </c>
      <c r="K1079" s="1" t="str">
        <f>"2017-04-04 20:04:34"</f>
        <v>2017-04-04 20:04:34</v>
      </c>
      <c r="L1079" s="1" t="str">
        <f>"2017-04-04 20:05:40"</f>
        <v>2017-04-04 20:05:40</v>
      </c>
      <c r="M1079" s="2">
        <v>3.0671296296296297E-3</v>
      </c>
      <c r="N1079" s="1" t="s">
        <v>26</v>
      </c>
      <c r="O1079" s="1" t="s">
        <v>27</v>
      </c>
      <c r="P1079" s="2">
        <v>3.8310185185185183E-3</v>
      </c>
      <c r="Q1079" s="1" t="s">
        <v>894</v>
      </c>
      <c r="R1079" s="1">
        <v>0</v>
      </c>
      <c r="S1079" s="1" t="str">
        <f>""</f>
        <v/>
      </c>
      <c r="T1079" s="1" t="s">
        <v>29</v>
      </c>
      <c r="U1079" s="1" t="s">
        <v>30</v>
      </c>
      <c r="V1079" s="1">
        <v>0</v>
      </c>
    </row>
    <row r="1080" spans="2:22" x14ac:dyDescent="0.15">
      <c r="B1080" s="1" t="str">
        <f>"139****5142"</f>
        <v>139****5142</v>
      </c>
      <c r="C1080" s="1" t="s">
        <v>97</v>
      </c>
      <c r="D1080" s="1" t="str">
        <f t="shared" si="113"/>
        <v>89177328</v>
      </c>
      <c r="E1080" s="1" t="s">
        <v>24</v>
      </c>
      <c r="F1080" s="1" t="str">
        <f t="shared" si="115"/>
        <v>0010</v>
      </c>
      <c r="G1080" s="1" t="str">
        <f>""</f>
        <v/>
      </c>
      <c r="H1080" s="1" t="str">
        <f>"0036"</f>
        <v>0036</v>
      </c>
      <c r="I1080" s="1" t="s">
        <v>143</v>
      </c>
      <c r="J1080" s="1" t="str">
        <f>"01043977573"</f>
        <v>01043977573</v>
      </c>
      <c r="K1080" s="1" t="str">
        <f>"2017-04-04 20:01:22"</f>
        <v>2017-04-04 20:01:22</v>
      </c>
      <c r="L1080" s="1" t="str">
        <f>"2017-04-04 20:01:33"</f>
        <v>2017-04-04 20:01:33</v>
      </c>
      <c r="M1080" s="2">
        <v>1.7233796296296296E-2</v>
      </c>
      <c r="N1080" s="1" t="s">
        <v>26</v>
      </c>
      <c r="O1080" s="1" t="s">
        <v>34</v>
      </c>
      <c r="P1080" s="2">
        <v>1.7361111111111112E-2</v>
      </c>
      <c r="Q1080" s="1" t="s">
        <v>895</v>
      </c>
      <c r="R1080" s="1">
        <v>0</v>
      </c>
      <c r="S1080" s="1" t="str">
        <f>""</f>
        <v/>
      </c>
      <c r="T1080" s="1" t="s">
        <v>29</v>
      </c>
      <c r="U1080" s="1" t="s">
        <v>30</v>
      </c>
      <c r="V1080" s="1">
        <v>0</v>
      </c>
    </row>
    <row r="1081" spans="2:22" x14ac:dyDescent="0.15">
      <c r="B1081" s="1" t="str">
        <f>"153****5372"</f>
        <v>153****5372</v>
      </c>
      <c r="C1081" s="1" t="s">
        <v>51</v>
      </c>
      <c r="D1081" s="1" t="str">
        <f t="shared" si="113"/>
        <v>89177328</v>
      </c>
      <c r="E1081" s="1" t="s">
        <v>24</v>
      </c>
      <c r="F1081" s="1" t="str">
        <f t="shared" si="115"/>
        <v>0010</v>
      </c>
      <c r="G1081" s="1" t="str">
        <f>""</f>
        <v/>
      </c>
      <c r="H1081" s="1" t="str">
        <f>"0034"</f>
        <v>0034</v>
      </c>
      <c r="I1081" s="1" t="s">
        <v>31</v>
      </c>
      <c r="J1081" s="1" t="str">
        <f>"01043977568"</f>
        <v>01043977568</v>
      </c>
      <c r="K1081" s="1" t="str">
        <f>"2017-04-04 19:47:31"</f>
        <v>2017-04-04 19:47:31</v>
      </c>
      <c r="L1081" s="1" t="str">
        <f>"2017-04-04 19:47:40"</f>
        <v>2017-04-04 19:47:40</v>
      </c>
      <c r="M1081" s="2">
        <v>1.2233796296296296E-2</v>
      </c>
      <c r="N1081" s="1" t="s">
        <v>26</v>
      </c>
      <c r="O1081" s="1" t="s">
        <v>27</v>
      </c>
      <c r="P1081" s="2">
        <v>1.2337962962962962E-2</v>
      </c>
      <c r="Q1081" s="1" t="s">
        <v>896</v>
      </c>
      <c r="R1081" s="1">
        <v>0</v>
      </c>
      <c r="S1081" s="1" t="str">
        <f>""</f>
        <v/>
      </c>
      <c r="T1081" s="1" t="s">
        <v>29</v>
      </c>
      <c r="U1081" s="1" t="s">
        <v>30</v>
      </c>
      <c r="V1081" s="1">
        <v>0</v>
      </c>
    </row>
    <row r="1082" spans="2:22" x14ac:dyDescent="0.15">
      <c r="B1082" s="1" t="str">
        <f>"159****9328"</f>
        <v>159****9328</v>
      </c>
      <c r="C1082" s="1" t="s">
        <v>99</v>
      </c>
      <c r="D1082" s="1" t="str">
        <f t="shared" si="113"/>
        <v>89177328</v>
      </c>
      <c r="E1082" s="1" t="s">
        <v>24</v>
      </c>
      <c r="F1082" s="1" t="str">
        <f t="shared" si="115"/>
        <v>0010</v>
      </c>
      <c r="G1082" s="1" t="str">
        <f>""</f>
        <v/>
      </c>
      <c r="H1082" s="1" t="str">
        <f>"0012"</f>
        <v>0012</v>
      </c>
      <c r="I1082" s="1" t="s">
        <v>612</v>
      </c>
      <c r="J1082" s="1" t="str">
        <f>"01043989720"</f>
        <v>01043989720</v>
      </c>
      <c r="K1082" s="1" t="str">
        <f>"2017-04-04 19:22:36"</f>
        <v>2017-04-04 19:22:36</v>
      </c>
      <c r="L1082" s="1" t="str">
        <f>"2017-04-04 19:22:46"</f>
        <v>2017-04-04 19:22:46</v>
      </c>
      <c r="M1082" s="2">
        <v>1.6435185185185183E-3</v>
      </c>
      <c r="N1082" s="1" t="s">
        <v>26</v>
      </c>
      <c r="O1082" s="1" t="s">
        <v>27</v>
      </c>
      <c r="P1082" s="2">
        <v>1.7592592592592592E-3</v>
      </c>
      <c r="Q1082" s="1" t="s">
        <v>897</v>
      </c>
      <c r="R1082" s="1">
        <v>0</v>
      </c>
      <c r="S1082" s="1" t="str">
        <f>""</f>
        <v/>
      </c>
      <c r="T1082" s="1" t="s">
        <v>29</v>
      </c>
      <c r="U1082" s="1" t="s">
        <v>30</v>
      </c>
      <c r="V1082" s="1">
        <v>0</v>
      </c>
    </row>
    <row r="1083" spans="2:22" x14ac:dyDescent="0.15">
      <c r="B1083" s="1" t="str">
        <f>"116114"</f>
        <v>116114</v>
      </c>
      <c r="C1083" s="1" t="s">
        <v>159</v>
      </c>
      <c r="D1083" s="1" t="str">
        <f t="shared" si="113"/>
        <v>89177328</v>
      </c>
      <c r="E1083" s="1" t="s">
        <v>24</v>
      </c>
      <c r="F1083" s="1" t="str">
        <f t="shared" si="115"/>
        <v>0010</v>
      </c>
      <c r="G1083" s="1" t="str">
        <f>""</f>
        <v/>
      </c>
      <c r="H1083" s="1" t="str">
        <f>"0012"</f>
        <v>0012</v>
      </c>
      <c r="I1083" s="1" t="s">
        <v>612</v>
      </c>
      <c r="J1083" s="1" t="str">
        <f>"01043989720"</f>
        <v>01043989720</v>
      </c>
      <c r="K1083" s="1" t="str">
        <f>"2017-04-04 19:12:52"</f>
        <v>2017-04-04 19:12:52</v>
      </c>
      <c r="L1083" s="1" t="str">
        <f>"2017-04-04 19:13:05"</f>
        <v>2017-04-04 19:13:05</v>
      </c>
      <c r="M1083" s="2">
        <v>2.6620370370370374E-3</v>
      </c>
      <c r="N1083" s="1" t="s">
        <v>26</v>
      </c>
      <c r="O1083" s="1" t="s">
        <v>34</v>
      </c>
      <c r="P1083" s="2">
        <v>2.8124999999999995E-3</v>
      </c>
      <c r="Q1083" s="1" t="s">
        <v>898</v>
      </c>
      <c r="R1083" s="1">
        <v>0</v>
      </c>
      <c r="S1083" s="1" t="str">
        <f>""</f>
        <v/>
      </c>
      <c r="T1083" s="1" t="s">
        <v>29</v>
      </c>
      <c r="U1083" s="1" t="s">
        <v>30</v>
      </c>
      <c r="V1083" s="1">
        <v>0</v>
      </c>
    </row>
    <row r="1084" spans="2:22" x14ac:dyDescent="0.15">
      <c r="B1084" s="1" t="str">
        <f>"136****8652"</f>
        <v>136****8652</v>
      </c>
      <c r="C1084" s="1" t="s">
        <v>35</v>
      </c>
      <c r="D1084" s="1" t="str">
        <f t="shared" si="113"/>
        <v>89177328</v>
      </c>
      <c r="E1084" s="1" t="s">
        <v>24</v>
      </c>
      <c r="F1084" s="1" t="str">
        <f t="shared" si="115"/>
        <v>0010</v>
      </c>
      <c r="G1084" s="1" t="str">
        <f>""</f>
        <v/>
      </c>
      <c r="H1084" s="1" t="str">
        <f>"0034"</f>
        <v>0034</v>
      </c>
      <c r="I1084" s="1" t="s">
        <v>31</v>
      </c>
      <c r="J1084" s="1" t="str">
        <f>"01043977568"</f>
        <v>01043977568</v>
      </c>
      <c r="K1084" s="1" t="str">
        <f>"2017-04-04 18:59:05"</f>
        <v>2017-04-04 18:59:05</v>
      </c>
      <c r="L1084" s="1" t="str">
        <f>"2017-04-04 18:59:13"</f>
        <v>2017-04-04 18:59:13</v>
      </c>
      <c r="M1084" s="2">
        <v>4.1898148148148146E-3</v>
      </c>
      <c r="N1084" s="1" t="s">
        <v>26</v>
      </c>
      <c r="O1084" s="1" t="s">
        <v>27</v>
      </c>
      <c r="P1084" s="2">
        <v>4.2824074074074075E-3</v>
      </c>
      <c r="Q1084" s="1" t="s">
        <v>899</v>
      </c>
      <c r="R1084" s="1">
        <v>0</v>
      </c>
      <c r="S1084" s="1" t="str">
        <f>""</f>
        <v/>
      </c>
      <c r="T1084" s="1" t="s">
        <v>29</v>
      </c>
      <c r="U1084" s="1" t="s">
        <v>30</v>
      </c>
      <c r="V1084" s="1">
        <v>0</v>
      </c>
    </row>
    <row r="1085" spans="2:22" x14ac:dyDescent="0.15">
      <c r="B1085" s="1" t="str">
        <f>"180****2556"</f>
        <v>180****2556</v>
      </c>
      <c r="C1085" s="1" t="s">
        <v>291</v>
      </c>
      <c r="D1085" s="1" t="str">
        <f t="shared" si="113"/>
        <v>89177328</v>
      </c>
      <c r="E1085" s="1" t="s">
        <v>24</v>
      </c>
      <c r="F1085" s="1" t="str">
        <f t="shared" si="115"/>
        <v>0010</v>
      </c>
      <c r="G1085" s="1" t="str">
        <f>""</f>
        <v/>
      </c>
      <c r="H1085" s="1" t="str">
        <f>"0012"</f>
        <v>0012</v>
      </c>
      <c r="I1085" s="1" t="s">
        <v>612</v>
      </c>
      <c r="J1085" s="1" t="str">
        <f>"01043989720"</f>
        <v>01043989720</v>
      </c>
      <c r="K1085" s="1" t="str">
        <f>"2017-04-04 18:54:00"</f>
        <v>2017-04-04 18:54:00</v>
      </c>
      <c r="L1085" s="1" t="str">
        <f>"2017-04-04 18:54:11"</f>
        <v>2017-04-04 18:54:11</v>
      </c>
      <c r="M1085" s="2">
        <v>4.4675925925925933E-3</v>
      </c>
      <c r="N1085" s="1" t="s">
        <v>26</v>
      </c>
      <c r="O1085" s="1" t="s">
        <v>27</v>
      </c>
      <c r="P1085" s="2">
        <v>4.5949074074074078E-3</v>
      </c>
      <c r="Q1085" s="1" t="s">
        <v>900</v>
      </c>
      <c r="R1085" s="1">
        <v>0</v>
      </c>
      <c r="S1085" s="1" t="str">
        <f>""</f>
        <v/>
      </c>
      <c r="T1085" s="1" t="s">
        <v>29</v>
      </c>
      <c r="U1085" s="1" t="s">
        <v>30</v>
      </c>
      <c r="V1085" s="1">
        <v>0</v>
      </c>
    </row>
    <row r="1086" spans="2:22" x14ac:dyDescent="0.15">
      <c r="B1086" s="1" t="str">
        <f>"136****8652"</f>
        <v>136****8652</v>
      </c>
      <c r="C1086" s="1" t="s">
        <v>35</v>
      </c>
      <c r="D1086" s="1" t="str">
        <f t="shared" si="113"/>
        <v>89177328</v>
      </c>
      <c r="E1086" s="1" t="s">
        <v>24</v>
      </c>
      <c r="F1086" s="1" t="str">
        <f t="shared" si="115"/>
        <v>0010</v>
      </c>
      <c r="G1086" s="1" t="str">
        <f>""</f>
        <v/>
      </c>
      <c r="H1086" s="1" t="str">
        <f>"0012"</f>
        <v>0012</v>
      </c>
      <c r="I1086" s="1" t="s">
        <v>612</v>
      </c>
      <c r="J1086" s="1" t="str">
        <f>"01043989720"</f>
        <v>01043989720</v>
      </c>
      <c r="K1086" s="1" t="str">
        <f>"2017-04-04 18:38:09"</f>
        <v>2017-04-04 18:38:09</v>
      </c>
      <c r="L1086" s="1" t="str">
        <f>"2017-04-04 18:38:19"</f>
        <v>2017-04-04 18:38:19</v>
      </c>
      <c r="M1086" s="2">
        <v>1.0173611111111111E-2</v>
      </c>
      <c r="N1086" s="1" t="s">
        <v>26</v>
      </c>
      <c r="O1086" s="1" t="s">
        <v>34</v>
      </c>
      <c r="P1086" s="2">
        <v>1.0289351851851852E-2</v>
      </c>
      <c r="Q1086" s="1" t="s">
        <v>901</v>
      </c>
      <c r="R1086" s="1">
        <v>0</v>
      </c>
      <c r="S1086" s="1" t="str">
        <f>""</f>
        <v/>
      </c>
      <c r="T1086" s="1" t="s">
        <v>29</v>
      </c>
      <c r="U1086" s="1" t="s">
        <v>30</v>
      </c>
      <c r="V1086" s="1">
        <v>0</v>
      </c>
    </row>
    <row r="1087" spans="2:22" x14ac:dyDescent="0.15">
      <c r="B1087" s="1" t="str">
        <f>"048****2114"</f>
        <v>048****2114</v>
      </c>
      <c r="C1087" s="1" t="s">
        <v>902</v>
      </c>
      <c r="D1087" s="1" t="str">
        <f t="shared" si="113"/>
        <v>89177328</v>
      </c>
      <c r="E1087" s="1" t="s">
        <v>24</v>
      </c>
      <c r="F1087" s="1" t="str">
        <f t="shared" si="115"/>
        <v>0010</v>
      </c>
      <c r="G1087" s="1" t="str">
        <f>""</f>
        <v/>
      </c>
      <c r="H1087" s="1" t="str">
        <f>"0034"</f>
        <v>0034</v>
      </c>
      <c r="I1087" s="1" t="s">
        <v>31</v>
      </c>
      <c r="J1087" s="1" t="str">
        <f>"01043977568"</f>
        <v>01043977568</v>
      </c>
      <c r="K1087" s="1" t="str">
        <f>"2017-04-04 18:33:24"</f>
        <v>2017-04-04 18:33:24</v>
      </c>
      <c r="L1087" s="1" t="str">
        <f>"2017-04-04 18:33:34"</f>
        <v>2017-04-04 18:33:34</v>
      </c>
      <c r="M1087" s="2">
        <v>5.1504629629629635E-3</v>
      </c>
      <c r="N1087" s="1" t="s">
        <v>26</v>
      </c>
      <c r="O1087" s="1" t="s">
        <v>27</v>
      </c>
      <c r="P1087" s="2">
        <v>5.2662037037037035E-3</v>
      </c>
      <c r="Q1087" s="1" t="s">
        <v>903</v>
      </c>
      <c r="R1087" s="1">
        <v>0</v>
      </c>
      <c r="S1087" s="1" t="str">
        <f>""</f>
        <v/>
      </c>
      <c r="T1087" s="1" t="s">
        <v>29</v>
      </c>
      <c r="U1087" s="1" t="s">
        <v>30</v>
      </c>
      <c r="V1087" s="1">
        <v>0</v>
      </c>
    </row>
    <row r="1088" spans="2:22" x14ac:dyDescent="0.15">
      <c r="B1088" s="1" t="str">
        <f>"184****6483"</f>
        <v>184****6483</v>
      </c>
      <c r="C1088" s="1" t="s">
        <v>904</v>
      </c>
      <c r="D1088" s="1" t="str">
        <f t="shared" si="113"/>
        <v>89177328</v>
      </c>
      <c r="E1088" s="1" t="s">
        <v>24</v>
      </c>
      <c r="F1088" s="1" t="str">
        <f t="shared" si="115"/>
        <v>0010</v>
      </c>
      <c r="G1088" s="1" t="str">
        <f>""</f>
        <v/>
      </c>
      <c r="H1088" s="1" t="str">
        <f>"0012"</f>
        <v>0012</v>
      </c>
      <c r="I1088" s="1" t="s">
        <v>612</v>
      </c>
      <c r="J1088" s="1" t="str">
        <f>"01043989720"</f>
        <v>01043989720</v>
      </c>
      <c r="K1088" s="1" t="str">
        <f>"2017-04-04 18:16:51"</f>
        <v>2017-04-04 18:16:51</v>
      </c>
      <c r="L1088" s="1" t="str">
        <f>"-"</f>
        <v>-</v>
      </c>
      <c r="M1088" s="2">
        <v>0</v>
      </c>
      <c r="N1088" s="1" t="s">
        <v>33</v>
      </c>
      <c r="O1088" s="1" t="s">
        <v>34</v>
      </c>
      <c r="P1088" s="2">
        <v>2.3148148148148147E-5</v>
      </c>
      <c r="Q1088" s="1" t="str">
        <f>""</f>
        <v/>
      </c>
      <c r="R1088" s="1">
        <v>0</v>
      </c>
      <c r="S1088" s="1" t="str">
        <f>""</f>
        <v/>
      </c>
      <c r="T1088" s="1" t="s">
        <v>29</v>
      </c>
      <c r="U1088" s="1" t="s">
        <v>30</v>
      </c>
      <c r="V1088" s="1">
        <v>0</v>
      </c>
    </row>
    <row r="1089" spans="2:22" x14ac:dyDescent="0.15">
      <c r="B1089" s="1" t="str">
        <f>"138****2005"</f>
        <v>138****2005</v>
      </c>
      <c r="C1089" s="1" t="s">
        <v>785</v>
      </c>
      <c r="D1089" s="1" t="str">
        <f t="shared" si="113"/>
        <v>89177328</v>
      </c>
      <c r="E1089" s="1" t="s">
        <v>24</v>
      </c>
      <c r="F1089" s="1" t="str">
        <f t="shared" si="115"/>
        <v>0010</v>
      </c>
      <c r="G1089" s="1" t="str">
        <f>""</f>
        <v/>
      </c>
      <c r="H1089" s="1" t="str">
        <f>"0034"</f>
        <v>0034</v>
      </c>
      <c r="I1089" s="1" t="s">
        <v>31</v>
      </c>
      <c r="J1089" s="1" t="str">
        <f>"01043977568"</f>
        <v>01043977568</v>
      </c>
      <c r="K1089" s="1" t="str">
        <f>"2017-04-04 18:07:57"</f>
        <v>2017-04-04 18:07:57</v>
      </c>
      <c r="L1089" s="1" t="str">
        <f>"2017-04-04 18:08:05"</f>
        <v>2017-04-04 18:08:05</v>
      </c>
      <c r="M1089" s="2">
        <v>1.0601851851851854E-2</v>
      </c>
      <c r="N1089" s="1" t="s">
        <v>26</v>
      </c>
      <c r="O1089" s="1" t="s">
        <v>34</v>
      </c>
      <c r="P1089" s="2">
        <v>1.0694444444444444E-2</v>
      </c>
      <c r="Q1089" s="1" t="s">
        <v>905</v>
      </c>
      <c r="R1089" s="1">
        <v>0</v>
      </c>
      <c r="S1089" s="1" t="str">
        <f>""</f>
        <v/>
      </c>
      <c r="T1089" s="1" t="s">
        <v>29</v>
      </c>
      <c r="U1089" s="1" t="s">
        <v>30</v>
      </c>
      <c r="V1089" s="1">
        <v>0</v>
      </c>
    </row>
    <row r="1090" spans="2:22" x14ac:dyDescent="0.15">
      <c r="B1090" s="1" t="str">
        <f>"177****0206"</f>
        <v>177****0206</v>
      </c>
      <c r="C1090" s="1" t="s">
        <v>23</v>
      </c>
      <c r="D1090" s="1" t="str">
        <f t="shared" si="113"/>
        <v>89177328</v>
      </c>
      <c r="E1090" s="1" t="s">
        <v>24</v>
      </c>
      <c r="F1090" s="1" t="str">
        <f t="shared" si="115"/>
        <v>0010</v>
      </c>
      <c r="G1090" s="1" t="str">
        <f>""</f>
        <v/>
      </c>
      <c r="H1090" s="1" t="str">
        <f>"0034"</f>
        <v>0034</v>
      </c>
      <c r="I1090" s="1" t="s">
        <v>31</v>
      </c>
      <c r="J1090" s="1" t="str">
        <f>"01043977568"</f>
        <v>01043977568</v>
      </c>
      <c r="K1090" s="1" t="str">
        <f>"2017-04-04 18:04:29"</f>
        <v>2017-04-04 18:04:29</v>
      </c>
      <c r="L1090" s="1" t="str">
        <f>"-"</f>
        <v>-</v>
      </c>
      <c r="M1090" s="2">
        <v>0</v>
      </c>
      <c r="N1090" s="1" t="s">
        <v>33</v>
      </c>
      <c r="O1090" s="1" t="s">
        <v>34</v>
      </c>
      <c r="P1090" s="2">
        <v>5.7870370370370366E-5</v>
      </c>
      <c r="Q1090" s="1" t="str">
        <f>""</f>
        <v/>
      </c>
      <c r="R1090" s="1">
        <v>0</v>
      </c>
      <c r="S1090" s="1" t="str">
        <f>""</f>
        <v/>
      </c>
      <c r="T1090" s="1" t="s">
        <v>29</v>
      </c>
      <c r="U1090" s="1" t="s">
        <v>30</v>
      </c>
      <c r="V1090" s="1">
        <v>0</v>
      </c>
    </row>
    <row r="1091" spans="2:22" x14ac:dyDescent="0.15">
      <c r="B1091" s="1" t="str">
        <f>"156****3985"</f>
        <v>156****3985</v>
      </c>
      <c r="C1091" s="1" t="s">
        <v>23</v>
      </c>
      <c r="D1091" s="1" t="str">
        <f t="shared" si="113"/>
        <v>89177328</v>
      </c>
      <c r="E1091" s="1" t="s">
        <v>24</v>
      </c>
      <c r="F1091" s="1" t="str">
        <f t="shared" si="115"/>
        <v>0010</v>
      </c>
      <c r="G1091" s="1" t="str">
        <f>""</f>
        <v/>
      </c>
      <c r="H1091" s="1" t="str">
        <f t="shared" ref="H1091:H1099" si="116">"0012"</f>
        <v>0012</v>
      </c>
      <c r="I1091" s="1" t="s">
        <v>612</v>
      </c>
      <c r="J1091" s="1" t="str">
        <f t="shared" ref="J1091:J1099" si="117">"01043989720"</f>
        <v>01043989720</v>
      </c>
      <c r="K1091" s="1" t="str">
        <f>"2017-04-04 17:57:06"</f>
        <v>2017-04-04 17:57:06</v>
      </c>
      <c r="L1091" s="1" t="str">
        <f>"-"</f>
        <v>-</v>
      </c>
      <c r="M1091" s="2">
        <v>0</v>
      </c>
      <c r="N1091" s="1" t="s">
        <v>33</v>
      </c>
      <c r="O1091" s="1" t="s">
        <v>34</v>
      </c>
      <c r="P1091" s="2">
        <v>1.0185185185185186E-3</v>
      </c>
      <c r="Q1091" s="1" t="str">
        <f>""</f>
        <v/>
      </c>
      <c r="R1091" s="1">
        <v>0</v>
      </c>
      <c r="S1091" s="1" t="str">
        <f>""</f>
        <v/>
      </c>
      <c r="T1091" s="1" t="s">
        <v>29</v>
      </c>
      <c r="U1091" s="1" t="s">
        <v>30</v>
      </c>
      <c r="V1091" s="1">
        <v>0</v>
      </c>
    </row>
    <row r="1092" spans="2:22" x14ac:dyDescent="0.15">
      <c r="B1092" s="1" t="str">
        <f>"187****5279"</f>
        <v>187****5279</v>
      </c>
      <c r="C1092" s="1" t="s">
        <v>188</v>
      </c>
      <c r="D1092" s="1" t="str">
        <f t="shared" si="113"/>
        <v>89177328</v>
      </c>
      <c r="E1092" s="1" t="s">
        <v>24</v>
      </c>
      <c r="F1092" s="1" t="str">
        <f t="shared" si="115"/>
        <v>0010</v>
      </c>
      <c r="G1092" s="1" t="str">
        <f>""</f>
        <v/>
      </c>
      <c r="H1092" s="1" t="str">
        <f t="shared" si="116"/>
        <v>0012</v>
      </c>
      <c r="I1092" s="1" t="s">
        <v>612</v>
      </c>
      <c r="J1092" s="1" t="str">
        <f t="shared" si="117"/>
        <v>01043989720</v>
      </c>
      <c r="K1092" s="1" t="str">
        <f>"2017-04-04 17:51:27"</f>
        <v>2017-04-04 17:51:27</v>
      </c>
      <c r="L1092" s="1" t="str">
        <f>"2017-04-04 17:51:37"</f>
        <v>2017-04-04 17:51:37</v>
      </c>
      <c r="M1092" s="2">
        <v>4.6064814814814814E-3</v>
      </c>
      <c r="N1092" s="1" t="s">
        <v>26</v>
      </c>
      <c r="O1092" s="1" t="s">
        <v>27</v>
      </c>
      <c r="P1092" s="2">
        <v>4.7222222222222223E-3</v>
      </c>
      <c r="Q1092" s="1" t="s">
        <v>906</v>
      </c>
      <c r="R1092" s="1">
        <v>0</v>
      </c>
      <c r="S1092" s="1" t="str">
        <f>""</f>
        <v/>
      </c>
      <c r="T1092" s="1" t="s">
        <v>29</v>
      </c>
      <c r="U1092" s="1" t="s">
        <v>30</v>
      </c>
      <c r="V1092" s="1">
        <v>0</v>
      </c>
    </row>
    <row r="1093" spans="2:22" x14ac:dyDescent="0.15">
      <c r="B1093" s="1" t="str">
        <f>"187****5279"</f>
        <v>187****5279</v>
      </c>
      <c r="C1093" s="1" t="s">
        <v>188</v>
      </c>
      <c r="D1093" s="1" t="str">
        <f t="shared" si="113"/>
        <v>89177328</v>
      </c>
      <c r="E1093" s="1" t="s">
        <v>24</v>
      </c>
      <c r="F1093" s="1" t="str">
        <f t="shared" si="115"/>
        <v>0010</v>
      </c>
      <c r="G1093" s="1" t="str">
        <f>""</f>
        <v/>
      </c>
      <c r="H1093" s="1" t="str">
        <f t="shared" si="116"/>
        <v>0012</v>
      </c>
      <c r="I1093" s="1" t="s">
        <v>612</v>
      </c>
      <c r="J1093" s="1" t="str">
        <f t="shared" si="117"/>
        <v>01043989720</v>
      </c>
      <c r="K1093" s="1" t="str">
        <f>"2017-04-04 17:49:58"</f>
        <v>2017-04-04 17:49:58</v>
      </c>
      <c r="L1093" s="1" t="str">
        <f t="shared" ref="L1093:L1110" si="118">"-"</f>
        <v>-</v>
      </c>
      <c r="M1093" s="2">
        <v>0</v>
      </c>
      <c r="N1093" s="1" t="s">
        <v>33</v>
      </c>
      <c r="O1093" s="1" t="s">
        <v>34</v>
      </c>
      <c r="P1093" s="2">
        <v>1.1574074074074073E-5</v>
      </c>
      <c r="Q1093" s="1" t="str">
        <f>""</f>
        <v/>
      </c>
      <c r="R1093" s="1">
        <v>0</v>
      </c>
      <c r="S1093" s="1" t="str">
        <f>""</f>
        <v/>
      </c>
      <c r="T1093" s="1" t="s">
        <v>29</v>
      </c>
      <c r="U1093" s="1" t="s">
        <v>30</v>
      </c>
      <c r="V1093" s="1">
        <v>0</v>
      </c>
    </row>
    <row r="1094" spans="2:22" x14ac:dyDescent="0.15">
      <c r="B1094" s="1" t="str">
        <f>"177****0206"</f>
        <v>177****0206</v>
      </c>
      <c r="C1094" s="1" t="s">
        <v>23</v>
      </c>
      <c r="D1094" s="1" t="str">
        <f t="shared" si="113"/>
        <v>89177328</v>
      </c>
      <c r="E1094" s="1" t="s">
        <v>24</v>
      </c>
      <c r="F1094" s="1" t="str">
        <f t="shared" si="115"/>
        <v>0010</v>
      </c>
      <c r="G1094" s="1" t="str">
        <f>""</f>
        <v/>
      </c>
      <c r="H1094" s="1" t="str">
        <f t="shared" si="116"/>
        <v>0012</v>
      </c>
      <c r="I1094" s="1" t="s">
        <v>612</v>
      </c>
      <c r="J1094" s="1" t="str">
        <f t="shared" si="117"/>
        <v>01043989720</v>
      </c>
      <c r="K1094" s="1" t="str">
        <f>"2017-04-04 17:49:19"</f>
        <v>2017-04-04 17:49:19</v>
      </c>
      <c r="L1094" s="1" t="str">
        <f t="shared" si="118"/>
        <v>-</v>
      </c>
      <c r="M1094" s="2">
        <v>0</v>
      </c>
      <c r="N1094" s="1" t="s">
        <v>33</v>
      </c>
      <c r="O1094" s="1" t="s">
        <v>34</v>
      </c>
      <c r="P1094" s="2">
        <v>8.1018518518518516E-5</v>
      </c>
      <c r="Q1094" s="1" t="str">
        <f>""</f>
        <v/>
      </c>
      <c r="R1094" s="1">
        <v>0</v>
      </c>
      <c r="S1094" s="1" t="str">
        <f>""</f>
        <v/>
      </c>
      <c r="T1094" s="1" t="s">
        <v>29</v>
      </c>
      <c r="U1094" s="1" t="s">
        <v>30</v>
      </c>
      <c r="V1094" s="1">
        <v>0</v>
      </c>
    </row>
    <row r="1095" spans="2:22" x14ac:dyDescent="0.15">
      <c r="B1095" s="1" t="str">
        <f>"187****5279"</f>
        <v>187****5279</v>
      </c>
      <c r="C1095" s="1" t="s">
        <v>188</v>
      </c>
      <c r="D1095" s="1" t="str">
        <f t="shared" si="113"/>
        <v>89177328</v>
      </c>
      <c r="E1095" s="1" t="s">
        <v>24</v>
      </c>
      <c r="F1095" s="1" t="str">
        <f t="shared" si="115"/>
        <v>0010</v>
      </c>
      <c r="G1095" s="1" t="str">
        <f>""</f>
        <v/>
      </c>
      <c r="H1095" s="1" t="str">
        <f t="shared" si="116"/>
        <v>0012</v>
      </c>
      <c r="I1095" s="1" t="s">
        <v>612</v>
      </c>
      <c r="J1095" s="1" t="str">
        <f t="shared" si="117"/>
        <v>01043989720</v>
      </c>
      <c r="K1095" s="1" t="str">
        <f>"2017-04-04 17:43:08"</f>
        <v>2017-04-04 17:43:08</v>
      </c>
      <c r="L1095" s="1" t="str">
        <f t="shared" si="118"/>
        <v>-</v>
      </c>
      <c r="M1095" s="2">
        <v>0</v>
      </c>
      <c r="N1095" s="1" t="s">
        <v>33</v>
      </c>
      <c r="O1095" s="1" t="s">
        <v>34</v>
      </c>
      <c r="P1095" s="2">
        <v>2.488425925925926E-3</v>
      </c>
      <c r="Q1095" s="1" t="str">
        <f>""</f>
        <v/>
      </c>
      <c r="R1095" s="1">
        <v>0</v>
      </c>
      <c r="S1095" s="1" t="str">
        <f>""</f>
        <v/>
      </c>
      <c r="T1095" s="1" t="s">
        <v>29</v>
      </c>
      <c r="U1095" s="1" t="s">
        <v>30</v>
      </c>
      <c r="V1095" s="1">
        <v>0</v>
      </c>
    </row>
    <row r="1096" spans="2:22" x14ac:dyDescent="0.15">
      <c r="B1096" s="1" t="str">
        <f>"138****5285"</f>
        <v>138****5285</v>
      </c>
      <c r="C1096" s="1" t="s">
        <v>23</v>
      </c>
      <c r="D1096" s="1" t="str">
        <f t="shared" si="113"/>
        <v>89177328</v>
      </c>
      <c r="E1096" s="1" t="s">
        <v>24</v>
      </c>
      <c r="F1096" s="1" t="str">
        <f t="shared" si="115"/>
        <v>0010</v>
      </c>
      <c r="G1096" s="1" t="str">
        <f>""</f>
        <v/>
      </c>
      <c r="H1096" s="1" t="str">
        <f t="shared" si="116"/>
        <v>0012</v>
      </c>
      <c r="I1096" s="1" t="s">
        <v>612</v>
      </c>
      <c r="J1096" s="1" t="str">
        <f t="shared" si="117"/>
        <v>01043989720</v>
      </c>
      <c r="K1096" s="1" t="str">
        <f>"2017-04-04 17:25:15"</f>
        <v>2017-04-04 17:25:15</v>
      </c>
      <c r="L1096" s="1" t="str">
        <f t="shared" si="118"/>
        <v>-</v>
      </c>
      <c r="M1096" s="2">
        <v>0</v>
      </c>
      <c r="N1096" s="1" t="s">
        <v>33</v>
      </c>
      <c r="O1096" s="1" t="s">
        <v>34</v>
      </c>
      <c r="P1096" s="2">
        <v>3.9351851851851852E-4</v>
      </c>
      <c r="Q1096" s="1" t="str">
        <f>""</f>
        <v/>
      </c>
      <c r="R1096" s="1">
        <v>0</v>
      </c>
      <c r="S1096" s="1" t="str">
        <f>""</f>
        <v/>
      </c>
      <c r="T1096" s="1" t="s">
        <v>29</v>
      </c>
      <c r="U1096" s="1" t="s">
        <v>30</v>
      </c>
      <c r="V1096" s="1">
        <v>0</v>
      </c>
    </row>
    <row r="1097" spans="2:22" x14ac:dyDescent="0.15">
      <c r="B1097" s="1" t="str">
        <f>"186****0591"</f>
        <v>186****0591</v>
      </c>
      <c r="C1097" s="1" t="s">
        <v>23</v>
      </c>
      <c r="D1097" s="1" t="str">
        <f t="shared" si="113"/>
        <v>89177328</v>
      </c>
      <c r="E1097" s="1" t="s">
        <v>24</v>
      </c>
      <c r="F1097" s="1" t="str">
        <f t="shared" si="115"/>
        <v>0010</v>
      </c>
      <c r="G1097" s="1" t="str">
        <f>""</f>
        <v/>
      </c>
      <c r="H1097" s="1" t="str">
        <f t="shared" si="116"/>
        <v>0012</v>
      </c>
      <c r="I1097" s="1" t="s">
        <v>612</v>
      </c>
      <c r="J1097" s="1" t="str">
        <f t="shared" si="117"/>
        <v>01043989720</v>
      </c>
      <c r="K1097" s="1" t="str">
        <f>"2017-04-04 17:17:17"</f>
        <v>2017-04-04 17:17:17</v>
      </c>
      <c r="L1097" s="1" t="str">
        <f t="shared" si="118"/>
        <v>-</v>
      </c>
      <c r="M1097" s="2">
        <v>0</v>
      </c>
      <c r="N1097" s="1" t="s">
        <v>33</v>
      </c>
      <c r="O1097" s="1" t="s">
        <v>34</v>
      </c>
      <c r="P1097" s="2">
        <v>2.673611111111111E-3</v>
      </c>
      <c r="Q1097" s="1" t="str">
        <f>""</f>
        <v/>
      </c>
      <c r="R1097" s="1">
        <v>0</v>
      </c>
      <c r="S1097" s="1" t="str">
        <f>""</f>
        <v/>
      </c>
      <c r="T1097" s="1" t="s">
        <v>29</v>
      </c>
      <c r="U1097" s="1" t="s">
        <v>30</v>
      </c>
      <c r="V1097" s="1">
        <v>0</v>
      </c>
    </row>
    <row r="1098" spans="2:22" x14ac:dyDescent="0.15">
      <c r="B1098" s="1" t="str">
        <f>"138****7744"</f>
        <v>138****7744</v>
      </c>
      <c r="C1098" s="1" t="s">
        <v>23</v>
      </c>
      <c r="D1098" s="1" t="str">
        <f t="shared" si="113"/>
        <v>89177328</v>
      </c>
      <c r="E1098" s="1" t="s">
        <v>24</v>
      </c>
      <c r="F1098" s="1" t="str">
        <f t="shared" si="115"/>
        <v>0010</v>
      </c>
      <c r="G1098" s="1" t="str">
        <f>""</f>
        <v/>
      </c>
      <c r="H1098" s="1" t="str">
        <f t="shared" si="116"/>
        <v>0012</v>
      </c>
      <c r="I1098" s="1" t="s">
        <v>612</v>
      </c>
      <c r="J1098" s="1" t="str">
        <f t="shared" si="117"/>
        <v>01043989720</v>
      </c>
      <c r="K1098" s="1" t="str">
        <f>"2017-04-04 17:10:55"</f>
        <v>2017-04-04 17:10:55</v>
      </c>
      <c r="L1098" s="1" t="str">
        <f t="shared" si="118"/>
        <v>-</v>
      </c>
      <c r="M1098" s="2">
        <v>0</v>
      </c>
      <c r="N1098" s="1" t="s">
        <v>33</v>
      </c>
      <c r="O1098" s="1" t="s">
        <v>34</v>
      </c>
      <c r="P1098" s="2">
        <v>1.5509259259259261E-3</v>
      </c>
      <c r="Q1098" s="1" t="str">
        <f>""</f>
        <v/>
      </c>
      <c r="R1098" s="1">
        <v>0</v>
      </c>
      <c r="S1098" s="1" t="str">
        <f>""</f>
        <v/>
      </c>
      <c r="T1098" s="1" t="s">
        <v>29</v>
      </c>
      <c r="U1098" s="1" t="s">
        <v>30</v>
      </c>
      <c r="V1098" s="1">
        <v>0</v>
      </c>
    </row>
    <row r="1099" spans="2:22" x14ac:dyDescent="0.15">
      <c r="B1099" s="1" t="str">
        <f>"177****0206"</f>
        <v>177****0206</v>
      </c>
      <c r="C1099" s="1" t="s">
        <v>23</v>
      </c>
      <c r="D1099" s="1" t="str">
        <f t="shared" si="113"/>
        <v>89177328</v>
      </c>
      <c r="E1099" s="1" t="s">
        <v>24</v>
      </c>
      <c r="F1099" s="1" t="str">
        <f t="shared" si="115"/>
        <v>0010</v>
      </c>
      <c r="G1099" s="1" t="str">
        <f>""</f>
        <v/>
      </c>
      <c r="H1099" s="1" t="str">
        <f t="shared" si="116"/>
        <v>0012</v>
      </c>
      <c r="I1099" s="1" t="s">
        <v>612</v>
      </c>
      <c r="J1099" s="1" t="str">
        <f t="shared" si="117"/>
        <v>01043989720</v>
      </c>
      <c r="K1099" s="1" t="str">
        <f>"2017-04-04 17:10:19"</f>
        <v>2017-04-04 17:10:19</v>
      </c>
      <c r="L1099" s="1" t="str">
        <f t="shared" si="118"/>
        <v>-</v>
      </c>
      <c r="M1099" s="2">
        <v>0</v>
      </c>
      <c r="N1099" s="1" t="s">
        <v>33</v>
      </c>
      <c r="O1099" s="1" t="s">
        <v>34</v>
      </c>
      <c r="P1099" s="2">
        <v>5.3240740740740744E-4</v>
      </c>
      <c r="Q1099" s="1" t="str">
        <f>""</f>
        <v/>
      </c>
      <c r="R1099" s="1">
        <v>0</v>
      </c>
      <c r="S1099" s="1" t="str">
        <f>""</f>
        <v/>
      </c>
      <c r="T1099" s="1" t="s">
        <v>29</v>
      </c>
      <c r="U1099" s="1" t="s">
        <v>30</v>
      </c>
      <c r="V1099" s="1">
        <v>0</v>
      </c>
    </row>
    <row r="1100" spans="2:22" x14ac:dyDescent="0.15">
      <c r="B1100" s="1" t="str">
        <f>"158****3132"</f>
        <v>158****3132</v>
      </c>
      <c r="C1100" s="1" t="s">
        <v>23</v>
      </c>
      <c r="D1100" s="1" t="str">
        <f t="shared" si="113"/>
        <v>89177328</v>
      </c>
      <c r="E1100" s="1" t="s">
        <v>24</v>
      </c>
      <c r="F1100" s="1" t="str">
        <f t="shared" si="115"/>
        <v>0010</v>
      </c>
      <c r="G1100" s="1" t="str">
        <f>""</f>
        <v/>
      </c>
      <c r="H1100" s="1" t="str">
        <f t="shared" ref="H1100:H1110" si="119">"0036"</f>
        <v>0036</v>
      </c>
      <c r="I1100" s="1" t="s">
        <v>143</v>
      </c>
      <c r="J1100" s="1" t="str">
        <f t="shared" ref="J1100:J1110" si="120">"01043977573"</f>
        <v>01043977573</v>
      </c>
      <c r="K1100" s="1" t="str">
        <f>"2017-04-04 17:07:31"</f>
        <v>2017-04-04 17:07:31</v>
      </c>
      <c r="L1100" s="1" t="str">
        <f t="shared" si="118"/>
        <v>-</v>
      </c>
      <c r="M1100" s="2">
        <v>0</v>
      </c>
      <c r="N1100" s="1" t="s">
        <v>33</v>
      </c>
      <c r="O1100" s="1" t="s">
        <v>34</v>
      </c>
      <c r="P1100" s="2">
        <v>1.3078703703703705E-3</v>
      </c>
      <c r="Q1100" s="1" t="str">
        <f>""</f>
        <v/>
      </c>
      <c r="R1100" s="1">
        <v>0</v>
      </c>
      <c r="S1100" s="1" t="str">
        <f>""</f>
        <v/>
      </c>
      <c r="T1100" s="1" t="s">
        <v>29</v>
      </c>
      <c r="U1100" s="1" t="s">
        <v>30</v>
      </c>
      <c r="V1100" s="1">
        <v>0</v>
      </c>
    </row>
    <row r="1101" spans="2:22" x14ac:dyDescent="0.15">
      <c r="B1101" s="1" t="str">
        <f>"186****3456"</f>
        <v>186****3456</v>
      </c>
      <c r="C1101" s="1" t="s">
        <v>23</v>
      </c>
      <c r="D1101" s="1" t="str">
        <f t="shared" si="113"/>
        <v>89177328</v>
      </c>
      <c r="E1101" s="1" t="s">
        <v>24</v>
      </c>
      <c r="F1101" s="1" t="str">
        <f t="shared" si="115"/>
        <v>0010</v>
      </c>
      <c r="G1101" s="1" t="str">
        <f>""</f>
        <v/>
      </c>
      <c r="H1101" s="1" t="str">
        <f t="shared" si="119"/>
        <v>0036</v>
      </c>
      <c r="I1101" s="1" t="s">
        <v>143</v>
      </c>
      <c r="J1101" s="1" t="str">
        <f t="shared" si="120"/>
        <v>01043977573</v>
      </c>
      <c r="K1101" s="1" t="str">
        <f>"2017-04-04 17:05:03"</f>
        <v>2017-04-04 17:05:03</v>
      </c>
      <c r="L1101" s="1" t="str">
        <f t="shared" si="118"/>
        <v>-</v>
      </c>
      <c r="M1101" s="2">
        <v>0</v>
      </c>
      <c r="N1101" s="1" t="s">
        <v>33</v>
      </c>
      <c r="O1101" s="1" t="s">
        <v>34</v>
      </c>
      <c r="P1101" s="2">
        <v>2.8935185185185189E-4</v>
      </c>
      <c r="Q1101" s="1" t="str">
        <f>""</f>
        <v/>
      </c>
      <c r="R1101" s="1">
        <v>0</v>
      </c>
      <c r="S1101" s="1" t="str">
        <f>""</f>
        <v/>
      </c>
      <c r="T1101" s="1" t="s">
        <v>29</v>
      </c>
      <c r="U1101" s="1" t="s">
        <v>30</v>
      </c>
      <c r="V1101" s="1">
        <v>0</v>
      </c>
    </row>
    <row r="1102" spans="2:22" x14ac:dyDescent="0.15">
      <c r="B1102" s="1" t="str">
        <f>"177****0206"</f>
        <v>177****0206</v>
      </c>
      <c r="C1102" s="1" t="s">
        <v>23</v>
      </c>
      <c r="D1102" s="1" t="str">
        <f t="shared" si="113"/>
        <v>89177328</v>
      </c>
      <c r="E1102" s="1" t="s">
        <v>24</v>
      </c>
      <c r="F1102" s="1" t="str">
        <f t="shared" si="115"/>
        <v>0010</v>
      </c>
      <c r="G1102" s="1" t="str">
        <f>""</f>
        <v/>
      </c>
      <c r="H1102" s="1" t="str">
        <f t="shared" si="119"/>
        <v>0036</v>
      </c>
      <c r="I1102" s="1" t="s">
        <v>143</v>
      </c>
      <c r="J1102" s="1" t="str">
        <f t="shared" si="120"/>
        <v>01043977573</v>
      </c>
      <c r="K1102" s="1" t="str">
        <f>"2017-04-04 17:04:42"</f>
        <v>2017-04-04 17:04:42</v>
      </c>
      <c r="L1102" s="1" t="str">
        <f t="shared" si="118"/>
        <v>-</v>
      </c>
      <c r="M1102" s="2">
        <v>0</v>
      </c>
      <c r="N1102" s="1" t="s">
        <v>33</v>
      </c>
      <c r="O1102" s="1" t="s">
        <v>34</v>
      </c>
      <c r="P1102" s="2">
        <v>2.7777777777777778E-4</v>
      </c>
      <c r="Q1102" s="1" t="str">
        <f>""</f>
        <v/>
      </c>
      <c r="R1102" s="1">
        <v>0</v>
      </c>
      <c r="S1102" s="1" t="str">
        <f>""</f>
        <v/>
      </c>
      <c r="T1102" s="1" t="s">
        <v>29</v>
      </c>
      <c r="U1102" s="1" t="s">
        <v>30</v>
      </c>
      <c r="V1102" s="1">
        <v>0</v>
      </c>
    </row>
    <row r="1103" spans="2:22" x14ac:dyDescent="0.15">
      <c r="B1103" s="1" t="str">
        <f>"186****3456"</f>
        <v>186****3456</v>
      </c>
      <c r="C1103" s="1" t="s">
        <v>23</v>
      </c>
      <c r="D1103" s="1" t="str">
        <f t="shared" si="113"/>
        <v>89177328</v>
      </c>
      <c r="E1103" s="1" t="s">
        <v>24</v>
      </c>
      <c r="F1103" s="1" t="str">
        <f t="shared" si="115"/>
        <v>0010</v>
      </c>
      <c r="G1103" s="1" t="str">
        <f>""</f>
        <v/>
      </c>
      <c r="H1103" s="1" t="str">
        <f t="shared" si="119"/>
        <v>0036</v>
      </c>
      <c r="I1103" s="1" t="s">
        <v>143</v>
      </c>
      <c r="J1103" s="1" t="str">
        <f t="shared" si="120"/>
        <v>01043977573</v>
      </c>
      <c r="K1103" s="1" t="str">
        <f>"2017-04-04 17:03:40"</f>
        <v>2017-04-04 17:03:40</v>
      </c>
      <c r="L1103" s="1" t="str">
        <f t="shared" si="118"/>
        <v>-</v>
      </c>
      <c r="M1103" s="2">
        <v>0</v>
      </c>
      <c r="N1103" s="1" t="s">
        <v>33</v>
      </c>
      <c r="O1103" s="1" t="s">
        <v>34</v>
      </c>
      <c r="P1103" s="2">
        <v>3.0092592592592595E-4</v>
      </c>
      <c r="Q1103" s="1" t="str">
        <f>""</f>
        <v/>
      </c>
      <c r="R1103" s="1">
        <v>0</v>
      </c>
      <c r="S1103" s="1" t="str">
        <f>""</f>
        <v/>
      </c>
      <c r="T1103" s="1" t="s">
        <v>29</v>
      </c>
      <c r="U1103" s="1" t="s">
        <v>30</v>
      </c>
      <c r="V1103" s="1">
        <v>0</v>
      </c>
    </row>
    <row r="1104" spans="2:22" x14ac:dyDescent="0.15">
      <c r="B1104" s="1" t="str">
        <f>"177****0206"</f>
        <v>177****0206</v>
      </c>
      <c r="C1104" s="1" t="s">
        <v>23</v>
      </c>
      <c r="D1104" s="1" t="str">
        <f t="shared" si="113"/>
        <v>89177328</v>
      </c>
      <c r="E1104" s="1" t="s">
        <v>24</v>
      </c>
      <c r="F1104" s="1" t="str">
        <f t="shared" si="115"/>
        <v>0010</v>
      </c>
      <c r="G1104" s="1" t="str">
        <f>""</f>
        <v/>
      </c>
      <c r="H1104" s="1" t="str">
        <f t="shared" si="119"/>
        <v>0036</v>
      </c>
      <c r="I1104" s="1" t="s">
        <v>143</v>
      </c>
      <c r="J1104" s="1" t="str">
        <f t="shared" si="120"/>
        <v>01043977573</v>
      </c>
      <c r="K1104" s="1" t="str">
        <f>"2017-04-04 16:56:50"</f>
        <v>2017-04-04 16:56:50</v>
      </c>
      <c r="L1104" s="1" t="str">
        <f t="shared" si="118"/>
        <v>-</v>
      </c>
      <c r="M1104" s="2">
        <v>0</v>
      </c>
      <c r="N1104" s="1" t="s">
        <v>33</v>
      </c>
      <c r="O1104" s="1" t="s">
        <v>34</v>
      </c>
      <c r="P1104" s="2">
        <v>6.134259259259259E-4</v>
      </c>
      <c r="Q1104" s="1" t="str">
        <f>""</f>
        <v/>
      </c>
      <c r="R1104" s="1">
        <v>0</v>
      </c>
      <c r="S1104" s="1" t="str">
        <f>""</f>
        <v/>
      </c>
      <c r="T1104" s="1" t="s">
        <v>29</v>
      </c>
      <c r="U1104" s="1" t="s">
        <v>30</v>
      </c>
      <c r="V1104" s="1">
        <v>0</v>
      </c>
    </row>
    <row r="1105" spans="2:22" x14ac:dyDescent="0.15">
      <c r="B1105" s="1" t="str">
        <f>"186****3456"</f>
        <v>186****3456</v>
      </c>
      <c r="C1105" s="1" t="s">
        <v>23</v>
      </c>
      <c r="D1105" s="1" t="str">
        <f t="shared" si="113"/>
        <v>89177328</v>
      </c>
      <c r="E1105" s="1" t="s">
        <v>24</v>
      </c>
      <c r="F1105" s="1" t="str">
        <f t="shared" si="115"/>
        <v>0010</v>
      </c>
      <c r="G1105" s="1" t="str">
        <f>""</f>
        <v/>
      </c>
      <c r="H1105" s="1" t="str">
        <f t="shared" si="119"/>
        <v>0036</v>
      </c>
      <c r="I1105" s="1" t="s">
        <v>143</v>
      </c>
      <c r="J1105" s="1" t="str">
        <f t="shared" si="120"/>
        <v>01043977573</v>
      </c>
      <c r="K1105" s="1" t="str">
        <f>"2017-04-04 16:52:29"</f>
        <v>2017-04-04 16:52:29</v>
      </c>
      <c r="L1105" s="1" t="str">
        <f t="shared" si="118"/>
        <v>-</v>
      </c>
      <c r="M1105" s="2">
        <v>0</v>
      </c>
      <c r="N1105" s="1" t="s">
        <v>33</v>
      </c>
      <c r="O1105" s="1" t="s">
        <v>34</v>
      </c>
      <c r="P1105" s="2">
        <v>1.2962962962962963E-3</v>
      </c>
      <c r="Q1105" s="1" t="str">
        <f>""</f>
        <v/>
      </c>
      <c r="R1105" s="1">
        <v>0</v>
      </c>
      <c r="S1105" s="1" t="str">
        <f>""</f>
        <v/>
      </c>
      <c r="T1105" s="1" t="s">
        <v>29</v>
      </c>
      <c r="U1105" s="1" t="s">
        <v>30</v>
      </c>
      <c r="V1105" s="1">
        <v>0</v>
      </c>
    </row>
    <row r="1106" spans="2:22" x14ac:dyDescent="0.15">
      <c r="B1106" s="1" t="str">
        <f>"177****0206"</f>
        <v>177****0206</v>
      </c>
      <c r="C1106" s="1" t="s">
        <v>23</v>
      </c>
      <c r="D1106" s="1" t="str">
        <f t="shared" si="113"/>
        <v>89177328</v>
      </c>
      <c r="E1106" s="1" t="s">
        <v>24</v>
      </c>
      <c r="F1106" s="1" t="str">
        <f t="shared" si="115"/>
        <v>0010</v>
      </c>
      <c r="G1106" s="1" t="str">
        <f>""</f>
        <v/>
      </c>
      <c r="H1106" s="1" t="str">
        <f t="shared" si="119"/>
        <v>0036</v>
      </c>
      <c r="I1106" s="1" t="s">
        <v>143</v>
      </c>
      <c r="J1106" s="1" t="str">
        <f t="shared" si="120"/>
        <v>01043977573</v>
      </c>
      <c r="K1106" s="1" t="str">
        <f>"2017-04-04 16:46:22"</f>
        <v>2017-04-04 16:46:22</v>
      </c>
      <c r="L1106" s="1" t="str">
        <f t="shared" si="118"/>
        <v>-</v>
      </c>
      <c r="M1106" s="2">
        <v>0</v>
      </c>
      <c r="N1106" s="1" t="s">
        <v>33</v>
      </c>
      <c r="O1106" s="1" t="s">
        <v>34</v>
      </c>
      <c r="P1106" s="2">
        <v>8.6805555555555551E-4</v>
      </c>
      <c r="Q1106" s="1" t="str">
        <f>""</f>
        <v/>
      </c>
      <c r="R1106" s="1">
        <v>0</v>
      </c>
      <c r="S1106" s="1" t="str">
        <f>""</f>
        <v/>
      </c>
      <c r="T1106" s="1" t="s">
        <v>29</v>
      </c>
      <c r="U1106" s="1" t="s">
        <v>30</v>
      </c>
      <c r="V1106" s="1">
        <v>0</v>
      </c>
    </row>
    <row r="1107" spans="2:22" x14ac:dyDescent="0.15">
      <c r="B1107" s="1" t="str">
        <f>"177****0206"</f>
        <v>177****0206</v>
      </c>
      <c r="C1107" s="1" t="s">
        <v>23</v>
      </c>
      <c r="D1107" s="1" t="str">
        <f t="shared" si="113"/>
        <v>89177328</v>
      </c>
      <c r="E1107" s="1" t="s">
        <v>24</v>
      </c>
      <c r="F1107" s="1" t="str">
        <f t="shared" si="115"/>
        <v>0010</v>
      </c>
      <c r="G1107" s="1" t="str">
        <f>""</f>
        <v/>
      </c>
      <c r="H1107" s="1" t="str">
        <f t="shared" si="119"/>
        <v>0036</v>
      </c>
      <c r="I1107" s="1" t="s">
        <v>143</v>
      </c>
      <c r="J1107" s="1" t="str">
        <f t="shared" si="120"/>
        <v>01043977573</v>
      </c>
      <c r="K1107" s="1" t="str">
        <f>"2017-04-04 16:43:48"</f>
        <v>2017-04-04 16:43:48</v>
      </c>
      <c r="L1107" s="1" t="str">
        <f t="shared" si="118"/>
        <v>-</v>
      </c>
      <c r="M1107" s="2">
        <v>0</v>
      </c>
      <c r="N1107" s="1" t="s">
        <v>33</v>
      </c>
      <c r="O1107" s="1" t="s">
        <v>34</v>
      </c>
      <c r="P1107" s="2">
        <v>1.1574074074074073E-4</v>
      </c>
      <c r="Q1107" s="1" t="str">
        <f>""</f>
        <v/>
      </c>
      <c r="R1107" s="1">
        <v>0</v>
      </c>
      <c r="S1107" s="1" t="str">
        <f>""</f>
        <v/>
      </c>
      <c r="T1107" s="1" t="s">
        <v>29</v>
      </c>
      <c r="U1107" s="1" t="s">
        <v>30</v>
      </c>
      <c r="V1107" s="1">
        <v>0</v>
      </c>
    </row>
    <row r="1108" spans="2:22" x14ac:dyDescent="0.15">
      <c r="B1108" s="1" t="str">
        <f>"177****0206"</f>
        <v>177****0206</v>
      </c>
      <c r="C1108" s="1" t="s">
        <v>23</v>
      </c>
      <c r="D1108" s="1" t="str">
        <f t="shared" si="113"/>
        <v>89177328</v>
      </c>
      <c r="E1108" s="1" t="s">
        <v>24</v>
      </c>
      <c r="F1108" s="1" t="str">
        <f t="shared" si="115"/>
        <v>0010</v>
      </c>
      <c r="G1108" s="1" t="str">
        <f>""</f>
        <v/>
      </c>
      <c r="H1108" s="1" t="str">
        <f t="shared" si="119"/>
        <v>0036</v>
      </c>
      <c r="I1108" s="1" t="s">
        <v>143</v>
      </c>
      <c r="J1108" s="1" t="str">
        <f t="shared" si="120"/>
        <v>01043977573</v>
      </c>
      <c r="K1108" s="1" t="str">
        <f>"2017-04-04 16:40:33"</f>
        <v>2017-04-04 16:40:33</v>
      </c>
      <c r="L1108" s="1" t="str">
        <f t="shared" si="118"/>
        <v>-</v>
      </c>
      <c r="M1108" s="2">
        <v>0</v>
      </c>
      <c r="N1108" s="1" t="s">
        <v>33</v>
      </c>
      <c r="O1108" s="1" t="s">
        <v>34</v>
      </c>
      <c r="P1108" s="2">
        <v>1.1805555555555556E-3</v>
      </c>
      <c r="Q1108" s="1" t="str">
        <f>""</f>
        <v/>
      </c>
      <c r="R1108" s="1">
        <v>0</v>
      </c>
      <c r="S1108" s="1" t="str">
        <f>""</f>
        <v/>
      </c>
      <c r="T1108" s="1" t="s">
        <v>29</v>
      </c>
      <c r="U1108" s="1" t="s">
        <v>30</v>
      </c>
      <c r="V1108" s="1">
        <v>0</v>
      </c>
    </row>
    <row r="1109" spans="2:22" x14ac:dyDescent="0.15">
      <c r="B1109" s="1" t="str">
        <f>"187****8895"</f>
        <v>187****8895</v>
      </c>
      <c r="C1109" s="1" t="s">
        <v>23</v>
      </c>
      <c r="D1109" s="1" t="str">
        <f t="shared" si="113"/>
        <v>89177328</v>
      </c>
      <c r="E1109" s="1" t="s">
        <v>24</v>
      </c>
      <c r="F1109" s="1" t="str">
        <f t="shared" si="115"/>
        <v>0010</v>
      </c>
      <c r="G1109" s="1" t="str">
        <f>""</f>
        <v/>
      </c>
      <c r="H1109" s="1" t="str">
        <f t="shared" si="119"/>
        <v>0036</v>
      </c>
      <c r="I1109" s="1" t="s">
        <v>143</v>
      </c>
      <c r="J1109" s="1" t="str">
        <f t="shared" si="120"/>
        <v>01043977573</v>
      </c>
      <c r="K1109" s="1" t="str">
        <f>"2017-04-04 16:39:28"</f>
        <v>2017-04-04 16:39:28</v>
      </c>
      <c r="L1109" s="1" t="str">
        <f t="shared" si="118"/>
        <v>-</v>
      </c>
      <c r="M1109" s="2">
        <v>0</v>
      </c>
      <c r="N1109" s="1" t="s">
        <v>33</v>
      </c>
      <c r="O1109" s="1" t="s">
        <v>34</v>
      </c>
      <c r="P1109" s="2">
        <v>4.6296296296296294E-5</v>
      </c>
      <c r="Q1109" s="1" t="str">
        <f>""</f>
        <v/>
      </c>
      <c r="R1109" s="1">
        <v>0</v>
      </c>
      <c r="S1109" s="1" t="str">
        <f>""</f>
        <v/>
      </c>
      <c r="T1109" s="1" t="s">
        <v>29</v>
      </c>
      <c r="U1109" s="1" t="s">
        <v>30</v>
      </c>
      <c r="V1109" s="1">
        <v>0</v>
      </c>
    </row>
    <row r="1110" spans="2:22" x14ac:dyDescent="0.15">
      <c r="B1110" s="1" t="str">
        <f>"176****5270"</f>
        <v>176****5270</v>
      </c>
      <c r="C1110" s="1" t="s">
        <v>23</v>
      </c>
      <c r="D1110" s="1" t="str">
        <f t="shared" si="113"/>
        <v>89177328</v>
      </c>
      <c r="E1110" s="1" t="s">
        <v>24</v>
      </c>
      <c r="F1110" s="1" t="str">
        <f t="shared" si="115"/>
        <v>0010</v>
      </c>
      <c r="G1110" s="1" t="str">
        <f>""</f>
        <v/>
      </c>
      <c r="H1110" s="1" t="str">
        <f t="shared" si="119"/>
        <v>0036</v>
      </c>
      <c r="I1110" s="1" t="s">
        <v>143</v>
      </c>
      <c r="J1110" s="1" t="str">
        <f t="shared" si="120"/>
        <v>01043977573</v>
      </c>
      <c r="K1110" s="1" t="str">
        <f>"2017-04-04 16:39:12"</f>
        <v>2017-04-04 16:39:12</v>
      </c>
      <c r="L1110" s="1" t="str">
        <f t="shared" si="118"/>
        <v>-</v>
      </c>
      <c r="M1110" s="2">
        <v>0</v>
      </c>
      <c r="N1110" s="1" t="s">
        <v>33</v>
      </c>
      <c r="O1110" s="1" t="s">
        <v>34</v>
      </c>
      <c r="P1110" s="2">
        <v>1.3888888888888889E-4</v>
      </c>
      <c r="Q1110" s="1" t="str">
        <f>""</f>
        <v/>
      </c>
      <c r="R1110" s="1">
        <v>0</v>
      </c>
      <c r="S1110" s="1" t="str">
        <f>""</f>
        <v/>
      </c>
      <c r="T1110" s="1" t="s">
        <v>29</v>
      </c>
      <c r="U1110" s="1" t="s">
        <v>30</v>
      </c>
      <c r="V1110" s="1">
        <v>0</v>
      </c>
    </row>
    <row r="1111" spans="2:22" x14ac:dyDescent="0.15">
      <c r="B1111" s="1" t="str">
        <f>"135****8355"</f>
        <v>135****8355</v>
      </c>
      <c r="C1111" s="1" t="s">
        <v>23</v>
      </c>
      <c r="D1111" s="1" t="str">
        <f>"4000108333"</f>
        <v>4000108333</v>
      </c>
      <c r="E1111" s="1" t="s">
        <v>53</v>
      </c>
      <c r="F1111" s="1" t="str">
        <f>"0000"</f>
        <v>0000</v>
      </c>
      <c r="G1111" s="1" t="str">
        <f>""</f>
        <v/>
      </c>
      <c r="H1111" s="1" t="str">
        <f>"1012"</f>
        <v>1012</v>
      </c>
      <c r="I1111" s="1" t="s">
        <v>54</v>
      </c>
      <c r="J1111" s="1" t="str">
        <f>"13611040764"</f>
        <v>13611040764</v>
      </c>
      <c r="K1111" s="1" t="str">
        <f>"2017-04-04 16:37:47"</f>
        <v>2017-04-04 16:37:47</v>
      </c>
      <c r="L1111" s="1" t="str">
        <f>"2017-04-04 16:39:00"</f>
        <v>2017-04-04 16:39:00</v>
      </c>
      <c r="M1111" s="2">
        <v>7.6157407407407415E-3</v>
      </c>
      <c r="N1111" s="1" t="s">
        <v>26</v>
      </c>
      <c r="O1111" s="1" t="s">
        <v>34</v>
      </c>
      <c r="P1111" s="2">
        <v>8.4606481481481494E-3</v>
      </c>
      <c r="Q1111" s="1" t="s">
        <v>907</v>
      </c>
      <c r="R1111" s="1">
        <v>1.56</v>
      </c>
      <c r="S1111" s="1" t="str">
        <f>""</f>
        <v/>
      </c>
      <c r="T1111" s="1" t="s">
        <v>29</v>
      </c>
      <c r="U1111" s="1" t="s">
        <v>30</v>
      </c>
      <c r="V1111" s="1">
        <v>0</v>
      </c>
    </row>
    <row r="1112" spans="2:22" x14ac:dyDescent="0.15">
      <c r="B1112" s="1" t="str">
        <f>"176****5270"</f>
        <v>176****5270</v>
      </c>
      <c r="C1112" s="1" t="s">
        <v>23</v>
      </c>
      <c r="D1112" s="1" t="str">
        <f t="shared" ref="D1112:D1163" si="121">"89177328"</f>
        <v>89177328</v>
      </c>
      <c r="E1112" s="1" t="s">
        <v>24</v>
      </c>
      <c r="F1112" s="1" t="str">
        <f t="shared" ref="F1112:F1163" si="122">"0010"</f>
        <v>0010</v>
      </c>
      <c r="G1112" s="1" t="str">
        <f>""</f>
        <v/>
      </c>
      <c r="H1112" s="1" t="str">
        <f t="shared" ref="H1112:H1128" si="123">"0036"</f>
        <v>0036</v>
      </c>
      <c r="I1112" s="1" t="s">
        <v>143</v>
      </c>
      <c r="J1112" s="1" t="str">
        <f t="shared" ref="J1112:J1128" si="124">"01043977573"</f>
        <v>01043977573</v>
      </c>
      <c r="K1112" s="1" t="str">
        <f>"2017-04-04 16:37:23"</f>
        <v>2017-04-04 16:37:23</v>
      </c>
      <c r="L1112" s="1" t="str">
        <f t="shared" ref="L1112:L1131" si="125">"-"</f>
        <v>-</v>
      </c>
      <c r="M1112" s="2">
        <v>0</v>
      </c>
      <c r="N1112" s="1" t="s">
        <v>33</v>
      </c>
      <c r="O1112" s="1" t="s">
        <v>34</v>
      </c>
      <c r="P1112" s="2">
        <v>4.6296296296296294E-5</v>
      </c>
      <c r="Q1112" s="1" t="str">
        <f>""</f>
        <v/>
      </c>
      <c r="R1112" s="1">
        <v>0</v>
      </c>
      <c r="S1112" s="1" t="str">
        <f>""</f>
        <v/>
      </c>
      <c r="T1112" s="1" t="s">
        <v>29</v>
      </c>
      <c r="U1112" s="1" t="s">
        <v>30</v>
      </c>
      <c r="V1112" s="1">
        <v>0</v>
      </c>
    </row>
    <row r="1113" spans="2:22" x14ac:dyDescent="0.15">
      <c r="B1113" s="1" t="str">
        <f>"187****8895"</f>
        <v>187****8895</v>
      </c>
      <c r="C1113" s="1" t="s">
        <v>23</v>
      </c>
      <c r="D1113" s="1" t="str">
        <f t="shared" si="121"/>
        <v>89177328</v>
      </c>
      <c r="E1113" s="1" t="s">
        <v>24</v>
      </c>
      <c r="F1113" s="1" t="str">
        <f t="shared" si="122"/>
        <v>0010</v>
      </c>
      <c r="G1113" s="1" t="str">
        <f>""</f>
        <v/>
      </c>
      <c r="H1113" s="1" t="str">
        <f t="shared" si="123"/>
        <v>0036</v>
      </c>
      <c r="I1113" s="1" t="s">
        <v>143</v>
      </c>
      <c r="J1113" s="1" t="str">
        <f t="shared" si="124"/>
        <v>01043977573</v>
      </c>
      <c r="K1113" s="1" t="str">
        <f>"2017-04-04 16:37:09"</f>
        <v>2017-04-04 16:37:09</v>
      </c>
      <c r="L1113" s="1" t="str">
        <f t="shared" si="125"/>
        <v>-</v>
      </c>
      <c r="M1113" s="2">
        <v>0</v>
      </c>
      <c r="N1113" s="1" t="s">
        <v>33</v>
      </c>
      <c r="O1113" s="1" t="s">
        <v>34</v>
      </c>
      <c r="P1113" s="2">
        <v>4.6296296296296294E-5</v>
      </c>
      <c r="Q1113" s="1" t="str">
        <f>""</f>
        <v/>
      </c>
      <c r="R1113" s="1">
        <v>0</v>
      </c>
      <c r="S1113" s="1" t="str">
        <f>""</f>
        <v/>
      </c>
      <c r="T1113" s="1" t="s">
        <v>29</v>
      </c>
      <c r="U1113" s="1" t="s">
        <v>30</v>
      </c>
      <c r="V1113" s="1">
        <v>0</v>
      </c>
    </row>
    <row r="1114" spans="2:22" x14ac:dyDescent="0.15">
      <c r="B1114" s="1" t="str">
        <f>"186****2595"</f>
        <v>186****2595</v>
      </c>
      <c r="C1114" s="1" t="s">
        <v>908</v>
      </c>
      <c r="D1114" s="1" t="str">
        <f t="shared" si="121"/>
        <v>89177328</v>
      </c>
      <c r="E1114" s="1" t="s">
        <v>24</v>
      </c>
      <c r="F1114" s="1" t="str">
        <f t="shared" si="122"/>
        <v>0010</v>
      </c>
      <c r="G1114" s="1" t="str">
        <f>""</f>
        <v/>
      </c>
      <c r="H1114" s="1" t="str">
        <f t="shared" si="123"/>
        <v>0036</v>
      </c>
      <c r="I1114" s="1" t="s">
        <v>143</v>
      </c>
      <c r="J1114" s="1" t="str">
        <f t="shared" si="124"/>
        <v>01043977573</v>
      </c>
      <c r="K1114" s="1" t="str">
        <f>"2017-04-04 16:26:51"</f>
        <v>2017-04-04 16:26:51</v>
      </c>
      <c r="L1114" s="1" t="str">
        <f t="shared" si="125"/>
        <v>-</v>
      </c>
      <c r="M1114" s="2">
        <v>0</v>
      </c>
      <c r="N1114" s="1" t="s">
        <v>33</v>
      </c>
      <c r="O1114" s="1" t="s">
        <v>34</v>
      </c>
      <c r="P1114" s="2">
        <v>1.0069444444444444E-3</v>
      </c>
      <c r="Q1114" s="1" t="str">
        <f>""</f>
        <v/>
      </c>
      <c r="R1114" s="1">
        <v>0</v>
      </c>
      <c r="S1114" s="1" t="str">
        <f>""</f>
        <v/>
      </c>
      <c r="T1114" s="1" t="s">
        <v>29</v>
      </c>
      <c r="U1114" s="1" t="s">
        <v>30</v>
      </c>
      <c r="V1114" s="1">
        <v>0</v>
      </c>
    </row>
    <row r="1115" spans="2:22" x14ac:dyDescent="0.15">
      <c r="B1115" s="1" t="str">
        <f>"186****6328"</f>
        <v>186****6328</v>
      </c>
      <c r="C1115" s="1" t="s">
        <v>872</v>
      </c>
      <c r="D1115" s="1" t="str">
        <f t="shared" si="121"/>
        <v>89177328</v>
      </c>
      <c r="E1115" s="1" t="s">
        <v>24</v>
      </c>
      <c r="F1115" s="1" t="str">
        <f t="shared" si="122"/>
        <v>0010</v>
      </c>
      <c r="G1115" s="1" t="str">
        <f>""</f>
        <v/>
      </c>
      <c r="H1115" s="1" t="str">
        <f t="shared" si="123"/>
        <v>0036</v>
      </c>
      <c r="I1115" s="1" t="s">
        <v>143</v>
      </c>
      <c r="J1115" s="1" t="str">
        <f t="shared" si="124"/>
        <v>01043977573</v>
      </c>
      <c r="K1115" s="1" t="str">
        <f>"2017-04-04 16:24:56"</f>
        <v>2017-04-04 16:24:56</v>
      </c>
      <c r="L1115" s="1" t="str">
        <f t="shared" si="125"/>
        <v>-</v>
      </c>
      <c r="M1115" s="2">
        <v>0</v>
      </c>
      <c r="N1115" s="1" t="s">
        <v>33</v>
      </c>
      <c r="O1115" s="1" t="s">
        <v>34</v>
      </c>
      <c r="P1115" s="2">
        <v>3.9351851851851852E-4</v>
      </c>
      <c r="Q1115" s="1" t="str">
        <f>""</f>
        <v/>
      </c>
      <c r="R1115" s="1">
        <v>0</v>
      </c>
      <c r="S1115" s="1" t="str">
        <f>""</f>
        <v/>
      </c>
      <c r="T1115" s="1" t="s">
        <v>29</v>
      </c>
      <c r="U1115" s="1" t="s">
        <v>30</v>
      </c>
      <c r="V1115" s="1">
        <v>0</v>
      </c>
    </row>
    <row r="1116" spans="2:22" x14ac:dyDescent="0.15">
      <c r="B1116" s="1" t="str">
        <f>"151****7511"</f>
        <v>151****7511</v>
      </c>
      <c r="C1116" s="1" t="s">
        <v>831</v>
      </c>
      <c r="D1116" s="1" t="str">
        <f t="shared" si="121"/>
        <v>89177328</v>
      </c>
      <c r="E1116" s="1" t="s">
        <v>24</v>
      </c>
      <c r="F1116" s="1" t="str">
        <f t="shared" si="122"/>
        <v>0010</v>
      </c>
      <c r="G1116" s="1" t="str">
        <f>""</f>
        <v/>
      </c>
      <c r="H1116" s="1" t="str">
        <f t="shared" si="123"/>
        <v>0036</v>
      </c>
      <c r="I1116" s="1" t="s">
        <v>143</v>
      </c>
      <c r="J1116" s="1" t="str">
        <f t="shared" si="124"/>
        <v>01043977573</v>
      </c>
      <c r="K1116" s="1" t="str">
        <f>"2017-04-04 16:08:43"</f>
        <v>2017-04-04 16:08:43</v>
      </c>
      <c r="L1116" s="1" t="str">
        <f t="shared" si="125"/>
        <v>-</v>
      </c>
      <c r="M1116" s="2">
        <v>0</v>
      </c>
      <c r="N1116" s="1" t="s">
        <v>33</v>
      </c>
      <c r="O1116" s="1" t="s">
        <v>34</v>
      </c>
      <c r="P1116" s="2">
        <v>1.4351851851851854E-3</v>
      </c>
      <c r="Q1116" s="1" t="str">
        <f>""</f>
        <v/>
      </c>
      <c r="R1116" s="1">
        <v>0</v>
      </c>
      <c r="S1116" s="1" t="str">
        <f>""</f>
        <v/>
      </c>
      <c r="T1116" s="1" t="s">
        <v>29</v>
      </c>
      <c r="U1116" s="1" t="s">
        <v>30</v>
      </c>
      <c r="V1116" s="1">
        <v>0</v>
      </c>
    </row>
    <row r="1117" spans="2:22" x14ac:dyDescent="0.15">
      <c r="B1117" s="1" t="str">
        <f>"134****5978"</f>
        <v>134****5978</v>
      </c>
      <c r="C1117" s="1" t="s">
        <v>23</v>
      </c>
      <c r="D1117" s="1" t="str">
        <f t="shared" si="121"/>
        <v>89177328</v>
      </c>
      <c r="E1117" s="1" t="s">
        <v>24</v>
      </c>
      <c r="F1117" s="1" t="str">
        <f t="shared" si="122"/>
        <v>0010</v>
      </c>
      <c r="G1117" s="1" t="str">
        <f>""</f>
        <v/>
      </c>
      <c r="H1117" s="1" t="str">
        <f t="shared" si="123"/>
        <v>0036</v>
      </c>
      <c r="I1117" s="1" t="s">
        <v>143</v>
      </c>
      <c r="J1117" s="1" t="str">
        <f t="shared" si="124"/>
        <v>01043977573</v>
      </c>
      <c r="K1117" s="1" t="str">
        <f>"2017-04-04 16:04:31"</f>
        <v>2017-04-04 16:04:31</v>
      </c>
      <c r="L1117" s="1" t="str">
        <f t="shared" si="125"/>
        <v>-</v>
      </c>
      <c r="M1117" s="2">
        <v>0</v>
      </c>
      <c r="N1117" s="1" t="s">
        <v>33</v>
      </c>
      <c r="O1117" s="1" t="s">
        <v>34</v>
      </c>
      <c r="P1117" s="2">
        <v>1.5046296296296294E-3</v>
      </c>
      <c r="Q1117" s="1" t="str">
        <f>""</f>
        <v/>
      </c>
      <c r="R1117" s="1">
        <v>0</v>
      </c>
      <c r="S1117" s="1" t="str">
        <f>""</f>
        <v/>
      </c>
      <c r="T1117" s="1" t="s">
        <v>29</v>
      </c>
      <c r="U1117" s="1" t="s">
        <v>30</v>
      </c>
      <c r="V1117" s="1">
        <v>0</v>
      </c>
    </row>
    <row r="1118" spans="2:22" x14ac:dyDescent="0.15">
      <c r="B1118" s="1" t="str">
        <f>"010****0041"</f>
        <v>010****0041</v>
      </c>
      <c r="C1118" s="1" t="s">
        <v>23</v>
      </c>
      <c r="D1118" s="1" t="str">
        <f t="shared" si="121"/>
        <v>89177328</v>
      </c>
      <c r="E1118" s="1" t="s">
        <v>24</v>
      </c>
      <c r="F1118" s="1" t="str">
        <f t="shared" si="122"/>
        <v>0010</v>
      </c>
      <c r="G1118" s="1" t="str">
        <f>""</f>
        <v/>
      </c>
      <c r="H1118" s="1" t="str">
        <f t="shared" si="123"/>
        <v>0036</v>
      </c>
      <c r="I1118" s="1" t="s">
        <v>143</v>
      </c>
      <c r="J1118" s="1" t="str">
        <f t="shared" si="124"/>
        <v>01043977573</v>
      </c>
      <c r="K1118" s="1" t="str">
        <f>"2017-04-04 15:56:28"</f>
        <v>2017-04-04 15:56:28</v>
      </c>
      <c r="L1118" s="1" t="str">
        <f t="shared" si="125"/>
        <v>-</v>
      </c>
      <c r="M1118" s="2">
        <v>0</v>
      </c>
      <c r="N1118" s="1" t="s">
        <v>33</v>
      </c>
      <c r="O1118" s="1" t="s">
        <v>34</v>
      </c>
      <c r="P1118" s="2">
        <v>2.3611111111111111E-3</v>
      </c>
      <c r="Q1118" s="1" t="str">
        <f>""</f>
        <v/>
      </c>
      <c r="R1118" s="1">
        <v>0</v>
      </c>
      <c r="S1118" s="1" t="str">
        <f>""</f>
        <v/>
      </c>
      <c r="T1118" s="1" t="s">
        <v>29</v>
      </c>
      <c r="U1118" s="1" t="s">
        <v>30</v>
      </c>
      <c r="V1118" s="1">
        <v>0</v>
      </c>
    </row>
    <row r="1119" spans="2:22" x14ac:dyDescent="0.15">
      <c r="B1119" s="1" t="str">
        <f>"182****3568"</f>
        <v>182****3568</v>
      </c>
      <c r="C1119" s="1" t="s">
        <v>23</v>
      </c>
      <c r="D1119" s="1" t="str">
        <f t="shared" si="121"/>
        <v>89177328</v>
      </c>
      <c r="E1119" s="1" t="s">
        <v>24</v>
      </c>
      <c r="F1119" s="1" t="str">
        <f t="shared" si="122"/>
        <v>0010</v>
      </c>
      <c r="G1119" s="1" t="str">
        <f>""</f>
        <v/>
      </c>
      <c r="H1119" s="1" t="str">
        <f t="shared" si="123"/>
        <v>0036</v>
      </c>
      <c r="I1119" s="1" t="s">
        <v>143</v>
      </c>
      <c r="J1119" s="1" t="str">
        <f t="shared" si="124"/>
        <v>01043977573</v>
      </c>
      <c r="K1119" s="1" t="str">
        <f>"2017-04-04 15:33:22"</f>
        <v>2017-04-04 15:33:22</v>
      </c>
      <c r="L1119" s="1" t="str">
        <f t="shared" si="125"/>
        <v>-</v>
      </c>
      <c r="M1119" s="2">
        <v>0</v>
      </c>
      <c r="N1119" s="1" t="s">
        <v>33</v>
      </c>
      <c r="O1119" s="1" t="s">
        <v>27</v>
      </c>
      <c r="P1119" s="2">
        <v>3.5763888888888894E-3</v>
      </c>
      <c r="Q1119" s="1" t="str">
        <f>""</f>
        <v/>
      </c>
      <c r="R1119" s="1">
        <v>0</v>
      </c>
      <c r="S1119" s="1" t="str">
        <f>""</f>
        <v/>
      </c>
      <c r="T1119" s="1" t="s">
        <v>29</v>
      </c>
      <c r="U1119" s="1" t="s">
        <v>30</v>
      </c>
      <c r="V1119" s="1">
        <v>0</v>
      </c>
    </row>
    <row r="1120" spans="2:22" x14ac:dyDescent="0.15">
      <c r="B1120" s="1" t="str">
        <f>"138****8208"</f>
        <v>138****8208</v>
      </c>
      <c r="C1120" s="1" t="s">
        <v>379</v>
      </c>
      <c r="D1120" s="1" t="str">
        <f t="shared" si="121"/>
        <v>89177328</v>
      </c>
      <c r="E1120" s="1" t="s">
        <v>24</v>
      </c>
      <c r="F1120" s="1" t="str">
        <f t="shared" si="122"/>
        <v>0010</v>
      </c>
      <c r="G1120" s="1" t="str">
        <f>""</f>
        <v/>
      </c>
      <c r="H1120" s="1" t="str">
        <f t="shared" si="123"/>
        <v>0036</v>
      </c>
      <c r="I1120" s="1" t="s">
        <v>143</v>
      </c>
      <c r="J1120" s="1" t="str">
        <f t="shared" si="124"/>
        <v>01043977573</v>
      </c>
      <c r="K1120" s="1" t="str">
        <f>"2017-04-04 15:16:30"</f>
        <v>2017-04-04 15:16:30</v>
      </c>
      <c r="L1120" s="1" t="str">
        <f t="shared" si="125"/>
        <v>-</v>
      </c>
      <c r="M1120" s="2">
        <v>0</v>
      </c>
      <c r="N1120" s="1" t="s">
        <v>33</v>
      </c>
      <c r="O1120" s="1" t="s">
        <v>34</v>
      </c>
      <c r="P1120" s="2">
        <v>9.2592592592592585E-4</v>
      </c>
      <c r="Q1120" s="1" t="str">
        <f>""</f>
        <v/>
      </c>
      <c r="R1120" s="1">
        <v>0</v>
      </c>
      <c r="S1120" s="1" t="str">
        <f>""</f>
        <v/>
      </c>
      <c r="T1120" s="1" t="s">
        <v>29</v>
      </c>
      <c r="U1120" s="1" t="s">
        <v>30</v>
      </c>
      <c r="V1120" s="1">
        <v>0</v>
      </c>
    </row>
    <row r="1121" spans="2:22" x14ac:dyDescent="0.15">
      <c r="B1121" s="1" t="str">
        <f>"186****6546"</f>
        <v>186****6546</v>
      </c>
      <c r="C1121" s="1" t="s">
        <v>23</v>
      </c>
      <c r="D1121" s="1" t="str">
        <f t="shared" si="121"/>
        <v>89177328</v>
      </c>
      <c r="E1121" s="1" t="s">
        <v>24</v>
      </c>
      <c r="F1121" s="1" t="str">
        <f t="shared" si="122"/>
        <v>0010</v>
      </c>
      <c r="G1121" s="1" t="str">
        <f>""</f>
        <v/>
      </c>
      <c r="H1121" s="1" t="str">
        <f t="shared" si="123"/>
        <v>0036</v>
      </c>
      <c r="I1121" s="1" t="s">
        <v>143</v>
      </c>
      <c r="J1121" s="1" t="str">
        <f t="shared" si="124"/>
        <v>01043977573</v>
      </c>
      <c r="K1121" s="1" t="str">
        <f>"2017-04-04 15:07:52"</f>
        <v>2017-04-04 15:07:52</v>
      </c>
      <c r="L1121" s="1" t="str">
        <f t="shared" si="125"/>
        <v>-</v>
      </c>
      <c r="M1121" s="2">
        <v>0</v>
      </c>
      <c r="N1121" s="1" t="s">
        <v>33</v>
      </c>
      <c r="O1121" s="1" t="s">
        <v>34</v>
      </c>
      <c r="P1121" s="2">
        <v>2.4768518518518516E-3</v>
      </c>
      <c r="Q1121" s="1" t="str">
        <f>""</f>
        <v/>
      </c>
      <c r="R1121" s="1">
        <v>0</v>
      </c>
      <c r="S1121" s="1" t="str">
        <f>""</f>
        <v/>
      </c>
      <c r="T1121" s="1" t="s">
        <v>29</v>
      </c>
      <c r="U1121" s="1" t="s">
        <v>30</v>
      </c>
      <c r="V1121" s="1">
        <v>0</v>
      </c>
    </row>
    <row r="1122" spans="2:22" x14ac:dyDescent="0.15">
      <c r="B1122" s="1" t="str">
        <f>"170****3286"</f>
        <v>170****3286</v>
      </c>
      <c r="C1122" s="1" t="s">
        <v>909</v>
      </c>
      <c r="D1122" s="1" t="str">
        <f t="shared" si="121"/>
        <v>89177328</v>
      </c>
      <c r="E1122" s="1" t="s">
        <v>24</v>
      </c>
      <c r="F1122" s="1" t="str">
        <f t="shared" si="122"/>
        <v>0010</v>
      </c>
      <c r="G1122" s="1" t="str">
        <f>""</f>
        <v/>
      </c>
      <c r="H1122" s="1" t="str">
        <f t="shared" si="123"/>
        <v>0036</v>
      </c>
      <c r="I1122" s="1" t="s">
        <v>143</v>
      </c>
      <c r="J1122" s="1" t="str">
        <f t="shared" si="124"/>
        <v>01043977573</v>
      </c>
      <c r="K1122" s="1" t="str">
        <f>"2017-04-04 14:50:40"</f>
        <v>2017-04-04 14:50:40</v>
      </c>
      <c r="L1122" s="1" t="str">
        <f t="shared" si="125"/>
        <v>-</v>
      </c>
      <c r="M1122" s="2">
        <v>0</v>
      </c>
      <c r="N1122" s="1" t="s">
        <v>33</v>
      </c>
      <c r="O1122" s="1" t="s">
        <v>34</v>
      </c>
      <c r="P1122" s="2">
        <v>8.564814814814815E-4</v>
      </c>
      <c r="Q1122" s="1" t="str">
        <f>""</f>
        <v/>
      </c>
      <c r="R1122" s="1">
        <v>0</v>
      </c>
      <c r="S1122" s="1" t="str">
        <f>""</f>
        <v/>
      </c>
      <c r="T1122" s="1" t="s">
        <v>29</v>
      </c>
      <c r="U1122" s="1" t="s">
        <v>30</v>
      </c>
      <c r="V1122" s="1">
        <v>0</v>
      </c>
    </row>
    <row r="1123" spans="2:22" x14ac:dyDescent="0.15">
      <c r="B1123" s="1" t="str">
        <f>"170****3286"</f>
        <v>170****3286</v>
      </c>
      <c r="C1123" s="1" t="s">
        <v>909</v>
      </c>
      <c r="D1123" s="1" t="str">
        <f t="shared" si="121"/>
        <v>89177328</v>
      </c>
      <c r="E1123" s="1" t="s">
        <v>24</v>
      </c>
      <c r="F1123" s="1" t="str">
        <f t="shared" si="122"/>
        <v>0010</v>
      </c>
      <c r="G1123" s="1" t="str">
        <f>""</f>
        <v/>
      </c>
      <c r="H1123" s="1" t="str">
        <f t="shared" si="123"/>
        <v>0036</v>
      </c>
      <c r="I1123" s="1" t="s">
        <v>143</v>
      </c>
      <c r="J1123" s="1" t="str">
        <f t="shared" si="124"/>
        <v>01043977573</v>
      </c>
      <c r="K1123" s="1" t="str">
        <f>"2017-04-04 14:40:04"</f>
        <v>2017-04-04 14:40:04</v>
      </c>
      <c r="L1123" s="1" t="str">
        <f t="shared" si="125"/>
        <v>-</v>
      </c>
      <c r="M1123" s="2">
        <v>0</v>
      </c>
      <c r="N1123" s="1" t="s">
        <v>33</v>
      </c>
      <c r="O1123" s="1" t="s">
        <v>34</v>
      </c>
      <c r="P1123" s="2">
        <v>1.9907407407407408E-3</v>
      </c>
      <c r="Q1123" s="1" t="str">
        <f>""</f>
        <v/>
      </c>
      <c r="R1123" s="1">
        <v>0</v>
      </c>
      <c r="S1123" s="1" t="str">
        <f>""</f>
        <v/>
      </c>
      <c r="T1123" s="1" t="s">
        <v>29</v>
      </c>
      <c r="U1123" s="1" t="s">
        <v>30</v>
      </c>
      <c r="V1123" s="1">
        <v>0</v>
      </c>
    </row>
    <row r="1124" spans="2:22" x14ac:dyDescent="0.15">
      <c r="B1124" s="1" t="str">
        <f>"135****4801"</f>
        <v>135****4801</v>
      </c>
      <c r="C1124" s="1" t="s">
        <v>23</v>
      </c>
      <c r="D1124" s="1" t="str">
        <f t="shared" si="121"/>
        <v>89177328</v>
      </c>
      <c r="E1124" s="1" t="s">
        <v>24</v>
      </c>
      <c r="F1124" s="1" t="str">
        <f t="shared" si="122"/>
        <v>0010</v>
      </c>
      <c r="G1124" s="1" t="str">
        <f>""</f>
        <v/>
      </c>
      <c r="H1124" s="1" t="str">
        <f t="shared" si="123"/>
        <v>0036</v>
      </c>
      <c r="I1124" s="1" t="s">
        <v>143</v>
      </c>
      <c r="J1124" s="1" t="str">
        <f t="shared" si="124"/>
        <v>01043977573</v>
      </c>
      <c r="K1124" s="1" t="str">
        <f>"2017-04-04 14:37:52"</f>
        <v>2017-04-04 14:37:52</v>
      </c>
      <c r="L1124" s="1" t="str">
        <f t="shared" si="125"/>
        <v>-</v>
      </c>
      <c r="M1124" s="2">
        <v>0</v>
      </c>
      <c r="N1124" s="1" t="s">
        <v>33</v>
      </c>
      <c r="O1124" s="1" t="s">
        <v>34</v>
      </c>
      <c r="P1124" s="2">
        <v>1.5046296296296294E-3</v>
      </c>
      <c r="Q1124" s="1" t="str">
        <f>""</f>
        <v/>
      </c>
      <c r="R1124" s="1">
        <v>0</v>
      </c>
      <c r="S1124" s="1" t="str">
        <f>""</f>
        <v/>
      </c>
      <c r="T1124" s="1" t="s">
        <v>29</v>
      </c>
      <c r="U1124" s="1" t="s">
        <v>30</v>
      </c>
      <c r="V1124" s="1">
        <v>0</v>
      </c>
    </row>
    <row r="1125" spans="2:22" x14ac:dyDescent="0.15">
      <c r="B1125" s="1" t="str">
        <f>"151****4492"</f>
        <v>151****4492</v>
      </c>
      <c r="C1125" s="1" t="s">
        <v>23</v>
      </c>
      <c r="D1125" s="1" t="str">
        <f t="shared" si="121"/>
        <v>89177328</v>
      </c>
      <c r="E1125" s="1" t="s">
        <v>24</v>
      </c>
      <c r="F1125" s="1" t="str">
        <f t="shared" si="122"/>
        <v>0010</v>
      </c>
      <c r="G1125" s="1" t="str">
        <f>""</f>
        <v/>
      </c>
      <c r="H1125" s="1" t="str">
        <f t="shared" si="123"/>
        <v>0036</v>
      </c>
      <c r="I1125" s="1" t="s">
        <v>143</v>
      </c>
      <c r="J1125" s="1" t="str">
        <f t="shared" si="124"/>
        <v>01043977573</v>
      </c>
      <c r="K1125" s="1" t="str">
        <f>"2017-04-04 14:27:07"</f>
        <v>2017-04-04 14:27:07</v>
      </c>
      <c r="L1125" s="1" t="str">
        <f t="shared" si="125"/>
        <v>-</v>
      </c>
      <c r="M1125" s="2">
        <v>0</v>
      </c>
      <c r="N1125" s="1" t="s">
        <v>33</v>
      </c>
      <c r="O1125" s="1" t="s">
        <v>34</v>
      </c>
      <c r="P1125" s="2">
        <v>1.0185185185185186E-3</v>
      </c>
      <c r="Q1125" s="1" t="str">
        <f>""</f>
        <v/>
      </c>
      <c r="R1125" s="1">
        <v>0</v>
      </c>
      <c r="S1125" s="1" t="str">
        <f>""</f>
        <v/>
      </c>
      <c r="T1125" s="1" t="s">
        <v>29</v>
      </c>
      <c r="U1125" s="1" t="s">
        <v>30</v>
      </c>
      <c r="V1125" s="1">
        <v>0</v>
      </c>
    </row>
    <row r="1126" spans="2:22" x14ac:dyDescent="0.15">
      <c r="B1126" s="1" t="str">
        <f>"138****4955"</f>
        <v>138****4955</v>
      </c>
      <c r="C1126" s="1" t="s">
        <v>23</v>
      </c>
      <c r="D1126" s="1" t="str">
        <f t="shared" si="121"/>
        <v>89177328</v>
      </c>
      <c r="E1126" s="1" t="s">
        <v>24</v>
      </c>
      <c r="F1126" s="1" t="str">
        <f t="shared" si="122"/>
        <v>0010</v>
      </c>
      <c r="G1126" s="1" t="str">
        <f>""</f>
        <v/>
      </c>
      <c r="H1126" s="1" t="str">
        <f t="shared" si="123"/>
        <v>0036</v>
      </c>
      <c r="I1126" s="1" t="s">
        <v>143</v>
      </c>
      <c r="J1126" s="1" t="str">
        <f t="shared" si="124"/>
        <v>01043977573</v>
      </c>
      <c r="K1126" s="1" t="str">
        <f>"2017-04-04 14:26:56"</f>
        <v>2017-04-04 14:26:56</v>
      </c>
      <c r="L1126" s="1" t="str">
        <f t="shared" si="125"/>
        <v>-</v>
      </c>
      <c r="M1126" s="2">
        <v>0</v>
      </c>
      <c r="N1126" s="1" t="s">
        <v>33</v>
      </c>
      <c r="O1126" s="1" t="s">
        <v>34</v>
      </c>
      <c r="P1126" s="2">
        <v>9.2592592592592585E-4</v>
      </c>
      <c r="Q1126" s="1" t="str">
        <f>""</f>
        <v/>
      </c>
      <c r="R1126" s="1">
        <v>0</v>
      </c>
      <c r="S1126" s="1" t="str">
        <f>""</f>
        <v/>
      </c>
      <c r="T1126" s="1" t="s">
        <v>29</v>
      </c>
      <c r="U1126" s="1" t="s">
        <v>30</v>
      </c>
      <c r="V1126" s="1">
        <v>0</v>
      </c>
    </row>
    <row r="1127" spans="2:22" x14ac:dyDescent="0.15">
      <c r="B1127" s="1" t="str">
        <f>"137****1078"</f>
        <v>137****1078</v>
      </c>
      <c r="C1127" s="1" t="s">
        <v>23</v>
      </c>
      <c r="D1127" s="1" t="str">
        <f t="shared" si="121"/>
        <v>89177328</v>
      </c>
      <c r="E1127" s="1" t="s">
        <v>24</v>
      </c>
      <c r="F1127" s="1" t="str">
        <f t="shared" si="122"/>
        <v>0010</v>
      </c>
      <c r="G1127" s="1" t="str">
        <f>""</f>
        <v/>
      </c>
      <c r="H1127" s="1" t="str">
        <f t="shared" si="123"/>
        <v>0036</v>
      </c>
      <c r="I1127" s="1" t="s">
        <v>143</v>
      </c>
      <c r="J1127" s="1" t="str">
        <f t="shared" si="124"/>
        <v>01043977573</v>
      </c>
      <c r="K1127" s="1" t="str">
        <f>"2017-04-04 14:23:07"</f>
        <v>2017-04-04 14:23:07</v>
      </c>
      <c r="L1127" s="1" t="str">
        <f t="shared" si="125"/>
        <v>-</v>
      </c>
      <c r="M1127" s="2">
        <v>0</v>
      </c>
      <c r="N1127" s="1" t="s">
        <v>33</v>
      </c>
      <c r="O1127" s="1" t="s">
        <v>27</v>
      </c>
      <c r="P1127" s="2">
        <v>3.5648148148148154E-3</v>
      </c>
      <c r="Q1127" s="1" t="str">
        <f>""</f>
        <v/>
      </c>
      <c r="R1127" s="1">
        <v>0</v>
      </c>
      <c r="S1127" s="1" t="str">
        <f>""</f>
        <v/>
      </c>
      <c r="T1127" s="1" t="s">
        <v>29</v>
      </c>
      <c r="U1127" s="1" t="s">
        <v>30</v>
      </c>
      <c r="V1127" s="1">
        <v>0</v>
      </c>
    </row>
    <row r="1128" spans="2:22" x14ac:dyDescent="0.15">
      <c r="B1128" s="1" t="str">
        <f>"186****3683"</f>
        <v>186****3683</v>
      </c>
      <c r="C1128" s="1" t="s">
        <v>23</v>
      </c>
      <c r="D1128" s="1" t="str">
        <f t="shared" si="121"/>
        <v>89177328</v>
      </c>
      <c r="E1128" s="1" t="s">
        <v>24</v>
      </c>
      <c r="F1128" s="1" t="str">
        <f t="shared" si="122"/>
        <v>0010</v>
      </c>
      <c r="G1128" s="1" t="str">
        <f>""</f>
        <v/>
      </c>
      <c r="H1128" s="1" t="str">
        <f t="shared" si="123"/>
        <v>0036</v>
      </c>
      <c r="I1128" s="1" t="s">
        <v>143</v>
      </c>
      <c r="J1128" s="1" t="str">
        <f t="shared" si="124"/>
        <v>01043977573</v>
      </c>
      <c r="K1128" s="1" t="str">
        <f>"2017-04-04 14:18:59"</f>
        <v>2017-04-04 14:18:59</v>
      </c>
      <c r="L1128" s="1" t="str">
        <f t="shared" si="125"/>
        <v>-</v>
      </c>
      <c r="M1128" s="2">
        <v>0</v>
      </c>
      <c r="N1128" s="1" t="s">
        <v>33</v>
      </c>
      <c r="O1128" s="1" t="s">
        <v>34</v>
      </c>
      <c r="P1128" s="2">
        <v>1.3078703703703705E-3</v>
      </c>
      <c r="Q1128" s="1" t="str">
        <f>""</f>
        <v/>
      </c>
      <c r="R1128" s="1">
        <v>0</v>
      </c>
      <c r="S1128" s="1" t="str">
        <f>""</f>
        <v/>
      </c>
      <c r="T1128" s="1" t="s">
        <v>29</v>
      </c>
      <c r="U1128" s="1" t="s">
        <v>30</v>
      </c>
      <c r="V1128" s="1">
        <v>0</v>
      </c>
    </row>
    <row r="1129" spans="2:22" x14ac:dyDescent="0.15">
      <c r="B1129" s="1" t="str">
        <f>"135****7888"</f>
        <v>135****7888</v>
      </c>
      <c r="C1129" s="1" t="s">
        <v>23</v>
      </c>
      <c r="D1129" s="1" t="str">
        <f t="shared" si="121"/>
        <v>89177328</v>
      </c>
      <c r="E1129" s="1" t="s">
        <v>24</v>
      </c>
      <c r="F1129" s="1" t="str">
        <f t="shared" si="122"/>
        <v>0010</v>
      </c>
      <c r="G1129" s="1" t="str">
        <f>""</f>
        <v/>
      </c>
      <c r="H1129" s="1" t="str">
        <f>"0034"</f>
        <v>0034</v>
      </c>
      <c r="I1129" s="1" t="s">
        <v>31</v>
      </c>
      <c r="J1129" s="1" t="str">
        <f>"01043977568"</f>
        <v>01043977568</v>
      </c>
      <c r="K1129" s="1" t="str">
        <f>"2017-04-04 14:05:48"</f>
        <v>2017-04-04 14:05:48</v>
      </c>
      <c r="L1129" s="1" t="str">
        <f t="shared" si="125"/>
        <v>-</v>
      </c>
      <c r="M1129" s="2">
        <v>0</v>
      </c>
      <c r="N1129" s="1" t="s">
        <v>33</v>
      </c>
      <c r="O1129" s="1" t="s">
        <v>34</v>
      </c>
      <c r="P1129" s="2">
        <v>8.7962962962962962E-4</v>
      </c>
      <c r="Q1129" s="1" t="str">
        <f>""</f>
        <v/>
      </c>
      <c r="R1129" s="1">
        <v>0</v>
      </c>
      <c r="S1129" s="1" t="str">
        <f>""</f>
        <v/>
      </c>
      <c r="T1129" s="1" t="s">
        <v>29</v>
      </c>
      <c r="U1129" s="1" t="s">
        <v>30</v>
      </c>
      <c r="V1129" s="1">
        <v>0</v>
      </c>
    </row>
    <row r="1130" spans="2:22" x14ac:dyDescent="0.15">
      <c r="B1130" s="1" t="str">
        <f>"136****3966"</f>
        <v>136****3966</v>
      </c>
      <c r="C1130" s="1" t="s">
        <v>35</v>
      </c>
      <c r="D1130" s="1" t="str">
        <f t="shared" si="121"/>
        <v>89177328</v>
      </c>
      <c r="E1130" s="1" t="s">
        <v>24</v>
      </c>
      <c r="F1130" s="1" t="str">
        <f t="shared" si="122"/>
        <v>0010</v>
      </c>
      <c r="G1130" s="1" t="str">
        <f>""</f>
        <v/>
      </c>
      <c r="H1130" s="1" t="str">
        <f>"0036"</f>
        <v>0036</v>
      </c>
      <c r="I1130" s="1" t="s">
        <v>143</v>
      </c>
      <c r="J1130" s="1" t="str">
        <f>"01043977573"</f>
        <v>01043977573</v>
      </c>
      <c r="K1130" s="1" t="str">
        <f>"2017-04-04 13:58:54"</f>
        <v>2017-04-04 13:58:54</v>
      </c>
      <c r="L1130" s="1" t="str">
        <f t="shared" si="125"/>
        <v>-</v>
      </c>
      <c r="M1130" s="2">
        <v>0</v>
      </c>
      <c r="N1130" s="1" t="s">
        <v>33</v>
      </c>
      <c r="O1130" s="1" t="s">
        <v>34</v>
      </c>
      <c r="P1130" s="2">
        <v>2.3148148148148147E-5</v>
      </c>
      <c r="Q1130" s="1" t="str">
        <f>""</f>
        <v/>
      </c>
      <c r="R1130" s="1">
        <v>0</v>
      </c>
      <c r="S1130" s="1" t="str">
        <f>""</f>
        <v/>
      </c>
      <c r="T1130" s="1" t="s">
        <v>29</v>
      </c>
      <c r="U1130" s="1" t="s">
        <v>30</v>
      </c>
      <c r="V1130" s="1">
        <v>0</v>
      </c>
    </row>
    <row r="1131" spans="2:22" x14ac:dyDescent="0.15">
      <c r="B1131" s="1" t="str">
        <f>"135****7888"</f>
        <v>135****7888</v>
      </c>
      <c r="C1131" s="1" t="s">
        <v>23</v>
      </c>
      <c r="D1131" s="1" t="str">
        <f t="shared" si="121"/>
        <v>89177328</v>
      </c>
      <c r="E1131" s="1" t="s">
        <v>24</v>
      </c>
      <c r="F1131" s="1" t="str">
        <f t="shared" si="122"/>
        <v>0010</v>
      </c>
      <c r="G1131" s="1" t="str">
        <f>""</f>
        <v/>
      </c>
      <c r="H1131" s="1" t="str">
        <f>"0036"</f>
        <v>0036</v>
      </c>
      <c r="I1131" s="1" t="s">
        <v>143</v>
      </c>
      <c r="J1131" s="1" t="str">
        <f>"01043977573"</f>
        <v>01043977573</v>
      </c>
      <c r="K1131" s="1" t="str">
        <f>"2017-04-04 13:58:37"</f>
        <v>2017-04-04 13:58:37</v>
      </c>
      <c r="L1131" s="1" t="str">
        <f t="shared" si="125"/>
        <v>-</v>
      </c>
      <c r="M1131" s="2">
        <v>0</v>
      </c>
      <c r="N1131" s="1" t="s">
        <v>33</v>
      </c>
      <c r="O1131" s="1" t="s">
        <v>34</v>
      </c>
      <c r="P1131" s="2">
        <v>1.1689814814814816E-3</v>
      </c>
      <c r="Q1131" s="1" t="str">
        <f>""</f>
        <v/>
      </c>
      <c r="R1131" s="1">
        <v>0</v>
      </c>
      <c r="S1131" s="1" t="str">
        <f>""</f>
        <v/>
      </c>
      <c r="T1131" s="1" t="s">
        <v>29</v>
      </c>
      <c r="U1131" s="1" t="s">
        <v>30</v>
      </c>
      <c r="V1131" s="1">
        <v>0</v>
      </c>
    </row>
    <row r="1132" spans="2:22" x14ac:dyDescent="0.15">
      <c r="B1132" s="1" t="str">
        <f>"135****9095"</f>
        <v>135****9095</v>
      </c>
      <c r="C1132" s="1" t="s">
        <v>81</v>
      </c>
      <c r="D1132" s="1" t="str">
        <f t="shared" si="121"/>
        <v>89177328</v>
      </c>
      <c r="E1132" s="1" t="s">
        <v>24</v>
      </c>
      <c r="F1132" s="1" t="str">
        <f t="shared" si="122"/>
        <v>0010</v>
      </c>
      <c r="G1132" s="1" t="str">
        <f>""</f>
        <v/>
      </c>
      <c r="H1132" s="1" t="str">
        <f>"0012"</f>
        <v>0012</v>
      </c>
      <c r="I1132" s="1" t="s">
        <v>612</v>
      </c>
      <c r="J1132" s="1" t="str">
        <f>"13220184082"</f>
        <v>13220184082</v>
      </c>
      <c r="K1132" s="1" t="str">
        <f>"2017-04-04 13:44:22"</f>
        <v>2017-04-04 13:44:22</v>
      </c>
      <c r="L1132" s="1" t="str">
        <f>"2017-04-04 13:44:39"</f>
        <v>2017-04-04 13:44:39</v>
      </c>
      <c r="M1132" s="2">
        <v>2.8703703703703708E-3</v>
      </c>
      <c r="N1132" s="1" t="s">
        <v>26</v>
      </c>
      <c r="O1132" s="1" t="s">
        <v>34</v>
      </c>
      <c r="P1132" s="2">
        <v>3.0671296296296297E-3</v>
      </c>
      <c r="Q1132" s="1" t="s">
        <v>910</v>
      </c>
      <c r="R1132" s="1">
        <v>0</v>
      </c>
      <c r="S1132" s="1" t="str">
        <f>""</f>
        <v/>
      </c>
      <c r="T1132" s="1" t="s">
        <v>29</v>
      </c>
      <c r="U1132" s="1" t="s">
        <v>30</v>
      </c>
      <c r="V1132" s="1">
        <v>0</v>
      </c>
    </row>
    <row r="1133" spans="2:22" x14ac:dyDescent="0.15">
      <c r="B1133" s="1" t="str">
        <f>"182****8218"</f>
        <v>182****8218</v>
      </c>
      <c r="C1133" s="1" t="s">
        <v>911</v>
      </c>
      <c r="D1133" s="1" t="str">
        <f t="shared" si="121"/>
        <v>89177328</v>
      </c>
      <c r="E1133" s="1" t="s">
        <v>24</v>
      </c>
      <c r="F1133" s="1" t="str">
        <f t="shared" si="122"/>
        <v>0010</v>
      </c>
      <c r="G1133" s="1" t="str">
        <f>""</f>
        <v/>
      </c>
      <c r="H1133" s="1" t="str">
        <f>"0012"</f>
        <v>0012</v>
      </c>
      <c r="I1133" s="1" t="s">
        <v>612</v>
      </c>
      <c r="J1133" s="1" t="str">
        <f>"13220184082"</f>
        <v>13220184082</v>
      </c>
      <c r="K1133" s="1" t="str">
        <f>"2017-04-04 13:41:32"</f>
        <v>2017-04-04 13:41:32</v>
      </c>
      <c r="L1133" s="1" t="str">
        <f>"2017-04-04 13:42:10"</f>
        <v>2017-04-04 13:42:10</v>
      </c>
      <c r="M1133" s="2">
        <v>9.6064814814814808E-4</v>
      </c>
      <c r="N1133" s="1" t="s">
        <v>26</v>
      </c>
      <c r="O1133" s="1" t="s">
        <v>34</v>
      </c>
      <c r="P1133" s="2">
        <v>1.4004629629629629E-3</v>
      </c>
      <c r="Q1133" s="1" t="s">
        <v>912</v>
      </c>
      <c r="R1133" s="1">
        <v>0</v>
      </c>
      <c r="S1133" s="1" t="str">
        <f>""</f>
        <v/>
      </c>
      <c r="T1133" s="1" t="s">
        <v>29</v>
      </c>
      <c r="U1133" s="1" t="s">
        <v>30</v>
      </c>
      <c r="V1133" s="1">
        <v>0</v>
      </c>
    </row>
    <row r="1134" spans="2:22" x14ac:dyDescent="0.15">
      <c r="B1134" s="1" t="str">
        <f>"185****3209"</f>
        <v>185****3209</v>
      </c>
      <c r="C1134" s="1" t="s">
        <v>872</v>
      </c>
      <c r="D1134" s="1" t="str">
        <f t="shared" si="121"/>
        <v>89177328</v>
      </c>
      <c r="E1134" s="1" t="s">
        <v>24</v>
      </c>
      <c r="F1134" s="1" t="str">
        <f t="shared" si="122"/>
        <v>0010</v>
      </c>
      <c r="G1134" s="1" t="str">
        <f>""</f>
        <v/>
      </c>
      <c r="H1134" s="1" t="str">
        <f>"0012"</f>
        <v>0012</v>
      </c>
      <c r="I1134" s="1" t="s">
        <v>612</v>
      </c>
      <c r="J1134" s="1" t="str">
        <f>"13220184082"</f>
        <v>13220184082</v>
      </c>
      <c r="K1134" s="1" t="str">
        <f>"2017-04-04 13:26:20"</f>
        <v>2017-04-04 13:26:20</v>
      </c>
      <c r="L1134" s="1" t="str">
        <f>"-"</f>
        <v>-</v>
      </c>
      <c r="M1134" s="2">
        <v>0</v>
      </c>
      <c r="N1134" s="1" t="s">
        <v>33</v>
      </c>
      <c r="O1134" s="1" t="s">
        <v>34</v>
      </c>
      <c r="P1134" s="2">
        <v>2.3148148148148147E-5</v>
      </c>
      <c r="Q1134" s="1" t="str">
        <f>""</f>
        <v/>
      </c>
      <c r="R1134" s="1">
        <v>0</v>
      </c>
      <c r="S1134" s="1" t="str">
        <f>""</f>
        <v/>
      </c>
      <c r="T1134" s="1" t="s">
        <v>29</v>
      </c>
      <c r="U1134" s="1" t="s">
        <v>30</v>
      </c>
      <c r="V1134" s="1">
        <v>0</v>
      </c>
    </row>
    <row r="1135" spans="2:22" x14ac:dyDescent="0.15">
      <c r="B1135" s="1" t="str">
        <f>"182****5088"</f>
        <v>182****5088</v>
      </c>
      <c r="C1135" s="1" t="s">
        <v>913</v>
      </c>
      <c r="D1135" s="1" t="str">
        <f t="shared" si="121"/>
        <v>89177328</v>
      </c>
      <c r="E1135" s="1" t="s">
        <v>24</v>
      </c>
      <c r="F1135" s="1" t="str">
        <f t="shared" si="122"/>
        <v>0010</v>
      </c>
      <c r="G1135" s="1" t="str">
        <f>""</f>
        <v/>
      </c>
      <c r="H1135" s="1" t="str">
        <f>"0036"</f>
        <v>0036</v>
      </c>
      <c r="I1135" s="1" t="s">
        <v>143</v>
      </c>
      <c r="J1135" s="1" t="str">
        <f>"01043977573"</f>
        <v>01043977573</v>
      </c>
      <c r="K1135" s="1" t="str">
        <f>"2017-04-04 13:22:37"</f>
        <v>2017-04-04 13:22:37</v>
      </c>
      <c r="L1135" s="1" t="str">
        <f>"-"</f>
        <v>-</v>
      </c>
      <c r="M1135" s="2">
        <v>0</v>
      </c>
      <c r="N1135" s="1" t="s">
        <v>33</v>
      </c>
      <c r="O1135" s="1" t="s">
        <v>34</v>
      </c>
      <c r="P1135" s="2">
        <v>2.3148148148148147E-5</v>
      </c>
      <c r="Q1135" s="1" t="str">
        <f>""</f>
        <v/>
      </c>
      <c r="R1135" s="1">
        <v>0</v>
      </c>
      <c r="S1135" s="1" t="str">
        <f>""</f>
        <v/>
      </c>
      <c r="T1135" s="1" t="s">
        <v>29</v>
      </c>
      <c r="U1135" s="1" t="s">
        <v>30</v>
      </c>
      <c r="V1135" s="1">
        <v>0</v>
      </c>
    </row>
    <row r="1136" spans="2:22" x14ac:dyDescent="0.15">
      <c r="B1136" s="1" t="str">
        <f>"159****8149"</f>
        <v>159****8149</v>
      </c>
      <c r="C1136" s="1" t="s">
        <v>831</v>
      </c>
      <c r="D1136" s="1" t="str">
        <f t="shared" si="121"/>
        <v>89177328</v>
      </c>
      <c r="E1136" s="1" t="s">
        <v>24</v>
      </c>
      <c r="F1136" s="1" t="str">
        <f t="shared" si="122"/>
        <v>0010</v>
      </c>
      <c r="G1136" s="1" t="str">
        <f>""</f>
        <v/>
      </c>
      <c r="H1136" s="1" t="str">
        <f>"0012"</f>
        <v>0012</v>
      </c>
      <c r="I1136" s="1" t="s">
        <v>612</v>
      </c>
      <c r="J1136" s="1" t="str">
        <f>"13220184082"</f>
        <v>13220184082</v>
      </c>
      <c r="K1136" s="1" t="str">
        <f>"2017-04-04 13:08:59"</f>
        <v>2017-04-04 13:08:59</v>
      </c>
      <c r="L1136" s="1" t="str">
        <f>"2017-04-04 13:09:42"</f>
        <v>2017-04-04 13:09:42</v>
      </c>
      <c r="M1136" s="2">
        <v>1.0868055555555556E-2</v>
      </c>
      <c r="N1136" s="1" t="s">
        <v>26</v>
      </c>
      <c r="O1136" s="1" t="s">
        <v>34</v>
      </c>
      <c r="P1136" s="2">
        <v>1.136574074074074E-2</v>
      </c>
      <c r="Q1136" s="1" t="s">
        <v>914</v>
      </c>
      <c r="R1136" s="1">
        <v>0</v>
      </c>
      <c r="S1136" s="1" t="str">
        <f>""</f>
        <v/>
      </c>
      <c r="T1136" s="1" t="s">
        <v>29</v>
      </c>
      <c r="U1136" s="1" t="s">
        <v>30</v>
      </c>
      <c r="V1136" s="1">
        <v>0</v>
      </c>
    </row>
    <row r="1137" spans="2:22" x14ac:dyDescent="0.15">
      <c r="B1137" s="1" t="str">
        <f>"156****0346"</f>
        <v>156****0346</v>
      </c>
      <c r="C1137" s="1" t="s">
        <v>23</v>
      </c>
      <c r="D1137" s="1" t="str">
        <f t="shared" si="121"/>
        <v>89177328</v>
      </c>
      <c r="E1137" s="1" t="s">
        <v>24</v>
      </c>
      <c r="F1137" s="1" t="str">
        <f t="shared" si="122"/>
        <v>0010</v>
      </c>
      <c r="G1137" s="1" t="str">
        <f>""</f>
        <v/>
      </c>
      <c r="H1137" s="1" t="str">
        <f>"0012"</f>
        <v>0012</v>
      </c>
      <c r="I1137" s="1" t="s">
        <v>612</v>
      </c>
      <c r="J1137" s="1" t="str">
        <f>"13220184082"</f>
        <v>13220184082</v>
      </c>
      <c r="K1137" s="1" t="str">
        <f>"2017-04-04 12:54:36"</f>
        <v>2017-04-04 12:54:36</v>
      </c>
      <c r="L1137" s="1" t="str">
        <f>"2017-04-04 12:54:58"</f>
        <v>2017-04-04 12:54:58</v>
      </c>
      <c r="M1137" s="2">
        <v>2.8009259259259259E-3</v>
      </c>
      <c r="N1137" s="1" t="s">
        <v>26</v>
      </c>
      <c r="O1137" s="1" t="s">
        <v>27</v>
      </c>
      <c r="P1137" s="2">
        <v>3.0555555555555557E-3</v>
      </c>
      <c r="Q1137" s="1" t="s">
        <v>915</v>
      </c>
      <c r="R1137" s="1">
        <v>0</v>
      </c>
      <c r="S1137" s="1" t="str">
        <f>""</f>
        <v/>
      </c>
      <c r="T1137" s="1" t="s">
        <v>29</v>
      </c>
      <c r="U1137" s="1" t="s">
        <v>30</v>
      </c>
      <c r="V1137" s="1">
        <v>0</v>
      </c>
    </row>
    <row r="1138" spans="2:22" x14ac:dyDescent="0.15">
      <c r="B1138" s="1" t="str">
        <f>"137****0425"</f>
        <v>137****0425</v>
      </c>
      <c r="C1138" s="1" t="s">
        <v>23</v>
      </c>
      <c r="D1138" s="1" t="str">
        <f t="shared" si="121"/>
        <v>89177328</v>
      </c>
      <c r="E1138" s="1" t="s">
        <v>24</v>
      </c>
      <c r="F1138" s="1" t="str">
        <f t="shared" si="122"/>
        <v>0010</v>
      </c>
      <c r="G1138" s="1" t="str">
        <f>""</f>
        <v/>
      </c>
      <c r="H1138" s="1" t="str">
        <f>"0012"</f>
        <v>0012</v>
      </c>
      <c r="I1138" s="1" t="s">
        <v>612</v>
      </c>
      <c r="J1138" s="1" t="str">
        <f>"13220184082"</f>
        <v>13220184082</v>
      </c>
      <c r="K1138" s="1" t="str">
        <f>"2017-04-04 12:38:44"</f>
        <v>2017-04-04 12:38:44</v>
      </c>
      <c r="L1138" s="1" t="str">
        <f>"-"</f>
        <v>-</v>
      </c>
      <c r="M1138" s="2">
        <v>0</v>
      </c>
      <c r="N1138" s="1" t="s">
        <v>33</v>
      </c>
      <c r="O1138" s="1" t="s">
        <v>34</v>
      </c>
      <c r="P1138" s="2">
        <v>2.3148148148148147E-5</v>
      </c>
      <c r="Q1138" s="1" t="str">
        <f>""</f>
        <v/>
      </c>
      <c r="R1138" s="1">
        <v>0</v>
      </c>
      <c r="S1138" s="1" t="str">
        <f>""</f>
        <v/>
      </c>
      <c r="T1138" s="1" t="s">
        <v>29</v>
      </c>
      <c r="U1138" s="1" t="s">
        <v>30</v>
      </c>
      <c r="V1138" s="1">
        <v>0</v>
      </c>
    </row>
    <row r="1139" spans="2:22" x14ac:dyDescent="0.15">
      <c r="B1139" s="1" t="str">
        <f>"152****3983"</f>
        <v>152****3983</v>
      </c>
      <c r="C1139" s="1" t="s">
        <v>23</v>
      </c>
      <c r="D1139" s="1" t="str">
        <f t="shared" si="121"/>
        <v>89177328</v>
      </c>
      <c r="E1139" s="1" t="s">
        <v>24</v>
      </c>
      <c r="F1139" s="1" t="str">
        <f t="shared" si="122"/>
        <v>0010</v>
      </c>
      <c r="G1139" s="1" t="str">
        <f>""</f>
        <v/>
      </c>
      <c r="H1139" s="1" t="str">
        <f>"0012"</f>
        <v>0012</v>
      </c>
      <c r="I1139" s="1" t="s">
        <v>612</v>
      </c>
      <c r="J1139" s="1" t="str">
        <f>"13220184082"</f>
        <v>13220184082</v>
      </c>
      <c r="K1139" s="1" t="str">
        <f>"2017-04-04 12:32:09"</f>
        <v>2017-04-04 12:32:09</v>
      </c>
      <c r="L1139" s="1" t="str">
        <f>"-"</f>
        <v>-</v>
      </c>
      <c r="M1139" s="2">
        <v>0</v>
      </c>
      <c r="N1139" s="1" t="s">
        <v>33</v>
      </c>
      <c r="O1139" s="1" t="s">
        <v>34</v>
      </c>
      <c r="P1139" s="2">
        <v>1.25E-3</v>
      </c>
      <c r="Q1139" s="1" t="str">
        <f>""</f>
        <v/>
      </c>
      <c r="R1139" s="1">
        <v>0</v>
      </c>
      <c r="S1139" s="1" t="str">
        <f>""</f>
        <v/>
      </c>
      <c r="T1139" s="1" t="s">
        <v>29</v>
      </c>
      <c r="U1139" s="1" t="s">
        <v>30</v>
      </c>
      <c r="V1139" s="1">
        <v>0</v>
      </c>
    </row>
    <row r="1140" spans="2:22" x14ac:dyDescent="0.15">
      <c r="B1140" s="1" t="str">
        <f>"135****1961"</f>
        <v>135****1961</v>
      </c>
      <c r="C1140" s="1" t="s">
        <v>23</v>
      </c>
      <c r="D1140" s="1" t="str">
        <f t="shared" si="121"/>
        <v>89177328</v>
      </c>
      <c r="E1140" s="1" t="s">
        <v>24</v>
      </c>
      <c r="F1140" s="1" t="str">
        <f t="shared" si="122"/>
        <v>0010</v>
      </c>
      <c r="G1140" s="1" t="str">
        <f>""</f>
        <v/>
      </c>
      <c r="H1140" s="1" t="str">
        <f>"0012"</f>
        <v>0012</v>
      </c>
      <c r="I1140" s="1" t="s">
        <v>612</v>
      </c>
      <c r="J1140" s="1" t="str">
        <f>"13220184082"</f>
        <v>13220184082</v>
      </c>
      <c r="K1140" s="1" t="str">
        <f>"2017-04-04 12:10:22"</f>
        <v>2017-04-04 12:10:22</v>
      </c>
      <c r="L1140" s="1" t="str">
        <f>"2017-04-04 12:13:20"</f>
        <v>2017-04-04 12:13:20</v>
      </c>
      <c r="M1140" s="2">
        <v>1.230324074074074E-2</v>
      </c>
      <c r="N1140" s="1" t="s">
        <v>26</v>
      </c>
      <c r="O1140" s="1" t="s">
        <v>34</v>
      </c>
      <c r="P1140" s="2">
        <v>1.4363425925925925E-2</v>
      </c>
      <c r="Q1140" s="1" t="s">
        <v>916</v>
      </c>
      <c r="R1140" s="1">
        <v>0</v>
      </c>
      <c r="S1140" s="1" t="str">
        <f>""</f>
        <v/>
      </c>
      <c r="T1140" s="1" t="s">
        <v>29</v>
      </c>
      <c r="U1140" s="1" t="s">
        <v>30</v>
      </c>
      <c r="V1140" s="1">
        <v>0</v>
      </c>
    </row>
    <row r="1141" spans="2:22" x14ac:dyDescent="0.15">
      <c r="B1141" s="1" t="str">
        <f>"153****5372"</f>
        <v>153****5372</v>
      </c>
      <c r="C1141" s="1" t="s">
        <v>51</v>
      </c>
      <c r="D1141" s="1" t="str">
        <f t="shared" si="121"/>
        <v>89177328</v>
      </c>
      <c r="E1141" s="1" t="s">
        <v>24</v>
      </c>
      <c r="F1141" s="1" t="str">
        <f t="shared" si="122"/>
        <v>0010</v>
      </c>
      <c r="G1141" s="1" t="str">
        <f>""</f>
        <v/>
      </c>
      <c r="H1141" s="1" t="str">
        <f>"0036"</f>
        <v>0036</v>
      </c>
      <c r="I1141" s="1" t="s">
        <v>143</v>
      </c>
      <c r="J1141" s="1" t="str">
        <f>"01043977573"</f>
        <v>01043977573</v>
      </c>
      <c r="K1141" s="1" t="str">
        <f>"2017-04-04 12:04:14"</f>
        <v>2017-04-04 12:04:14</v>
      </c>
      <c r="L1141" s="1" t="str">
        <f>"-"</f>
        <v>-</v>
      </c>
      <c r="M1141" s="2">
        <v>0</v>
      </c>
      <c r="N1141" s="1" t="s">
        <v>33</v>
      </c>
      <c r="O1141" s="1" t="s">
        <v>27</v>
      </c>
      <c r="P1141" s="2">
        <v>3.5648148148148154E-3</v>
      </c>
      <c r="Q1141" s="1" t="str">
        <f>""</f>
        <v/>
      </c>
      <c r="R1141" s="1">
        <v>0</v>
      </c>
      <c r="S1141" s="1" t="str">
        <f>""</f>
        <v/>
      </c>
      <c r="T1141" s="1" t="s">
        <v>29</v>
      </c>
      <c r="U1141" s="1" t="s">
        <v>30</v>
      </c>
      <c r="V1141" s="1">
        <v>0</v>
      </c>
    </row>
    <row r="1142" spans="2:22" x14ac:dyDescent="0.15">
      <c r="B1142" s="1" t="str">
        <f>"153****5372"</f>
        <v>153****5372</v>
      </c>
      <c r="C1142" s="1" t="s">
        <v>51</v>
      </c>
      <c r="D1142" s="1" t="str">
        <f t="shared" si="121"/>
        <v>89177328</v>
      </c>
      <c r="E1142" s="1" t="s">
        <v>24</v>
      </c>
      <c r="F1142" s="1" t="str">
        <f t="shared" si="122"/>
        <v>0010</v>
      </c>
      <c r="G1142" s="1" t="str">
        <f>""</f>
        <v/>
      </c>
      <c r="H1142" s="1" t="str">
        <f>"0036"</f>
        <v>0036</v>
      </c>
      <c r="I1142" s="1" t="s">
        <v>143</v>
      </c>
      <c r="J1142" s="1" t="str">
        <f>"01043977573"</f>
        <v>01043977573</v>
      </c>
      <c r="K1142" s="1" t="str">
        <f>"2017-04-04 11:55:46"</f>
        <v>2017-04-04 11:55:46</v>
      </c>
      <c r="L1142" s="1" t="str">
        <f>"-"</f>
        <v>-</v>
      </c>
      <c r="M1142" s="2">
        <v>0</v>
      </c>
      <c r="N1142" s="1" t="s">
        <v>33</v>
      </c>
      <c r="O1142" s="1" t="s">
        <v>27</v>
      </c>
      <c r="P1142" s="2">
        <v>3.5185185185185185E-3</v>
      </c>
      <c r="Q1142" s="1" t="str">
        <f>""</f>
        <v/>
      </c>
      <c r="R1142" s="1">
        <v>0</v>
      </c>
      <c r="S1142" s="1" t="str">
        <f>""</f>
        <v/>
      </c>
      <c r="T1142" s="1" t="s">
        <v>29</v>
      </c>
      <c r="U1142" s="1" t="s">
        <v>30</v>
      </c>
      <c r="V1142" s="1">
        <v>0</v>
      </c>
    </row>
    <row r="1143" spans="2:22" x14ac:dyDescent="0.15">
      <c r="B1143" s="1" t="str">
        <f>"153****5372"</f>
        <v>153****5372</v>
      </c>
      <c r="C1143" s="1" t="s">
        <v>51</v>
      </c>
      <c r="D1143" s="1" t="str">
        <f t="shared" si="121"/>
        <v>89177328</v>
      </c>
      <c r="E1143" s="1" t="s">
        <v>24</v>
      </c>
      <c r="F1143" s="1" t="str">
        <f t="shared" si="122"/>
        <v>0010</v>
      </c>
      <c r="G1143" s="1" t="str">
        <f>""</f>
        <v/>
      </c>
      <c r="H1143" s="1" t="str">
        <f>"0036"</f>
        <v>0036</v>
      </c>
      <c r="I1143" s="1" t="s">
        <v>143</v>
      </c>
      <c r="J1143" s="1" t="str">
        <f>"01043977573"</f>
        <v>01043977573</v>
      </c>
      <c r="K1143" s="1" t="str">
        <f>"2017-04-04 11:52:08"</f>
        <v>2017-04-04 11:52:08</v>
      </c>
      <c r="L1143" s="1" t="str">
        <f>"-"</f>
        <v>-</v>
      </c>
      <c r="M1143" s="2">
        <v>0</v>
      </c>
      <c r="N1143" s="1" t="s">
        <v>33</v>
      </c>
      <c r="O1143" s="1" t="s">
        <v>34</v>
      </c>
      <c r="P1143" s="2">
        <v>1.2847222222222223E-3</v>
      </c>
      <c r="Q1143" s="1" t="str">
        <f>""</f>
        <v/>
      </c>
      <c r="R1143" s="1">
        <v>0</v>
      </c>
      <c r="S1143" s="1" t="str">
        <f>""</f>
        <v/>
      </c>
      <c r="T1143" s="1" t="s">
        <v>29</v>
      </c>
      <c r="U1143" s="1" t="s">
        <v>30</v>
      </c>
      <c r="V1143" s="1">
        <v>0</v>
      </c>
    </row>
    <row r="1144" spans="2:22" x14ac:dyDescent="0.15">
      <c r="B1144" s="1" t="str">
        <f>"010****1068"</f>
        <v>010****1068</v>
      </c>
      <c r="C1144" s="1" t="s">
        <v>23</v>
      </c>
      <c r="D1144" s="1" t="str">
        <f t="shared" si="121"/>
        <v>89177328</v>
      </c>
      <c r="E1144" s="1" t="s">
        <v>24</v>
      </c>
      <c r="F1144" s="1" t="str">
        <f t="shared" si="122"/>
        <v>0010</v>
      </c>
      <c r="G1144" s="1" t="str">
        <f>""</f>
        <v/>
      </c>
      <c r="H1144" s="1" t="str">
        <f>""</f>
        <v/>
      </c>
      <c r="I1144" s="1" t="str">
        <f>""</f>
        <v/>
      </c>
      <c r="J1144" s="1" t="str">
        <f>""</f>
        <v/>
      </c>
      <c r="K1144" s="1" t="str">
        <f>"2017-04-04 11:18:44"</f>
        <v>2017-04-04 11:18:44</v>
      </c>
      <c r="L1144" s="1" t="str">
        <f>"-"</f>
        <v>-</v>
      </c>
      <c r="M1144" s="2">
        <v>0</v>
      </c>
      <c r="N1144" s="1" t="s">
        <v>55</v>
      </c>
      <c r="O1144" s="1" t="s">
        <v>34</v>
      </c>
      <c r="P1144" s="2">
        <v>1.2731481481481483E-3</v>
      </c>
      <c r="Q1144" s="1" t="str">
        <f>""</f>
        <v/>
      </c>
      <c r="R1144" s="1">
        <v>0</v>
      </c>
      <c r="S1144" s="1" t="str">
        <f>""</f>
        <v/>
      </c>
      <c r="T1144" s="1" t="s">
        <v>29</v>
      </c>
      <c r="U1144" s="1" t="s">
        <v>30</v>
      </c>
      <c r="V1144" s="1">
        <v>0</v>
      </c>
    </row>
    <row r="1145" spans="2:22" x14ac:dyDescent="0.15">
      <c r="B1145" s="1" t="str">
        <f>"150****5387"</f>
        <v>150****5387</v>
      </c>
      <c r="C1145" s="1" t="s">
        <v>917</v>
      </c>
      <c r="D1145" s="1" t="str">
        <f t="shared" si="121"/>
        <v>89177328</v>
      </c>
      <c r="E1145" s="1" t="s">
        <v>24</v>
      </c>
      <c r="F1145" s="1" t="str">
        <f t="shared" si="122"/>
        <v>0010</v>
      </c>
      <c r="G1145" s="1" t="str">
        <f>""</f>
        <v/>
      </c>
      <c r="H1145" s="1" t="str">
        <f>"0034"</f>
        <v>0034</v>
      </c>
      <c r="I1145" s="1" t="s">
        <v>31</v>
      </c>
      <c r="J1145" s="1" t="str">
        <f>"01043977568"</f>
        <v>01043977568</v>
      </c>
      <c r="K1145" s="1" t="str">
        <f>"2017-04-04 11:16:47"</f>
        <v>2017-04-04 11:16:47</v>
      </c>
      <c r="L1145" s="1" t="str">
        <f>"2017-04-04 11:16:57"</f>
        <v>2017-04-04 11:16:57</v>
      </c>
      <c r="M1145" s="2">
        <v>8.9467592592592585E-3</v>
      </c>
      <c r="N1145" s="1" t="s">
        <v>26</v>
      </c>
      <c r="O1145" s="1" t="s">
        <v>34</v>
      </c>
      <c r="P1145" s="2">
        <v>9.0624999999999994E-3</v>
      </c>
      <c r="Q1145" s="1" t="s">
        <v>918</v>
      </c>
      <c r="R1145" s="1">
        <v>0</v>
      </c>
      <c r="S1145" s="1" t="str">
        <f>""</f>
        <v/>
      </c>
      <c r="T1145" s="1" t="s">
        <v>29</v>
      </c>
      <c r="U1145" s="1" t="s">
        <v>30</v>
      </c>
      <c r="V1145" s="1">
        <v>0</v>
      </c>
    </row>
    <row r="1146" spans="2:22" x14ac:dyDescent="0.15">
      <c r="B1146" s="1" t="str">
        <f>"173****3095"</f>
        <v>173****3095</v>
      </c>
      <c r="C1146" s="1" t="s">
        <v>23</v>
      </c>
      <c r="D1146" s="1" t="str">
        <f t="shared" si="121"/>
        <v>89177328</v>
      </c>
      <c r="E1146" s="1" t="s">
        <v>24</v>
      </c>
      <c r="F1146" s="1" t="str">
        <f t="shared" si="122"/>
        <v>0010</v>
      </c>
      <c r="G1146" s="1" t="str">
        <f>""</f>
        <v/>
      </c>
      <c r="H1146" s="1" t="str">
        <f>"0036"</f>
        <v>0036</v>
      </c>
      <c r="I1146" s="1" t="s">
        <v>143</v>
      </c>
      <c r="J1146" s="1" t="str">
        <f>"01043977573"</f>
        <v>01043977573</v>
      </c>
      <c r="K1146" s="1" t="str">
        <f>"2017-04-04 11:03:44"</f>
        <v>2017-04-04 11:03:44</v>
      </c>
      <c r="L1146" s="1" t="str">
        <f>"2017-04-04 11:07:16"</f>
        <v>2017-04-04 11:07:16</v>
      </c>
      <c r="M1146" s="2">
        <v>2.1331018518518517E-2</v>
      </c>
      <c r="N1146" s="1" t="s">
        <v>26</v>
      </c>
      <c r="O1146" s="1" t="s">
        <v>34</v>
      </c>
      <c r="P1146" s="2">
        <v>2.3784722222222221E-2</v>
      </c>
      <c r="Q1146" s="1" t="s">
        <v>919</v>
      </c>
      <c r="R1146" s="1">
        <v>0</v>
      </c>
      <c r="S1146" s="1" t="str">
        <f>""</f>
        <v/>
      </c>
      <c r="T1146" s="1" t="s">
        <v>29</v>
      </c>
      <c r="U1146" s="1" t="s">
        <v>30</v>
      </c>
      <c r="V1146" s="1">
        <v>0</v>
      </c>
    </row>
    <row r="1147" spans="2:22" x14ac:dyDescent="0.15">
      <c r="B1147" s="1" t="str">
        <f>"186****8065"</f>
        <v>186****8065</v>
      </c>
      <c r="C1147" s="1" t="s">
        <v>23</v>
      </c>
      <c r="D1147" s="1" t="str">
        <f t="shared" si="121"/>
        <v>89177328</v>
      </c>
      <c r="E1147" s="1" t="s">
        <v>24</v>
      </c>
      <c r="F1147" s="1" t="str">
        <f t="shared" si="122"/>
        <v>0010</v>
      </c>
      <c r="G1147" s="1" t="str">
        <f>""</f>
        <v/>
      </c>
      <c r="H1147" s="1" t="str">
        <f>"0034"</f>
        <v>0034</v>
      </c>
      <c r="I1147" s="1" t="s">
        <v>31</v>
      </c>
      <c r="J1147" s="1" t="str">
        <f>"01043977568"</f>
        <v>01043977568</v>
      </c>
      <c r="K1147" s="1" t="str">
        <f>"2017-04-04 10:56:13"</f>
        <v>2017-04-04 10:56:13</v>
      </c>
      <c r="L1147" s="1" t="str">
        <f>"2017-04-04 10:57:01"</f>
        <v>2017-04-04 10:57:01</v>
      </c>
      <c r="M1147" s="2">
        <v>1.1400462962962965E-2</v>
      </c>
      <c r="N1147" s="1" t="s">
        <v>26</v>
      </c>
      <c r="O1147" s="1" t="s">
        <v>34</v>
      </c>
      <c r="P1147" s="2">
        <v>1.1956018518518517E-2</v>
      </c>
      <c r="Q1147" s="1" t="s">
        <v>920</v>
      </c>
      <c r="R1147" s="1">
        <v>0</v>
      </c>
      <c r="S1147" s="1" t="str">
        <f>""</f>
        <v/>
      </c>
      <c r="T1147" s="1" t="s">
        <v>29</v>
      </c>
      <c r="U1147" s="1" t="s">
        <v>30</v>
      </c>
      <c r="V1147" s="1">
        <v>0</v>
      </c>
    </row>
    <row r="1148" spans="2:22" x14ac:dyDescent="0.15">
      <c r="B1148" s="1" t="str">
        <f>"186****8065"</f>
        <v>186****8065</v>
      </c>
      <c r="C1148" s="1" t="s">
        <v>23</v>
      </c>
      <c r="D1148" s="1" t="str">
        <f t="shared" si="121"/>
        <v>89177328</v>
      </c>
      <c r="E1148" s="1" t="s">
        <v>24</v>
      </c>
      <c r="F1148" s="1" t="str">
        <f t="shared" si="122"/>
        <v>0010</v>
      </c>
      <c r="G1148" s="1" t="str">
        <f>""</f>
        <v/>
      </c>
      <c r="H1148" s="1" t="str">
        <f>""</f>
        <v/>
      </c>
      <c r="I1148" s="1" t="str">
        <f>""</f>
        <v/>
      </c>
      <c r="J1148" s="1" t="str">
        <f>""</f>
        <v/>
      </c>
      <c r="K1148" s="1" t="str">
        <f>"2017-04-04 10:46:27"</f>
        <v>2017-04-04 10:46:27</v>
      </c>
      <c r="L1148" s="1" t="str">
        <f>"-"</f>
        <v>-</v>
      </c>
      <c r="M1148" s="2">
        <v>0</v>
      </c>
      <c r="N1148" s="1" t="s">
        <v>55</v>
      </c>
      <c r="O1148" s="1" t="s">
        <v>34</v>
      </c>
      <c r="P1148" s="2">
        <v>2.3148148148148151E-3</v>
      </c>
      <c r="Q1148" s="1" t="str">
        <f>""</f>
        <v/>
      </c>
      <c r="R1148" s="1">
        <v>0</v>
      </c>
      <c r="S1148" s="1" t="str">
        <f>""</f>
        <v/>
      </c>
      <c r="T1148" s="1" t="s">
        <v>29</v>
      </c>
      <c r="U1148" s="1" t="s">
        <v>30</v>
      </c>
      <c r="V1148" s="1">
        <v>0</v>
      </c>
    </row>
    <row r="1149" spans="2:22" x14ac:dyDescent="0.15">
      <c r="B1149" s="1" t="str">
        <f>"0411****2082"</f>
        <v>0411****2082</v>
      </c>
      <c r="C1149" s="1" t="s">
        <v>127</v>
      </c>
      <c r="D1149" s="1" t="str">
        <f t="shared" si="121"/>
        <v>89177328</v>
      </c>
      <c r="E1149" s="1" t="s">
        <v>24</v>
      </c>
      <c r="F1149" s="1" t="str">
        <f t="shared" si="122"/>
        <v>0010</v>
      </c>
      <c r="G1149" s="1" t="str">
        <f>""</f>
        <v/>
      </c>
      <c r="H1149" s="1" t="str">
        <f>"0012"</f>
        <v>0012</v>
      </c>
      <c r="I1149" s="1" t="s">
        <v>612</v>
      </c>
      <c r="J1149" s="1" t="str">
        <f>"01043989720"</f>
        <v>01043989720</v>
      </c>
      <c r="K1149" s="1" t="str">
        <f>"2017-04-04 10:46:00"</f>
        <v>2017-04-04 10:46:00</v>
      </c>
      <c r="L1149" s="1" t="str">
        <f>"2017-04-04 10:46:12"</f>
        <v>2017-04-04 10:46:12</v>
      </c>
      <c r="M1149" s="2">
        <v>1.5706018518518518E-2</v>
      </c>
      <c r="N1149" s="1" t="s">
        <v>26</v>
      </c>
      <c r="O1149" s="1" t="s">
        <v>34</v>
      </c>
      <c r="P1149" s="2">
        <v>1.5844907407407408E-2</v>
      </c>
      <c r="Q1149" s="1" t="s">
        <v>921</v>
      </c>
      <c r="R1149" s="1">
        <v>0</v>
      </c>
      <c r="S1149" s="1" t="str">
        <f>""</f>
        <v/>
      </c>
      <c r="T1149" s="1" t="s">
        <v>29</v>
      </c>
      <c r="U1149" s="1" t="s">
        <v>30</v>
      </c>
      <c r="V1149" s="1">
        <v>0</v>
      </c>
    </row>
    <row r="1150" spans="2:22" x14ac:dyDescent="0.15">
      <c r="B1150" s="1" t="str">
        <f>"010****1916"</f>
        <v>010****1916</v>
      </c>
      <c r="C1150" s="1" t="s">
        <v>23</v>
      </c>
      <c r="D1150" s="1" t="str">
        <f t="shared" si="121"/>
        <v>89177328</v>
      </c>
      <c r="E1150" s="1" t="s">
        <v>24</v>
      </c>
      <c r="F1150" s="1" t="str">
        <f t="shared" si="122"/>
        <v>0010</v>
      </c>
      <c r="G1150" s="1" t="str">
        <f>""</f>
        <v/>
      </c>
      <c r="H1150" s="1" t="str">
        <f>"0036"</f>
        <v>0036</v>
      </c>
      <c r="I1150" s="1" t="s">
        <v>143</v>
      </c>
      <c r="J1150" s="1" t="str">
        <f>"01043977573"</f>
        <v>01043977573</v>
      </c>
      <c r="K1150" s="1" t="str">
        <f>"2017-04-04 10:35:38"</f>
        <v>2017-04-04 10:35:38</v>
      </c>
      <c r="L1150" s="1" t="str">
        <f>"2017-04-04 10:35:42"</f>
        <v>2017-04-04 10:35:42</v>
      </c>
      <c r="M1150" s="2">
        <v>2.1770833333333336E-2</v>
      </c>
      <c r="N1150" s="1" t="s">
        <v>26</v>
      </c>
      <c r="O1150" s="1" t="s">
        <v>34</v>
      </c>
      <c r="P1150" s="2">
        <v>2.1817129629629631E-2</v>
      </c>
      <c r="Q1150" s="1" t="s">
        <v>922</v>
      </c>
      <c r="R1150" s="1">
        <v>0</v>
      </c>
      <c r="S1150" s="1" t="str">
        <f>""</f>
        <v/>
      </c>
      <c r="T1150" s="1" t="s">
        <v>29</v>
      </c>
      <c r="U1150" s="1" t="s">
        <v>30</v>
      </c>
      <c r="V1150" s="1">
        <v>0</v>
      </c>
    </row>
    <row r="1151" spans="2:22" x14ac:dyDescent="0.15">
      <c r="B1151" s="1" t="str">
        <f>"186****6536"</f>
        <v>186****6536</v>
      </c>
      <c r="C1151" s="1" t="s">
        <v>923</v>
      </c>
      <c r="D1151" s="1" t="str">
        <f t="shared" si="121"/>
        <v>89177328</v>
      </c>
      <c r="E1151" s="1" t="s">
        <v>24</v>
      </c>
      <c r="F1151" s="1" t="str">
        <f t="shared" si="122"/>
        <v>0010</v>
      </c>
      <c r="G1151" s="1" t="str">
        <f>""</f>
        <v/>
      </c>
      <c r="H1151" s="1" t="str">
        <f>"0034"</f>
        <v>0034</v>
      </c>
      <c r="I1151" s="1" t="s">
        <v>31</v>
      </c>
      <c r="J1151" s="1" t="str">
        <f>"01043977568"</f>
        <v>01043977568</v>
      </c>
      <c r="K1151" s="1" t="str">
        <f>"2017-04-04 10:33:34"</f>
        <v>2017-04-04 10:33:34</v>
      </c>
      <c r="L1151" s="1" t="str">
        <f>"2017-04-04 10:33:42"</f>
        <v>2017-04-04 10:33:42</v>
      </c>
      <c r="M1151" s="2">
        <v>1.5983796296296295E-2</v>
      </c>
      <c r="N1151" s="1" t="s">
        <v>26</v>
      </c>
      <c r="O1151" s="1" t="s">
        <v>34</v>
      </c>
      <c r="P1151" s="2">
        <v>1.6076388888888887E-2</v>
      </c>
      <c r="Q1151" s="1" t="s">
        <v>924</v>
      </c>
      <c r="R1151" s="1">
        <v>0</v>
      </c>
      <c r="S1151" s="1" t="str">
        <f>""</f>
        <v/>
      </c>
      <c r="T1151" s="1" t="s">
        <v>29</v>
      </c>
      <c r="U1151" s="1" t="s">
        <v>30</v>
      </c>
      <c r="V1151" s="1">
        <v>0</v>
      </c>
    </row>
    <row r="1152" spans="2:22" x14ac:dyDescent="0.15">
      <c r="B1152" s="1" t="str">
        <f>"186****1809"</f>
        <v>186****1809</v>
      </c>
      <c r="C1152" s="1" t="s">
        <v>99</v>
      </c>
      <c r="D1152" s="1" t="str">
        <f t="shared" si="121"/>
        <v>89177328</v>
      </c>
      <c r="E1152" s="1" t="s">
        <v>24</v>
      </c>
      <c r="F1152" s="1" t="str">
        <f t="shared" si="122"/>
        <v>0010</v>
      </c>
      <c r="G1152" s="1" t="str">
        <f>""</f>
        <v/>
      </c>
      <c r="H1152" s="1" t="str">
        <f>"0012"</f>
        <v>0012</v>
      </c>
      <c r="I1152" s="1" t="s">
        <v>612</v>
      </c>
      <c r="J1152" s="1" t="str">
        <f>"01043989720"</f>
        <v>01043989720</v>
      </c>
      <c r="K1152" s="1" t="str">
        <f>"2017-04-04 10:24:48"</f>
        <v>2017-04-04 10:24:48</v>
      </c>
      <c r="L1152" s="1" t="str">
        <f>"2017-04-04 10:25:02"</f>
        <v>2017-04-04 10:25:02</v>
      </c>
      <c r="M1152" s="2">
        <v>3.5879629629629629E-3</v>
      </c>
      <c r="N1152" s="1" t="s">
        <v>26</v>
      </c>
      <c r="O1152" s="1" t="s">
        <v>34</v>
      </c>
      <c r="P1152" s="2">
        <v>3.7500000000000003E-3</v>
      </c>
      <c r="Q1152" s="1" t="s">
        <v>925</v>
      </c>
      <c r="R1152" s="1">
        <v>0</v>
      </c>
      <c r="S1152" s="1" t="str">
        <f>""</f>
        <v/>
      </c>
      <c r="T1152" s="1" t="s">
        <v>29</v>
      </c>
      <c r="U1152" s="1" t="s">
        <v>30</v>
      </c>
      <c r="V1152" s="1">
        <v>0</v>
      </c>
    </row>
    <row r="1153" spans="2:22" x14ac:dyDescent="0.15">
      <c r="B1153" s="1" t="str">
        <f>"180****3557"</f>
        <v>180****3557</v>
      </c>
      <c r="C1153" s="1" t="s">
        <v>51</v>
      </c>
      <c r="D1153" s="1" t="str">
        <f t="shared" si="121"/>
        <v>89177328</v>
      </c>
      <c r="E1153" s="1" t="s">
        <v>24</v>
      </c>
      <c r="F1153" s="1" t="str">
        <f t="shared" si="122"/>
        <v>0010</v>
      </c>
      <c r="G1153" s="1" t="str">
        <f>""</f>
        <v/>
      </c>
      <c r="H1153" s="1" t="str">
        <f>"0036"</f>
        <v>0036</v>
      </c>
      <c r="I1153" s="1" t="s">
        <v>143</v>
      </c>
      <c r="J1153" s="1" t="str">
        <f>"01043977573"</f>
        <v>01043977573</v>
      </c>
      <c r="K1153" s="1" t="str">
        <f>"2017-04-04 10:04:50"</f>
        <v>2017-04-04 10:04:50</v>
      </c>
      <c r="L1153" s="1" t="str">
        <f>"2017-04-04 10:04:56"</f>
        <v>2017-04-04 10:04:56</v>
      </c>
      <c r="M1153" s="2">
        <v>1.9583333333333331E-2</v>
      </c>
      <c r="N1153" s="1" t="s">
        <v>26</v>
      </c>
      <c r="O1153" s="1" t="s">
        <v>34</v>
      </c>
      <c r="P1153" s="2">
        <v>1.9652777777777779E-2</v>
      </c>
      <c r="Q1153" s="1" t="s">
        <v>926</v>
      </c>
      <c r="R1153" s="1">
        <v>0</v>
      </c>
      <c r="S1153" s="1" t="str">
        <f>""</f>
        <v/>
      </c>
      <c r="T1153" s="1" t="s">
        <v>29</v>
      </c>
      <c r="U1153" s="1" t="s">
        <v>30</v>
      </c>
      <c r="V1153" s="1">
        <v>0</v>
      </c>
    </row>
    <row r="1154" spans="2:22" x14ac:dyDescent="0.15">
      <c r="B1154" s="1" t="str">
        <f>"159****9105"</f>
        <v>159****9105</v>
      </c>
      <c r="C1154" s="1" t="s">
        <v>23</v>
      </c>
      <c r="D1154" s="1" t="str">
        <f t="shared" si="121"/>
        <v>89177328</v>
      </c>
      <c r="E1154" s="1" t="s">
        <v>24</v>
      </c>
      <c r="F1154" s="1" t="str">
        <f t="shared" si="122"/>
        <v>0010</v>
      </c>
      <c r="G1154" s="1" t="str">
        <f>""</f>
        <v/>
      </c>
      <c r="H1154" s="1" t="str">
        <f>"0034"</f>
        <v>0034</v>
      </c>
      <c r="I1154" s="1" t="s">
        <v>31</v>
      </c>
      <c r="J1154" s="1" t="str">
        <f>"01043977568"</f>
        <v>01043977568</v>
      </c>
      <c r="K1154" s="1" t="str">
        <f>"2017-04-04 10:04:26"</f>
        <v>2017-04-04 10:04:26</v>
      </c>
      <c r="L1154" s="1" t="str">
        <f>"2017-04-04 10:04:39"</f>
        <v>2017-04-04 10:04:39</v>
      </c>
      <c r="M1154" s="2">
        <v>5.9027777777777776E-3</v>
      </c>
      <c r="N1154" s="1" t="s">
        <v>26</v>
      </c>
      <c r="O1154" s="1" t="s">
        <v>27</v>
      </c>
      <c r="P1154" s="2">
        <v>6.053240740740741E-3</v>
      </c>
      <c r="Q1154" s="1" t="s">
        <v>927</v>
      </c>
      <c r="R1154" s="1">
        <v>0</v>
      </c>
      <c r="S1154" s="1" t="str">
        <f>""</f>
        <v/>
      </c>
      <c r="T1154" s="1" t="s">
        <v>29</v>
      </c>
      <c r="U1154" s="1" t="s">
        <v>30</v>
      </c>
      <c r="V1154" s="1">
        <v>0</v>
      </c>
    </row>
    <row r="1155" spans="2:22" x14ac:dyDescent="0.15">
      <c r="B1155" s="1" t="str">
        <f>"151****1103"</f>
        <v>151****1103</v>
      </c>
      <c r="C1155" s="1" t="s">
        <v>23</v>
      </c>
      <c r="D1155" s="1" t="str">
        <f t="shared" si="121"/>
        <v>89177328</v>
      </c>
      <c r="E1155" s="1" t="s">
        <v>24</v>
      </c>
      <c r="F1155" s="1" t="str">
        <f t="shared" si="122"/>
        <v>0010</v>
      </c>
      <c r="G1155" s="1" t="str">
        <f>""</f>
        <v/>
      </c>
      <c r="H1155" s="1" t="str">
        <f>"0012"</f>
        <v>0012</v>
      </c>
      <c r="I1155" s="1" t="s">
        <v>612</v>
      </c>
      <c r="J1155" s="1" t="str">
        <f>"01043989720"</f>
        <v>01043989720</v>
      </c>
      <c r="K1155" s="1" t="str">
        <f>"2017-04-04 09:51:16"</f>
        <v>2017-04-04 09:51:16</v>
      </c>
      <c r="L1155" s="1" t="str">
        <f>"2017-04-04 09:51:26"</f>
        <v>2017-04-04 09:51:26</v>
      </c>
      <c r="M1155" s="2">
        <v>1.6631944444444446E-2</v>
      </c>
      <c r="N1155" s="1" t="s">
        <v>26</v>
      </c>
      <c r="O1155" s="1" t="s">
        <v>27</v>
      </c>
      <c r="P1155" s="2">
        <v>1.6747685185185185E-2</v>
      </c>
      <c r="Q1155" s="1" t="s">
        <v>928</v>
      </c>
      <c r="R1155" s="1">
        <v>0</v>
      </c>
      <c r="S1155" s="1" t="str">
        <f>""</f>
        <v/>
      </c>
      <c r="T1155" s="1" t="s">
        <v>29</v>
      </c>
      <c r="U1155" s="1" t="s">
        <v>30</v>
      </c>
      <c r="V1155" s="1">
        <v>0</v>
      </c>
    </row>
    <row r="1156" spans="2:22" x14ac:dyDescent="0.15">
      <c r="B1156" s="1" t="str">
        <f>"010****4760"</f>
        <v>010****4760</v>
      </c>
      <c r="C1156" s="1" t="s">
        <v>23</v>
      </c>
      <c r="D1156" s="1" t="str">
        <f t="shared" si="121"/>
        <v>89177328</v>
      </c>
      <c r="E1156" s="1" t="s">
        <v>24</v>
      </c>
      <c r="F1156" s="1" t="str">
        <f t="shared" si="122"/>
        <v>0010</v>
      </c>
      <c r="G1156" s="1" t="str">
        <f>""</f>
        <v/>
      </c>
      <c r="H1156" s="1" t="str">
        <f>"0034"</f>
        <v>0034</v>
      </c>
      <c r="I1156" s="1" t="s">
        <v>31</v>
      </c>
      <c r="J1156" s="1" t="str">
        <f>"01043977568"</f>
        <v>01043977568</v>
      </c>
      <c r="K1156" s="1" t="str">
        <f>"2017-04-04 09:42:12"</f>
        <v>2017-04-04 09:42:12</v>
      </c>
      <c r="L1156" s="1" t="str">
        <f>"2017-04-04 09:42:23"</f>
        <v>2017-04-04 09:42:23</v>
      </c>
      <c r="M1156" s="2">
        <v>8.6805555555555559E-3</v>
      </c>
      <c r="N1156" s="1" t="s">
        <v>26</v>
      </c>
      <c r="O1156" s="1" t="s">
        <v>34</v>
      </c>
      <c r="P1156" s="2">
        <v>8.8078703703703704E-3</v>
      </c>
      <c r="Q1156" s="1" t="s">
        <v>929</v>
      </c>
      <c r="R1156" s="1">
        <v>0</v>
      </c>
      <c r="S1156" s="1" t="str">
        <f>""</f>
        <v/>
      </c>
      <c r="T1156" s="1" t="s">
        <v>29</v>
      </c>
      <c r="U1156" s="1" t="s">
        <v>30</v>
      </c>
      <c r="V1156" s="1">
        <v>0</v>
      </c>
    </row>
    <row r="1157" spans="2:22" x14ac:dyDescent="0.15">
      <c r="B1157" s="1" t="str">
        <f>"010****5615"</f>
        <v>010****5615</v>
      </c>
      <c r="C1157" s="1" t="s">
        <v>23</v>
      </c>
      <c r="D1157" s="1" t="str">
        <f t="shared" si="121"/>
        <v>89177328</v>
      </c>
      <c r="E1157" s="1" t="s">
        <v>24</v>
      </c>
      <c r="F1157" s="1" t="str">
        <f t="shared" si="122"/>
        <v>0010</v>
      </c>
      <c r="G1157" s="1" t="str">
        <f>""</f>
        <v/>
      </c>
      <c r="H1157" s="1" t="str">
        <f>"0012"</f>
        <v>0012</v>
      </c>
      <c r="I1157" s="1" t="s">
        <v>612</v>
      </c>
      <c r="J1157" s="1" t="str">
        <f>"01043989720"</f>
        <v>01043989720</v>
      </c>
      <c r="K1157" s="1" t="str">
        <f>"2017-04-04 09:35:39"</f>
        <v>2017-04-04 09:35:39</v>
      </c>
      <c r="L1157" s="1" t="str">
        <f>"2017-04-04 09:35:51"</f>
        <v>2017-04-04 09:35:51</v>
      </c>
      <c r="M1157" s="2">
        <v>8.0092592592592594E-3</v>
      </c>
      <c r="N1157" s="1" t="s">
        <v>26</v>
      </c>
      <c r="O1157" s="1" t="s">
        <v>34</v>
      </c>
      <c r="P1157" s="2">
        <v>8.1481481481481474E-3</v>
      </c>
      <c r="Q1157" s="1" t="s">
        <v>930</v>
      </c>
      <c r="R1157" s="1">
        <v>0</v>
      </c>
      <c r="S1157" s="1" t="str">
        <f>""</f>
        <v/>
      </c>
      <c r="T1157" s="1" t="s">
        <v>29</v>
      </c>
      <c r="U1157" s="1" t="s">
        <v>30</v>
      </c>
      <c r="V1157" s="1">
        <v>0</v>
      </c>
    </row>
    <row r="1158" spans="2:22" x14ac:dyDescent="0.15">
      <c r="B1158" s="1" t="str">
        <f>"136****7677"</f>
        <v>136****7677</v>
      </c>
      <c r="C1158" s="1" t="s">
        <v>23</v>
      </c>
      <c r="D1158" s="1" t="str">
        <f t="shared" si="121"/>
        <v>89177328</v>
      </c>
      <c r="E1158" s="1" t="s">
        <v>24</v>
      </c>
      <c r="F1158" s="1" t="str">
        <f t="shared" si="122"/>
        <v>0010</v>
      </c>
      <c r="G1158" s="1" t="str">
        <f>""</f>
        <v/>
      </c>
      <c r="H1158" s="1" t="str">
        <f>"0036"</f>
        <v>0036</v>
      </c>
      <c r="I1158" s="1" t="s">
        <v>143</v>
      </c>
      <c r="J1158" s="1" t="str">
        <f>"01043977573"</f>
        <v>01043977573</v>
      </c>
      <c r="K1158" s="1" t="str">
        <f>"2017-04-04 09:29:51"</f>
        <v>2017-04-04 09:29:51</v>
      </c>
      <c r="L1158" s="1" t="str">
        <f>"2017-04-04 09:29:58"</f>
        <v>2017-04-04 09:29:58</v>
      </c>
      <c r="M1158" s="2">
        <v>1.5925925925925927E-2</v>
      </c>
      <c r="N1158" s="1" t="s">
        <v>26</v>
      </c>
      <c r="O1158" s="1" t="s">
        <v>34</v>
      </c>
      <c r="P1158" s="2">
        <v>1.6006944444444445E-2</v>
      </c>
      <c r="Q1158" s="1" t="s">
        <v>931</v>
      </c>
      <c r="R1158" s="1">
        <v>0</v>
      </c>
      <c r="S1158" s="1" t="str">
        <f>""</f>
        <v/>
      </c>
      <c r="T1158" s="1" t="s">
        <v>29</v>
      </c>
      <c r="U1158" s="1" t="s">
        <v>30</v>
      </c>
      <c r="V1158" s="1">
        <v>0</v>
      </c>
    </row>
    <row r="1159" spans="2:22" x14ac:dyDescent="0.15">
      <c r="B1159" s="1" t="str">
        <f>"170****4356"</f>
        <v>170****4356</v>
      </c>
      <c r="C1159" s="1" t="s">
        <v>23</v>
      </c>
      <c r="D1159" s="1" t="str">
        <f t="shared" si="121"/>
        <v>89177328</v>
      </c>
      <c r="E1159" s="1" t="s">
        <v>24</v>
      </c>
      <c r="F1159" s="1" t="str">
        <f t="shared" si="122"/>
        <v>0010</v>
      </c>
      <c r="G1159" s="1" t="str">
        <f>""</f>
        <v/>
      </c>
      <c r="H1159" s="1" t="str">
        <f>"0012"</f>
        <v>0012</v>
      </c>
      <c r="I1159" s="1" t="s">
        <v>612</v>
      </c>
      <c r="J1159" s="1" t="str">
        <f>"01043989720"</f>
        <v>01043989720</v>
      </c>
      <c r="K1159" s="1" t="str">
        <f>"2017-04-04 08:53:04"</f>
        <v>2017-04-04 08:53:04</v>
      </c>
      <c r="L1159" s="1" t="str">
        <f>"2017-04-04 08:53:16"</f>
        <v>2017-04-04 08:53:16</v>
      </c>
      <c r="M1159" s="2">
        <v>2.5000000000000001E-3</v>
      </c>
      <c r="N1159" s="1" t="s">
        <v>26</v>
      </c>
      <c r="O1159" s="1" t="s">
        <v>34</v>
      </c>
      <c r="P1159" s="2">
        <v>2.6388888888888885E-3</v>
      </c>
      <c r="Q1159" s="1" t="s">
        <v>932</v>
      </c>
      <c r="R1159" s="1">
        <v>0</v>
      </c>
      <c r="S1159" s="1" t="str">
        <f>""</f>
        <v/>
      </c>
      <c r="T1159" s="1" t="s">
        <v>29</v>
      </c>
      <c r="U1159" s="1" t="s">
        <v>30</v>
      </c>
      <c r="V1159" s="1">
        <v>0</v>
      </c>
    </row>
    <row r="1160" spans="2:22" x14ac:dyDescent="0.15">
      <c r="B1160" s="1" t="str">
        <f>"139****1768"</f>
        <v>139****1768</v>
      </c>
      <c r="C1160" s="1" t="s">
        <v>102</v>
      </c>
      <c r="D1160" s="1" t="str">
        <f t="shared" si="121"/>
        <v>89177328</v>
      </c>
      <c r="E1160" s="1" t="s">
        <v>24</v>
      </c>
      <c r="F1160" s="1" t="str">
        <f t="shared" si="122"/>
        <v>0010</v>
      </c>
      <c r="G1160" s="1" t="str">
        <f>""</f>
        <v/>
      </c>
      <c r="H1160" s="1" t="str">
        <f>"0034"</f>
        <v>0034</v>
      </c>
      <c r="I1160" s="1" t="s">
        <v>31</v>
      </c>
      <c r="J1160" s="1" t="str">
        <f>"01043977568"</f>
        <v>01043977568</v>
      </c>
      <c r="K1160" s="1" t="str">
        <f>"2017-04-04 08:51:49"</f>
        <v>2017-04-04 08:51:49</v>
      </c>
      <c r="L1160" s="1" t="str">
        <f>"2017-04-04 08:52:03"</f>
        <v>2017-04-04 08:52:03</v>
      </c>
      <c r="M1160" s="2">
        <v>4.4907407407407405E-3</v>
      </c>
      <c r="N1160" s="1" t="s">
        <v>26</v>
      </c>
      <c r="O1160" s="1" t="s">
        <v>27</v>
      </c>
      <c r="P1160" s="2">
        <v>4.6527777777777774E-3</v>
      </c>
      <c r="Q1160" s="1" t="s">
        <v>933</v>
      </c>
      <c r="R1160" s="1">
        <v>0</v>
      </c>
      <c r="S1160" s="1" t="str">
        <f>""</f>
        <v/>
      </c>
      <c r="T1160" s="1" t="s">
        <v>29</v>
      </c>
      <c r="U1160" s="1" t="s">
        <v>30</v>
      </c>
      <c r="V1160" s="1">
        <v>0</v>
      </c>
    </row>
    <row r="1161" spans="2:22" x14ac:dyDescent="0.15">
      <c r="B1161" s="1" t="str">
        <f>"185****2465"</f>
        <v>185****2465</v>
      </c>
      <c r="C1161" s="1" t="s">
        <v>23</v>
      </c>
      <c r="D1161" s="1" t="str">
        <f t="shared" si="121"/>
        <v>89177328</v>
      </c>
      <c r="E1161" s="1" t="s">
        <v>24</v>
      </c>
      <c r="F1161" s="1" t="str">
        <f t="shared" si="122"/>
        <v>0010</v>
      </c>
      <c r="G1161" s="1" t="str">
        <f>""</f>
        <v/>
      </c>
      <c r="H1161" s="1" t="str">
        <f>"0012"</f>
        <v>0012</v>
      </c>
      <c r="I1161" s="1" t="s">
        <v>612</v>
      </c>
      <c r="J1161" s="1" t="str">
        <f>"01043989720"</f>
        <v>01043989720</v>
      </c>
      <c r="K1161" s="1" t="str">
        <f>"2017-04-04 08:44:40"</f>
        <v>2017-04-04 08:44:40</v>
      </c>
      <c r="L1161" s="1" t="str">
        <f>"2017-04-04 08:44:50"</f>
        <v>2017-04-04 08:44:50</v>
      </c>
      <c r="M1161" s="2">
        <v>4.3055555555555555E-3</v>
      </c>
      <c r="N1161" s="1" t="s">
        <v>26</v>
      </c>
      <c r="O1161" s="1" t="s">
        <v>34</v>
      </c>
      <c r="P1161" s="2">
        <v>4.4212962962962956E-3</v>
      </c>
      <c r="Q1161" s="1" t="s">
        <v>934</v>
      </c>
      <c r="R1161" s="1">
        <v>0</v>
      </c>
      <c r="S1161" s="1" t="str">
        <f>""</f>
        <v/>
      </c>
      <c r="T1161" s="1" t="s">
        <v>29</v>
      </c>
      <c r="U1161" s="1" t="s">
        <v>30</v>
      </c>
      <c r="V1161" s="1">
        <v>0</v>
      </c>
    </row>
    <row r="1162" spans="2:22" x14ac:dyDescent="0.15">
      <c r="B1162" s="1" t="str">
        <f>"135****7495"</f>
        <v>135****7495</v>
      </c>
      <c r="C1162" s="1" t="s">
        <v>113</v>
      </c>
      <c r="D1162" s="1" t="str">
        <f t="shared" si="121"/>
        <v>89177328</v>
      </c>
      <c r="E1162" s="1" t="s">
        <v>24</v>
      </c>
      <c r="F1162" s="1" t="str">
        <f t="shared" si="122"/>
        <v>0010</v>
      </c>
      <c r="G1162" s="1" t="str">
        <f>""</f>
        <v/>
      </c>
      <c r="H1162" s="1" t="str">
        <f>""</f>
        <v/>
      </c>
      <c r="I1162" s="1" t="str">
        <f>""</f>
        <v/>
      </c>
      <c r="J1162" s="1" t="str">
        <f>""</f>
        <v/>
      </c>
      <c r="K1162" s="1" t="str">
        <f>"2017-04-04 08:21:00"</f>
        <v>2017-04-04 08:21:00</v>
      </c>
      <c r="L1162" s="1" t="str">
        <f>"-"</f>
        <v>-</v>
      </c>
      <c r="M1162" s="2">
        <v>0</v>
      </c>
      <c r="N1162" s="1" t="s">
        <v>55</v>
      </c>
      <c r="O1162" s="1" t="s">
        <v>27</v>
      </c>
      <c r="P1162" s="2">
        <v>5.7870370370370366E-5</v>
      </c>
      <c r="Q1162" s="1" t="str">
        <f>""</f>
        <v/>
      </c>
      <c r="R1162" s="1">
        <v>0</v>
      </c>
      <c r="S1162" s="1" t="str">
        <f>""</f>
        <v/>
      </c>
      <c r="T1162" s="1" t="s">
        <v>29</v>
      </c>
      <c r="U1162" s="1" t="s">
        <v>30</v>
      </c>
      <c r="V1162" s="1">
        <v>0</v>
      </c>
    </row>
    <row r="1163" spans="2:22" x14ac:dyDescent="0.15">
      <c r="B1163" s="1" t="str">
        <f>"134****3923"</f>
        <v>134****3923</v>
      </c>
      <c r="C1163" s="1" t="s">
        <v>23</v>
      </c>
      <c r="D1163" s="1" t="str">
        <f t="shared" si="121"/>
        <v>89177328</v>
      </c>
      <c r="E1163" s="1" t="s">
        <v>24</v>
      </c>
      <c r="F1163" s="1" t="str">
        <f t="shared" si="122"/>
        <v>0010</v>
      </c>
      <c r="G1163" s="1" t="str">
        <f>""</f>
        <v/>
      </c>
      <c r="H1163" s="1" t="str">
        <f>""</f>
        <v/>
      </c>
      <c r="I1163" s="1" t="str">
        <f>""</f>
        <v/>
      </c>
      <c r="J1163" s="1" t="str">
        <f>""</f>
        <v/>
      </c>
      <c r="K1163" s="1" t="str">
        <f>"2017-04-04 08:12:41"</f>
        <v>2017-04-04 08:12:41</v>
      </c>
      <c r="L1163" s="1" t="str">
        <f>"-"</f>
        <v>-</v>
      </c>
      <c r="M1163" s="2">
        <v>0</v>
      </c>
      <c r="N1163" s="1" t="s">
        <v>55</v>
      </c>
      <c r="O1163" s="1" t="s">
        <v>27</v>
      </c>
      <c r="P1163" s="2">
        <v>5.7870370370370366E-5</v>
      </c>
      <c r="Q1163" s="1" t="str">
        <f>""</f>
        <v/>
      </c>
      <c r="R1163" s="1">
        <v>0</v>
      </c>
      <c r="S1163" s="1" t="str">
        <f>""</f>
        <v/>
      </c>
      <c r="T1163" s="1" t="s">
        <v>29</v>
      </c>
      <c r="U1163" s="1" t="s">
        <v>30</v>
      </c>
      <c r="V1163" s="1">
        <v>0</v>
      </c>
    </row>
    <row r="1164" spans="2:22" x14ac:dyDescent="0.15">
      <c r="B1164" s="1" t="str">
        <f>"136****3235"</f>
        <v>136****3235</v>
      </c>
      <c r="C1164" s="1" t="s">
        <v>23</v>
      </c>
      <c r="D1164" s="1" t="str">
        <f>"4000108333"</f>
        <v>4000108333</v>
      </c>
      <c r="E1164" s="1" t="s">
        <v>53</v>
      </c>
      <c r="F1164" s="1" t="str">
        <f>"0000"</f>
        <v>0000</v>
      </c>
      <c r="G1164" s="1" t="str">
        <f>""</f>
        <v/>
      </c>
      <c r="H1164" s="1" t="str">
        <f>"1010"</f>
        <v>1010</v>
      </c>
      <c r="I1164" s="1" t="s">
        <v>148</v>
      </c>
      <c r="J1164" s="1" t="str">
        <f>"13718091869"</f>
        <v>13718091869</v>
      </c>
      <c r="K1164" s="1" t="str">
        <f>"2017-04-04 08:09:57"</f>
        <v>2017-04-04 08:09:57</v>
      </c>
      <c r="L1164" s="1" t="str">
        <f>"-"</f>
        <v>-</v>
      </c>
      <c r="M1164" s="2">
        <v>0</v>
      </c>
      <c r="N1164" s="1" t="s">
        <v>33</v>
      </c>
      <c r="O1164" s="1" t="s">
        <v>34</v>
      </c>
      <c r="P1164" s="2">
        <v>7.0601851851851847E-4</v>
      </c>
      <c r="Q1164" s="1" t="str">
        <f>""</f>
        <v/>
      </c>
      <c r="R1164" s="1">
        <v>0.12</v>
      </c>
      <c r="S1164" s="1" t="str">
        <f>""</f>
        <v/>
      </c>
      <c r="T1164" s="1" t="s">
        <v>29</v>
      </c>
      <c r="U1164" s="1" t="s">
        <v>30</v>
      </c>
      <c r="V1164" s="1">
        <v>0</v>
      </c>
    </row>
    <row r="1165" spans="2:22" x14ac:dyDescent="0.15">
      <c r="B1165" s="1" t="str">
        <f>"134****3923"</f>
        <v>134****3923</v>
      </c>
      <c r="C1165" s="1" t="s">
        <v>23</v>
      </c>
      <c r="D1165" s="1" t="str">
        <f t="shared" ref="D1165:D1182" si="126">"89177328"</f>
        <v>89177328</v>
      </c>
      <c r="E1165" s="1" t="s">
        <v>24</v>
      </c>
      <c r="F1165" s="1" t="str">
        <f>"0010"</f>
        <v>0010</v>
      </c>
      <c r="G1165" s="1" t="str">
        <f>""</f>
        <v/>
      </c>
      <c r="H1165" s="1" t="str">
        <f>""</f>
        <v/>
      </c>
      <c r="I1165" s="1" t="str">
        <f>""</f>
        <v/>
      </c>
      <c r="J1165" s="1" t="str">
        <f>""</f>
        <v/>
      </c>
      <c r="K1165" s="1" t="str">
        <f>"2017-04-04 08:09:22"</f>
        <v>2017-04-04 08:09:22</v>
      </c>
      <c r="L1165" s="1" t="str">
        <f>"-"</f>
        <v>-</v>
      </c>
      <c r="M1165" s="2">
        <v>0</v>
      </c>
      <c r="N1165" s="1" t="s">
        <v>55</v>
      </c>
      <c r="O1165" s="1" t="s">
        <v>27</v>
      </c>
      <c r="P1165" s="2">
        <v>5.7870370370370366E-5</v>
      </c>
      <c r="Q1165" s="1" t="str">
        <f>""</f>
        <v/>
      </c>
      <c r="R1165" s="1">
        <v>0</v>
      </c>
      <c r="S1165" s="1" t="str">
        <f>""</f>
        <v/>
      </c>
      <c r="T1165" s="1" t="s">
        <v>29</v>
      </c>
      <c r="U1165" s="1" t="s">
        <v>30</v>
      </c>
      <c r="V1165" s="1">
        <v>0</v>
      </c>
    </row>
    <row r="1166" spans="2:22" x14ac:dyDescent="0.15">
      <c r="B1166" s="1" t="str">
        <f>"134****3923"</f>
        <v>134****3923</v>
      </c>
      <c r="C1166" s="1" t="s">
        <v>23</v>
      </c>
      <c r="D1166" s="1" t="str">
        <f t="shared" si="126"/>
        <v>89177328</v>
      </c>
      <c r="E1166" s="1" t="s">
        <v>24</v>
      </c>
      <c r="F1166" s="1" t="str">
        <f>"0010"</f>
        <v>0010</v>
      </c>
      <c r="G1166" s="1" t="str">
        <f>""</f>
        <v/>
      </c>
      <c r="H1166" s="1" t="str">
        <f>""</f>
        <v/>
      </c>
      <c r="I1166" s="1" t="str">
        <f>""</f>
        <v/>
      </c>
      <c r="J1166" s="1" t="str">
        <f>""</f>
        <v/>
      </c>
      <c r="K1166" s="1" t="str">
        <f>"2017-04-04 08:05:54"</f>
        <v>2017-04-04 08:05:54</v>
      </c>
      <c r="L1166" s="1" t="str">
        <f>"-"</f>
        <v>-</v>
      </c>
      <c r="M1166" s="2">
        <v>0</v>
      </c>
      <c r="N1166" s="1" t="s">
        <v>55</v>
      </c>
      <c r="O1166" s="1" t="s">
        <v>27</v>
      </c>
      <c r="P1166" s="2">
        <v>5.7870370370370366E-5</v>
      </c>
      <c r="Q1166" s="1" t="str">
        <f>""</f>
        <v/>
      </c>
      <c r="R1166" s="1">
        <v>0</v>
      </c>
      <c r="S1166" s="1" t="str">
        <f>""</f>
        <v/>
      </c>
      <c r="T1166" s="1" t="s">
        <v>29</v>
      </c>
      <c r="U1166" s="1" t="s">
        <v>30</v>
      </c>
      <c r="V1166" s="1">
        <v>0</v>
      </c>
    </row>
    <row r="1167" spans="2:22" x14ac:dyDescent="0.15">
      <c r="B1167" s="1" t="str">
        <f>"138****5959"</f>
        <v>138****5959</v>
      </c>
      <c r="C1167" s="1" t="s">
        <v>23</v>
      </c>
      <c r="D1167" s="1" t="str">
        <f t="shared" si="126"/>
        <v>89177328</v>
      </c>
      <c r="E1167" s="1" t="s">
        <v>181</v>
      </c>
      <c r="F1167" s="1" t="str">
        <f>""</f>
        <v/>
      </c>
      <c r="G1167" s="1" t="str">
        <f>""</f>
        <v/>
      </c>
      <c r="H1167" s="1" t="str">
        <f>""</f>
        <v/>
      </c>
      <c r="I1167" s="1" t="str">
        <f>""</f>
        <v/>
      </c>
      <c r="J1167" s="1" t="str">
        <f>""</f>
        <v/>
      </c>
      <c r="K1167" s="1" t="str">
        <f>"2017-04-03 21:54:49"</f>
        <v>2017-04-03 21:54:49</v>
      </c>
      <c r="L1167" s="1" t="str">
        <f>"2017-04-03 21:55:00"</f>
        <v>2017-04-03 21:55:00</v>
      </c>
      <c r="M1167" s="2">
        <v>0</v>
      </c>
      <c r="N1167" s="1" t="s">
        <v>55</v>
      </c>
      <c r="O1167" s="1" t="s">
        <v>27</v>
      </c>
      <c r="P1167" s="2">
        <v>1.9675925925925926E-4</v>
      </c>
      <c r="Q1167" s="1" t="str">
        <f>""</f>
        <v/>
      </c>
      <c r="R1167" s="1">
        <v>0</v>
      </c>
      <c r="S1167" s="1" t="str">
        <f>""</f>
        <v/>
      </c>
      <c r="T1167" s="1" t="s">
        <v>183</v>
      </c>
      <c r="U1167" s="1" t="s">
        <v>30</v>
      </c>
      <c r="V1167" s="1">
        <v>0</v>
      </c>
    </row>
    <row r="1168" spans="2:22" x14ac:dyDescent="0.15">
      <c r="B1168" s="1" t="str">
        <f>"035****9901"</f>
        <v>035****9901</v>
      </c>
      <c r="C1168" s="1" t="s">
        <v>935</v>
      </c>
      <c r="D1168" s="1" t="str">
        <f t="shared" si="126"/>
        <v>89177328</v>
      </c>
      <c r="E1168" s="1" t="s">
        <v>24</v>
      </c>
      <c r="F1168" s="1" t="str">
        <f t="shared" ref="F1168:F1182" si="127">"0010"</f>
        <v>0010</v>
      </c>
      <c r="G1168" s="1" t="str">
        <f>""</f>
        <v/>
      </c>
      <c r="H1168" s="1" t="str">
        <f>"0018"</f>
        <v>0018</v>
      </c>
      <c r="I1168" s="1" t="s">
        <v>36</v>
      </c>
      <c r="J1168" s="1" t="str">
        <f>"01043977572"</f>
        <v>01043977572</v>
      </c>
      <c r="K1168" s="1" t="str">
        <f>"2017-04-03 19:57:55"</f>
        <v>2017-04-03 19:57:55</v>
      </c>
      <c r="L1168" s="1" t="str">
        <f>"2017-04-03 19:58:06"</f>
        <v>2017-04-03 19:58:06</v>
      </c>
      <c r="M1168" s="2">
        <v>2.6620370370370372E-4</v>
      </c>
      <c r="N1168" s="1" t="s">
        <v>26</v>
      </c>
      <c r="O1168" s="1" t="s">
        <v>34</v>
      </c>
      <c r="P1168" s="2">
        <v>3.9351851851851852E-4</v>
      </c>
      <c r="Q1168" s="1" t="s">
        <v>936</v>
      </c>
      <c r="R1168" s="1">
        <v>0</v>
      </c>
      <c r="S1168" s="1" t="str">
        <f>""</f>
        <v/>
      </c>
      <c r="T1168" s="1" t="s">
        <v>29</v>
      </c>
      <c r="U1168" s="1" t="s">
        <v>30</v>
      </c>
      <c r="V1168" s="1">
        <v>0</v>
      </c>
    </row>
    <row r="1169" spans="2:22" x14ac:dyDescent="0.15">
      <c r="B1169" s="1" t="str">
        <f>"136****3235"</f>
        <v>136****3235</v>
      </c>
      <c r="C1169" s="1" t="s">
        <v>23</v>
      </c>
      <c r="D1169" s="1" t="str">
        <f t="shared" si="126"/>
        <v>89177328</v>
      </c>
      <c r="E1169" s="1" t="s">
        <v>24</v>
      </c>
      <c r="F1169" s="1" t="str">
        <f t="shared" si="127"/>
        <v>0010</v>
      </c>
      <c r="G1169" s="1" t="str">
        <f>""</f>
        <v/>
      </c>
      <c r="H1169" s="1" t="str">
        <f>"0012"</f>
        <v>0012</v>
      </c>
      <c r="I1169" s="1" t="s">
        <v>612</v>
      </c>
      <c r="J1169" s="1" t="str">
        <f>"01043989720"</f>
        <v>01043989720</v>
      </c>
      <c r="K1169" s="1" t="str">
        <f>"2017-04-03 19:48:29"</f>
        <v>2017-04-03 19:48:29</v>
      </c>
      <c r="L1169" s="1" t="str">
        <f>"2017-04-03 19:48:40"</f>
        <v>2017-04-03 19:48:40</v>
      </c>
      <c r="M1169" s="2">
        <v>1.7604166666666667E-2</v>
      </c>
      <c r="N1169" s="1" t="s">
        <v>26</v>
      </c>
      <c r="O1169" s="1" t="s">
        <v>34</v>
      </c>
      <c r="P1169" s="2">
        <v>1.7731481481481483E-2</v>
      </c>
      <c r="Q1169" s="1" t="s">
        <v>937</v>
      </c>
      <c r="R1169" s="1">
        <v>0</v>
      </c>
      <c r="S1169" s="1" t="str">
        <f>""</f>
        <v/>
      </c>
      <c r="T1169" s="1" t="s">
        <v>29</v>
      </c>
      <c r="U1169" s="1" t="s">
        <v>30</v>
      </c>
      <c r="V1169" s="1">
        <v>0</v>
      </c>
    </row>
    <row r="1170" spans="2:22" x14ac:dyDescent="0.15">
      <c r="B1170" s="1" t="str">
        <f>"136****3235"</f>
        <v>136****3235</v>
      </c>
      <c r="C1170" s="1" t="s">
        <v>23</v>
      </c>
      <c r="D1170" s="1" t="str">
        <f t="shared" si="126"/>
        <v>89177328</v>
      </c>
      <c r="E1170" s="1" t="s">
        <v>24</v>
      </c>
      <c r="F1170" s="1" t="str">
        <f t="shared" si="127"/>
        <v>0010</v>
      </c>
      <c r="G1170" s="1" t="str">
        <f>""</f>
        <v/>
      </c>
      <c r="H1170" s="1" t="str">
        <f>"0012"</f>
        <v>0012</v>
      </c>
      <c r="I1170" s="1" t="s">
        <v>612</v>
      </c>
      <c r="J1170" s="1" t="str">
        <f>"01043989720"</f>
        <v>01043989720</v>
      </c>
      <c r="K1170" s="1" t="str">
        <f>"2017-04-03 19:46:46"</f>
        <v>2017-04-03 19:46:46</v>
      </c>
      <c r="L1170" s="1" t="str">
        <f>"-"</f>
        <v>-</v>
      </c>
      <c r="M1170" s="2">
        <v>0</v>
      </c>
      <c r="N1170" s="1" t="s">
        <v>33</v>
      </c>
      <c r="O1170" s="1" t="s">
        <v>34</v>
      </c>
      <c r="P1170" s="2">
        <v>1.1574074074074073E-5</v>
      </c>
      <c r="Q1170" s="1" t="str">
        <f>""</f>
        <v/>
      </c>
      <c r="R1170" s="1">
        <v>0</v>
      </c>
      <c r="S1170" s="1" t="str">
        <f>""</f>
        <v/>
      </c>
      <c r="T1170" s="1" t="s">
        <v>29</v>
      </c>
      <c r="U1170" s="1" t="s">
        <v>30</v>
      </c>
      <c r="V1170" s="1">
        <v>0</v>
      </c>
    </row>
    <row r="1171" spans="2:22" x14ac:dyDescent="0.15">
      <c r="B1171" s="1" t="str">
        <f>"150****5136"</f>
        <v>150****5136</v>
      </c>
      <c r="C1171" s="1" t="s">
        <v>23</v>
      </c>
      <c r="D1171" s="1" t="str">
        <f t="shared" si="126"/>
        <v>89177328</v>
      </c>
      <c r="E1171" s="1" t="s">
        <v>24</v>
      </c>
      <c r="F1171" s="1" t="str">
        <f t="shared" si="127"/>
        <v>0010</v>
      </c>
      <c r="G1171" s="1" t="str">
        <f>""</f>
        <v/>
      </c>
      <c r="H1171" s="1" t="str">
        <f>"0035"</f>
        <v>0035</v>
      </c>
      <c r="I1171" s="1" t="s">
        <v>25</v>
      </c>
      <c r="J1171" s="1" t="str">
        <f>"01043977569"</f>
        <v>01043977569</v>
      </c>
      <c r="K1171" s="1" t="str">
        <f>"2017-04-03 19:43:06"</f>
        <v>2017-04-03 19:43:06</v>
      </c>
      <c r="L1171" s="1" t="str">
        <f>"2017-04-03 19:43:15"</f>
        <v>2017-04-03 19:43:15</v>
      </c>
      <c r="M1171" s="2">
        <v>5.9375000000000009E-3</v>
      </c>
      <c r="N1171" s="1" t="s">
        <v>26</v>
      </c>
      <c r="O1171" s="1" t="s">
        <v>27</v>
      </c>
      <c r="P1171" s="2">
        <v>6.0416666666666665E-3</v>
      </c>
      <c r="Q1171" s="1" t="s">
        <v>938</v>
      </c>
      <c r="R1171" s="1">
        <v>0</v>
      </c>
      <c r="S1171" s="1" t="str">
        <f>""</f>
        <v/>
      </c>
      <c r="T1171" s="1" t="s">
        <v>29</v>
      </c>
      <c r="U1171" s="1" t="s">
        <v>30</v>
      </c>
      <c r="V1171" s="1">
        <v>0</v>
      </c>
    </row>
    <row r="1172" spans="2:22" x14ac:dyDescent="0.15">
      <c r="B1172" s="1" t="str">
        <f>"151****1112"</f>
        <v>151****1112</v>
      </c>
      <c r="C1172" s="1" t="s">
        <v>81</v>
      </c>
      <c r="D1172" s="1" t="str">
        <f t="shared" si="126"/>
        <v>89177328</v>
      </c>
      <c r="E1172" s="1" t="s">
        <v>24</v>
      </c>
      <c r="F1172" s="1" t="str">
        <f t="shared" si="127"/>
        <v>0010</v>
      </c>
      <c r="G1172" s="1" t="str">
        <f>""</f>
        <v/>
      </c>
      <c r="H1172" s="1" t="str">
        <f>"0018"</f>
        <v>0018</v>
      </c>
      <c r="I1172" s="1" t="s">
        <v>36</v>
      </c>
      <c r="J1172" s="1" t="str">
        <f>"01043977572"</f>
        <v>01043977572</v>
      </c>
      <c r="K1172" s="1" t="str">
        <f>"2017-04-03 19:26:21"</f>
        <v>2017-04-03 19:26:21</v>
      </c>
      <c r="L1172" s="1" t="str">
        <f>"2017-04-03 19:26:32"</f>
        <v>2017-04-03 19:26:32</v>
      </c>
      <c r="M1172" s="2">
        <v>9.7685185185185184E-3</v>
      </c>
      <c r="N1172" s="1" t="s">
        <v>26</v>
      </c>
      <c r="O1172" s="1" t="s">
        <v>34</v>
      </c>
      <c r="P1172" s="2">
        <v>9.8958333333333329E-3</v>
      </c>
      <c r="Q1172" s="1" t="s">
        <v>939</v>
      </c>
      <c r="R1172" s="1">
        <v>0</v>
      </c>
      <c r="S1172" s="1" t="str">
        <f>""</f>
        <v/>
      </c>
      <c r="T1172" s="1" t="s">
        <v>29</v>
      </c>
      <c r="U1172" s="1" t="s">
        <v>30</v>
      </c>
      <c r="V1172" s="1">
        <v>0</v>
      </c>
    </row>
    <row r="1173" spans="2:22" x14ac:dyDescent="0.15">
      <c r="B1173" s="1" t="str">
        <f>"187****5279"</f>
        <v>187****5279</v>
      </c>
      <c r="C1173" s="1" t="s">
        <v>188</v>
      </c>
      <c r="D1173" s="1" t="str">
        <f t="shared" si="126"/>
        <v>89177328</v>
      </c>
      <c r="E1173" s="1" t="s">
        <v>24</v>
      </c>
      <c r="F1173" s="1" t="str">
        <f t="shared" si="127"/>
        <v>0010</v>
      </c>
      <c r="G1173" s="1" t="str">
        <f>""</f>
        <v/>
      </c>
      <c r="H1173" s="1" t="str">
        <f>"0012"</f>
        <v>0012</v>
      </c>
      <c r="I1173" s="1" t="s">
        <v>612</v>
      </c>
      <c r="J1173" s="1" t="str">
        <f>"01043989720"</f>
        <v>01043989720</v>
      </c>
      <c r="K1173" s="1" t="str">
        <f>"2017-04-03 19:24:25"</f>
        <v>2017-04-03 19:24:25</v>
      </c>
      <c r="L1173" s="1" t="str">
        <f>"2017-04-03 19:24:34"</f>
        <v>2017-04-03 19:24:34</v>
      </c>
      <c r="M1173" s="2">
        <v>7.3726851851851861E-3</v>
      </c>
      <c r="N1173" s="1" t="s">
        <v>26</v>
      </c>
      <c r="O1173" s="1" t="s">
        <v>34</v>
      </c>
      <c r="P1173" s="2">
        <v>7.4768518518518526E-3</v>
      </c>
      <c r="Q1173" s="1" t="s">
        <v>940</v>
      </c>
      <c r="R1173" s="1">
        <v>0</v>
      </c>
      <c r="S1173" s="1" t="str">
        <f>""</f>
        <v/>
      </c>
      <c r="T1173" s="1" t="s">
        <v>29</v>
      </c>
      <c r="U1173" s="1" t="s">
        <v>30</v>
      </c>
      <c r="V1173" s="1">
        <v>0</v>
      </c>
    </row>
    <row r="1174" spans="2:22" x14ac:dyDescent="0.15">
      <c r="B1174" s="1" t="str">
        <f>"153****1136"</f>
        <v>153****1136</v>
      </c>
      <c r="C1174" s="1" t="s">
        <v>81</v>
      </c>
      <c r="D1174" s="1" t="str">
        <f t="shared" si="126"/>
        <v>89177328</v>
      </c>
      <c r="E1174" s="1" t="s">
        <v>24</v>
      </c>
      <c r="F1174" s="1" t="str">
        <f t="shared" si="127"/>
        <v>0010</v>
      </c>
      <c r="G1174" s="1" t="str">
        <f>""</f>
        <v/>
      </c>
      <c r="H1174" s="1" t="str">
        <f>"0017"</f>
        <v>0017</v>
      </c>
      <c r="I1174" s="1" t="s">
        <v>135</v>
      </c>
      <c r="J1174" s="1" t="str">
        <f>"01043989717"</f>
        <v>01043989717</v>
      </c>
      <c r="K1174" s="1" t="str">
        <f>"2017-04-03 19:02:01"</f>
        <v>2017-04-03 19:02:01</v>
      </c>
      <c r="L1174" s="1" t="str">
        <f>"2017-04-03 19:02:09"</f>
        <v>2017-04-03 19:02:09</v>
      </c>
      <c r="M1174" s="2">
        <v>3.2893518518518523E-2</v>
      </c>
      <c r="N1174" s="1" t="s">
        <v>26</v>
      </c>
      <c r="O1174" s="1" t="s">
        <v>27</v>
      </c>
      <c r="P1174" s="2">
        <v>3.2986111111111112E-2</v>
      </c>
      <c r="Q1174" s="1" t="s">
        <v>941</v>
      </c>
      <c r="R1174" s="1">
        <v>0</v>
      </c>
      <c r="S1174" s="1" t="str">
        <f>""</f>
        <v/>
      </c>
      <c r="T1174" s="1" t="s">
        <v>29</v>
      </c>
      <c r="U1174" s="1" t="s">
        <v>30</v>
      </c>
      <c r="V1174" s="1">
        <v>0</v>
      </c>
    </row>
    <row r="1175" spans="2:22" x14ac:dyDescent="0.15">
      <c r="B1175" s="1" t="str">
        <f>"177****6002"</f>
        <v>177****6002</v>
      </c>
      <c r="C1175" s="1" t="s">
        <v>188</v>
      </c>
      <c r="D1175" s="1" t="str">
        <f t="shared" si="126"/>
        <v>89177328</v>
      </c>
      <c r="E1175" s="1" t="s">
        <v>24</v>
      </c>
      <c r="F1175" s="1" t="str">
        <f t="shared" si="127"/>
        <v>0010</v>
      </c>
      <c r="G1175" s="1" t="str">
        <f>""</f>
        <v/>
      </c>
      <c r="H1175" s="1" t="str">
        <f>"0035"</f>
        <v>0035</v>
      </c>
      <c r="I1175" s="1" t="s">
        <v>25</v>
      </c>
      <c r="J1175" s="1" t="str">
        <f>"01043977569"</f>
        <v>01043977569</v>
      </c>
      <c r="K1175" s="1" t="str">
        <f>"2017-04-03 18:50:25"</f>
        <v>2017-04-03 18:50:25</v>
      </c>
      <c r="L1175" s="1" t="str">
        <f>"2017-04-03 18:50:35"</f>
        <v>2017-04-03 18:50:35</v>
      </c>
      <c r="M1175" s="2">
        <v>9.9421296296296289E-3</v>
      </c>
      <c r="N1175" s="1" t="s">
        <v>26</v>
      </c>
      <c r="O1175" s="1" t="s">
        <v>27</v>
      </c>
      <c r="P1175" s="2">
        <v>1.005787037037037E-2</v>
      </c>
      <c r="Q1175" s="1" t="s">
        <v>942</v>
      </c>
      <c r="R1175" s="1">
        <v>0</v>
      </c>
      <c r="S1175" s="1" t="str">
        <f>""</f>
        <v/>
      </c>
      <c r="T1175" s="1" t="s">
        <v>29</v>
      </c>
      <c r="U1175" s="1" t="s">
        <v>30</v>
      </c>
      <c r="V1175" s="1">
        <v>0</v>
      </c>
    </row>
    <row r="1176" spans="2:22" x14ac:dyDescent="0.15">
      <c r="B1176" s="1" t="str">
        <f>"151****9788"</f>
        <v>151****9788</v>
      </c>
      <c r="C1176" s="1" t="s">
        <v>99</v>
      </c>
      <c r="D1176" s="1" t="str">
        <f t="shared" si="126"/>
        <v>89177328</v>
      </c>
      <c r="E1176" s="1" t="s">
        <v>24</v>
      </c>
      <c r="F1176" s="1" t="str">
        <f t="shared" si="127"/>
        <v>0010</v>
      </c>
      <c r="G1176" s="1" t="str">
        <f>""</f>
        <v/>
      </c>
      <c r="H1176" s="1" t="str">
        <f>"0012"</f>
        <v>0012</v>
      </c>
      <c r="I1176" s="1" t="s">
        <v>612</v>
      </c>
      <c r="J1176" s="1" t="str">
        <f>"01043989720"</f>
        <v>01043989720</v>
      </c>
      <c r="K1176" s="1" t="str">
        <f>"2017-04-03 18:41:27"</f>
        <v>2017-04-03 18:41:27</v>
      </c>
      <c r="L1176" s="1" t="str">
        <f>"2017-04-03 18:41:36"</f>
        <v>2017-04-03 18:41:36</v>
      </c>
      <c r="M1176" s="2">
        <v>4.5138888888888893E-3</v>
      </c>
      <c r="N1176" s="1" t="s">
        <v>26</v>
      </c>
      <c r="O1176" s="1" t="s">
        <v>27</v>
      </c>
      <c r="P1176" s="2">
        <v>4.6180555555555558E-3</v>
      </c>
      <c r="Q1176" s="1" t="s">
        <v>943</v>
      </c>
      <c r="R1176" s="1">
        <v>0</v>
      </c>
      <c r="S1176" s="1" t="str">
        <f>""</f>
        <v/>
      </c>
      <c r="T1176" s="1" t="s">
        <v>29</v>
      </c>
      <c r="U1176" s="1" t="s">
        <v>30</v>
      </c>
      <c r="V1176" s="1">
        <v>0</v>
      </c>
    </row>
    <row r="1177" spans="2:22" x14ac:dyDescent="0.15">
      <c r="B1177" s="1" t="str">
        <f>"185****6112"</f>
        <v>185****6112</v>
      </c>
      <c r="C1177" s="1" t="s">
        <v>23</v>
      </c>
      <c r="D1177" s="1" t="str">
        <f t="shared" si="126"/>
        <v>89177328</v>
      </c>
      <c r="E1177" s="1" t="s">
        <v>24</v>
      </c>
      <c r="F1177" s="1" t="str">
        <f t="shared" si="127"/>
        <v>0010</v>
      </c>
      <c r="G1177" s="1" t="str">
        <f>""</f>
        <v/>
      </c>
      <c r="H1177" s="1" t="str">
        <f>"0018"</f>
        <v>0018</v>
      </c>
      <c r="I1177" s="1" t="s">
        <v>36</v>
      </c>
      <c r="J1177" s="1" t="str">
        <f>"01043977572"</f>
        <v>01043977572</v>
      </c>
      <c r="K1177" s="1" t="str">
        <f>"2017-04-03 17:39:05"</f>
        <v>2017-04-03 17:39:05</v>
      </c>
      <c r="L1177" s="1" t="str">
        <f>"2017-04-03 17:39:13"</f>
        <v>2017-04-03 17:39:13</v>
      </c>
      <c r="M1177" s="2">
        <v>2.5810185185185185E-3</v>
      </c>
      <c r="N1177" s="1" t="s">
        <v>26</v>
      </c>
      <c r="O1177" s="1" t="s">
        <v>34</v>
      </c>
      <c r="P1177" s="2">
        <v>2.673611111111111E-3</v>
      </c>
      <c r="Q1177" s="1" t="s">
        <v>944</v>
      </c>
      <c r="R1177" s="1">
        <v>0</v>
      </c>
      <c r="S1177" s="1" t="str">
        <f>""</f>
        <v/>
      </c>
      <c r="T1177" s="1" t="s">
        <v>29</v>
      </c>
      <c r="U1177" s="1" t="s">
        <v>30</v>
      </c>
      <c r="V1177" s="1">
        <v>0</v>
      </c>
    </row>
    <row r="1178" spans="2:22" x14ac:dyDescent="0.15">
      <c r="B1178" s="1" t="str">
        <f>"131****1165"</f>
        <v>131****1165</v>
      </c>
      <c r="C1178" s="1" t="s">
        <v>237</v>
      </c>
      <c r="D1178" s="1" t="str">
        <f t="shared" si="126"/>
        <v>89177328</v>
      </c>
      <c r="E1178" s="1" t="s">
        <v>24</v>
      </c>
      <c r="F1178" s="1" t="str">
        <f t="shared" si="127"/>
        <v>0010</v>
      </c>
      <c r="G1178" s="1" t="str">
        <f>""</f>
        <v/>
      </c>
      <c r="H1178" s="1" t="str">
        <f>"0017"</f>
        <v>0017</v>
      </c>
      <c r="I1178" s="1" t="s">
        <v>135</v>
      </c>
      <c r="J1178" s="1" t="str">
        <f>"01043989717"</f>
        <v>01043989717</v>
      </c>
      <c r="K1178" s="1" t="str">
        <f>"2017-04-03 17:32:21"</f>
        <v>2017-04-03 17:32:21</v>
      </c>
      <c r="L1178" s="1" t="str">
        <f>"2017-04-03 17:32:30"</f>
        <v>2017-04-03 17:32:30</v>
      </c>
      <c r="M1178" s="2">
        <v>4.5717592592592589E-3</v>
      </c>
      <c r="N1178" s="1" t="s">
        <v>26</v>
      </c>
      <c r="O1178" s="1" t="s">
        <v>27</v>
      </c>
      <c r="P1178" s="2">
        <v>4.6759259259259263E-3</v>
      </c>
      <c r="Q1178" s="1" t="s">
        <v>945</v>
      </c>
      <c r="R1178" s="1">
        <v>0</v>
      </c>
      <c r="S1178" s="1" t="str">
        <f>""</f>
        <v/>
      </c>
      <c r="T1178" s="1" t="s">
        <v>29</v>
      </c>
      <c r="U1178" s="1" t="s">
        <v>30</v>
      </c>
      <c r="V1178" s="1">
        <v>0</v>
      </c>
    </row>
    <row r="1179" spans="2:22" x14ac:dyDescent="0.15">
      <c r="B1179" s="1" t="str">
        <f>"131****8064"</f>
        <v>131****8064</v>
      </c>
      <c r="C1179" s="1" t="s">
        <v>23</v>
      </c>
      <c r="D1179" s="1" t="str">
        <f t="shared" si="126"/>
        <v>89177328</v>
      </c>
      <c r="E1179" s="1" t="s">
        <v>24</v>
      </c>
      <c r="F1179" s="1" t="str">
        <f t="shared" si="127"/>
        <v>0010</v>
      </c>
      <c r="G1179" s="1" t="str">
        <f>""</f>
        <v/>
      </c>
      <c r="H1179" s="1" t="str">
        <f>"0018"</f>
        <v>0018</v>
      </c>
      <c r="I1179" s="1" t="s">
        <v>36</v>
      </c>
      <c r="J1179" s="1" t="str">
        <f>"01043977572"</f>
        <v>01043977572</v>
      </c>
      <c r="K1179" s="1" t="str">
        <f>"2017-04-03 17:22:37"</f>
        <v>2017-04-03 17:22:37</v>
      </c>
      <c r="L1179" s="1" t="str">
        <f>"2017-04-03 17:22:41"</f>
        <v>2017-04-03 17:22:41</v>
      </c>
      <c r="M1179" s="2">
        <v>3.5879629629629635E-4</v>
      </c>
      <c r="N1179" s="1" t="s">
        <v>26</v>
      </c>
      <c r="O1179" s="1" t="s">
        <v>34</v>
      </c>
      <c r="P1179" s="2">
        <v>4.0509259259259258E-4</v>
      </c>
      <c r="Q1179" s="1" t="s">
        <v>946</v>
      </c>
      <c r="R1179" s="1">
        <v>0</v>
      </c>
      <c r="S1179" s="1" t="str">
        <f>""</f>
        <v/>
      </c>
      <c r="T1179" s="1" t="s">
        <v>29</v>
      </c>
      <c r="U1179" s="1" t="s">
        <v>30</v>
      </c>
      <c r="V1179" s="1">
        <v>0</v>
      </c>
    </row>
    <row r="1180" spans="2:22" x14ac:dyDescent="0.15">
      <c r="B1180" s="1" t="str">
        <f>"138****2592"</f>
        <v>138****2592</v>
      </c>
      <c r="C1180" s="1" t="s">
        <v>947</v>
      </c>
      <c r="D1180" s="1" t="str">
        <f t="shared" si="126"/>
        <v>89177328</v>
      </c>
      <c r="E1180" s="1" t="s">
        <v>24</v>
      </c>
      <c r="F1180" s="1" t="str">
        <f t="shared" si="127"/>
        <v>0010</v>
      </c>
      <c r="G1180" s="1" t="str">
        <f>""</f>
        <v/>
      </c>
      <c r="H1180" s="1" t="str">
        <f>"0035"</f>
        <v>0035</v>
      </c>
      <c r="I1180" s="1" t="s">
        <v>25</v>
      </c>
      <c r="J1180" s="1" t="str">
        <f>"01043977569"</f>
        <v>01043977569</v>
      </c>
      <c r="K1180" s="1" t="str">
        <f>"2017-04-03 17:20:42"</f>
        <v>2017-04-03 17:20:42</v>
      </c>
      <c r="L1180" s="1" t="str">
        <f>"2017-04-03 17:20:52"</f>
        <v>2017-04-03 17:20:52</v>
      </c>
      <c r="M1180" s="2">
        <v>9.2476851851851852E-3</v>
      </c>
      <c r="N1180" s="1" t="s">
        <v>26</v>
      </c>
      <c r="O1180" s="1" t="s">
        <v>27</v>
      </c>
      <c r="P1180" s="2">
        <v>9.3634259259259261E-3</v>
      </c>
      <c r="Q1180" s="1" t="s">
        <v>948</v>
      </c>
      <c r="R1180" s="1">
        <v>0</v>
      </c>
      <c r="S1180" s="1" t="str">
        <f>""</f>
        <v/>
      </c>
      <c r="T1180" s="1" t="s">
        <v>29</v>
      </c>
      <c r="U1180" s="1" t="s">
        <v>30</v>
      </c>
      <c r="V1180" s="1">
        <v>0</v>
      </c>
    </row>
    <row r="1181" spans="2:22" x14ac:dyDescent="0.15">
      <c r="B1181" s="1" t="str">
        <f>"137****7043"</f>
        <v>137****7043</v>
      </c>
      <c r="C1181" s="1" t="s">
        <v>193</v>
      </c>
      <c r="D1181" s="1" t="str">
        <f t="shared" si="126"/>
        <v>89177328</v>
      </c>
      <c r="E1181" s="1" t="s">
        <v>24</v>
      </c>
      <c r="F1181" s="1" t="str">
        <f t="shared" si="127"/>
        <v>0010</v>
      </c>
      <c r="G1181" s="1" t="str">
        <f>""</f>
        <v/>
      </c>
      <c r="H1181" s="1" t="str">
        <f>"0017"</f>
        <v>0017</v>
      </c>
      <c r="I1181" s="1" t="s">
        <v>135</v>
      </c>
      <c r="J1181" s="1" t="str">
        <f>"01043989717"</f>
        <v>01043989717</v>
      </c>
      <c r="K1181" s="1" t="str">
        <f>"2017-04-03 17:15:06"</f>
        <v>2017-04-03 17:15:06</v>
      </c>
      <c r="L1181" s="1" t="str">
        <f>"2017-04-03 17:15:15"</f>
        <v>2017-04-03 17:15:15</v>
      </c>
      <c r="M1181" s="2">
        <v>3.9930555555555561E-3</v>
      </c>
      <c r="N1181" s="1" t="s">
        <v>26</v>
      </c>
      <c r="O1181" s="1" t="s">
        <v>27</v>
      </c>
      <c r="P1181" s="2">
        <v>4.0972222222222226E-3</v>
      </c>
      <c r="Q1181" s="1" t="s">
        <v>949</v>
      </c>
      <c r="R1181" s="1">
        <v>0</v>
      </c>
      <c r="S1181" s="1" t="str">
        <f>""</f>
        <v/>
      </c>
      <c r="T1181" s="1" t="s">
        <v>29</v>
      </c>
      <c r="U1181" s="1" t="s">
        <v>30</v>
      </c>
      <c r="V1181" s="1">
        <v>0</v>
      </c>
    </row>
    <row r="1182" spans="2:22" x14ac:dyDescent="0.15">
      <c r="B1182" s="1" t="str">
        <f>"187****3568"</f>
        <v>187****3568</v>
      </c>
      <c r="C1182" s="1" t="s">
        <v>150</v>
      </c>
      <c r="D1182" s="1" t="str">
        <f t="shared" si="126"/>
        <v>89177328</v>
      </c>
      <c r="E1182" s="1" t="s">
        <v>24</v>
      </c>
      <c r="F1182" s="1" t="str">
        <f t="shared" si="127"/>
        <v>0010</v>
      </c>
      <c r="G1182" s="1" t="str">
        <f>""</f>
        <v/>
      </c>
      <c r="H1182" s="1" t="str">
        <f>"0018"</f>
        <v>0018</v>
      </c>
      <c r="I1182" s="1" t="s">
        <v>36</v>
      </c>
      <c r="J1182" s="1" t="str">
        <f>"01043977572"</f>
        <v>01043977572</v>
      </c>
      <c r="K1182" s="1" t="str">
        <f>"2017-04-03 17:01:07"</f>
        <v>2017-04-03 17:01:07</v>
      </c>
      <c r="L1182" s="1" t="str">
        <f>"2017-04-03 17:01:17"</f>
        <v>2017-04-03 17:01:17</v>
      </c>
      <c r="M1182" s="2">
        <v>6.6550925925925935E-3</v>
      </c>
      <c r="N1182" s="1" t="s">
        <v>26</v>
      </c>
      <c r="O1182" s="1" t="s">
        <v>34</v>
      </c>
      <c r="P1182" s="2">
        <v>6.7708333333333336E-3</v>
      </c>
      <c r="Q1182" s="1" t="s">
        <v>950</v>
      </c>
      <c r="R1182" s="1">
        <v>0</v>
      </c>
      <c r="S1182" s="1" t="str">
        <f>""</f>
        <v/>
      </c>
      <c r="T1182" s="1" t="s">
        <v>29</v>
      </c>
      <c r="U1182" s="1" t="s">
        <v>30</v>
      </c>
      <c r="V1182" s="1">
        <v>0</v>
      </c>
    </row>
    <row r="1183" spans="2:22" x14ac:dyDescent="0.15">
      <c r="B1183" s="1" t="str">
        <f>"134****5152"</f>
        <v>134****5152</v>
      </c>
      <c r="C1183" s="1" t="s">
        <v>951</v>
      </c>
      <c r="D1183" s="1" t="str">
        <f>"4000108333"</f>
        <v>4000108333</v>
      </c>
      <c r="E1183" s="1" t="s">
        <v>53</v>
      </c>
      <c r="F1183" s="1" t="str">
        <f>"333"</f>
        <v>333</v>
      </c>
      <c r="G1183" s="1" t="s">
        <v>952</v>
      </c>
      <c r="H1183" s="1" t="str">
        <f>""</f>
        <v/>
      </c>
      <c r="I1183" s="1" t="str">
        <f>""</f>
        <v/>
      </c>
      <c r="J1183" s="1" t="str">
        <f>"13718091869"</f>
        <v>13718091869</v>
      </c>
      <c r="K1183" s="1" t="str">
        <f>"2017-04-03 16:44:05"</f>
        <v>2017-04-03 16:44:05</v>
      </c>
      <c r="L1183" s="1" t="str">
        <f>"2017-04-03 16:45:01"</f>
        <v>2017-04-03 16:45:01</v>
      </c>
      <c r="M1183" s="2">
        <v>1.7071759259259259E-2</v>
      </c>
      <c r="N1183" s="1" t="s">
        <v>26</v>
      </c>
      <c r="O1183" s="1" t="s">
        <v>34</v>
      </c>
      <c r="P1183" s="2">
        <v>1.7719907407407406E-2</v>
      </c>
      <c r="Q1183" s="1" t="s">
        <v>953</v>
      </c>
      <c r="R1183" s="1">
        <v>3.12</v>
      </c>
      <c r="S1183" s="1" t="str">
        <f>""</f>
        <v/>
      </c>
      <c r="T1183" s="1" t="s">
        <v>29</v>
      </c>
      <c r="U1183" s="1" t="s">
        <v>30</v>
      </c>
      <c r="V1183" s="1">
        <v>0</v>
      </c>
    </row>
    <row r="1184" spans="2:22" x14ac:dyDescent="0.15">
      <c r="B1184" s="1" t="str">
        <f>"158****9668"</f>
        <v>158****9668</v>
      </c>
      <c r="C1184" s="1" t="s">
        <v>23</v>
      </c>
      <c r="D1184" s="1" t="str">
        <f t="shared" ref="D1184:D1224" si="128">"89177328"</f>
        <v>89177328</v>
      </c>
      <c r="E1184" s="1" t="s">
        <v>24</v>
      </c>
      <c r="F1184" s="1" t="str">
        <f t="shared" ref="F1184:F1224" si="129">"0010"</f>
        <v>0010</v>
      </c>
      <c r="G1184" s="1" t="str">
        <f>""</f>
        <v/>
      </c>
      <c r="H1184" s="1" t="str">
        <f>"0017"</f>
        <v>0017</v>
      </c>
      <c r="I1184" s="1" t="s">
        <v>135</v>
      </c>
      <c r="J1184" s="1" t="str">
        <f>"01043989717"</f>
        <v>01043989717</v>
      </c>
      <c r="K1184" s="1" t="str">
        <f>"2017-04-03 16:29:38"</f>
        <v>2017-04-03 16:29:38</v>
      </c>
      <c r="L1184" s="1" t="str">
        <f>"2017-04-03 16:29:47"</f>
        <v>2017-04-03 16:29:47</v>
      </c>
      <c r="M1184" s="2">
        <v>4.8263888888888887E-3</v>
      </c>
      <c r="N1184" s="1" t="s">
        <v>26</v>
      </c>
      <c r="O1184" s="1" t="s">
        <v>27</v>
      </c>
      <c r="P1184" s="2">
        <v>4.9305555555555552E-3</v>
      </c>
      <c r="Q1184" s="1" t="s">
        <v>954</v>
      </c>
      <c r="R1184" s="1">
        <v>0</v>
      </c>
      <c r="S1184" s="1" t="str">
        <f>""</f>
        <v/>
      </c>
      <c r="T1184" s="1" t="s">
        <v>29</v>
      </c>
      <c r="U1184" s="1" t="s">
        <v>30</v>
      </c>
      <c r="V1184" s="1">
        <v>0</v>
      </c>
    </row>
    <row r="1185" spans="2:22" x14ac:dyDescent="0.15">
      <c r="B1185" s="1" t="str">
        <f>"134****9079"</f>
        <v>134****9079</v>
      </c>
      <c r="C1185" s="1" t="s">
        <v>23</v>
      </c>
      <c r="D1185" s="1" t="str">
        <f t="shared" si="128"/>
        <v>89177328</v>
      </c>
      <c r="E1185" s="1" t="s">
        <v>24</v>
      </c>
      <c r="F1185" s="1" t="str">
        <f t="shared" si="129"/>
        <v>0010</v>
      </c>
      <c r="G1185" s="1" t="str">
        <f>""</f>
        <v/>
      </c>
      <c r="H1185" s="1" t="str">
        <f>"0018"</f>
        <v>0018</v>
      </c>
      <c r="I1185" s="1" t="s">
        <v>36</v>
      </c>
      <c r="J1185" s="1" t="str">
        <f>"01043977572"</f>
        <v>01043977572</v>
      </c>
      <c r="K1185" s="1" t="str">
        <f>"2017-04-03 16:17:18"</f>
        <v>2017-04-03 16:17:18</v>
      </c>
      <c r="L1185" s="1" t="str">
        <f>"2017-04-03 16:17:29"</f>
        <v>2017-04-03 16:17:29</v>
      </c>
      <c r="M1185" s="2">
        <v>0</v>
      </c>
      <c r="N1185" s="1" t="s">
        <v>26</v>
      </c>
      <c r="O1185" s="1" t="s">
        <v>27</v>
      </c>
      <c r="P1185" s="2">
        <v>1.273148148148148E-4</v>
      </c>
      <c r="Q1185" s="1" t="str">
        <f>""</f>
        <v/>
      </c>
      <c r="R1185" s="1">
        <v>0</v>
      </c>
      <c r="S1185" s="1" t="str">
        <f>""</f>
        <v/>
      </c>
      <c r="T1185" s="1" t="s">
        <v>29</v>
      </c>
      <c r="U1185" s="1" t="s">
        <v>30</v>
      </c>
      <c r="V1185" s="1">
        <v>0</v>
      </c>
    </row>
    <row r="1186" spans="2:22" x14ac:dyDescent="0.15">
      <c r="B1186" s="1" t="str">
        <f>"136****2300"</f>
        <v>136****2300</v>
      </c>
      <c r="C1186" s="1" t="s">
        <v>23</v>
      </c>
      <c r="D1186" s="1" t="str">
        <f t="shared" si="128"/>
        <v>89177328</v>
      </c>
      <c r="E1186" s="1" t="s">
        <v>24</v>
      </c>
      <c r="F1186" s="1" t="str">
        <f t="shared" si="129"/>
        <v>0010</v>
      </c>
      <c r="G1186" s="1" t="str">
        <f>""</f>
        <v/>
      </c>
      <c r="H1186" s="1" t="str">
        <f>"0010"</f>
        <v>0010</v>
      </c>
      <c r="I1186" s="1" t="s">
        <v>71</v>
      </c>
      <c r="J1186" s="1" t="str">
        <f>"01043977571"</f>
        <v>01043977571</v>
      </c>
      <c r="K1186" s="1" t="str">
        <f>"2017-04-03 15:59:32"</f>
        <v>2017-04-03 15:59:32</v>
      </c>
      <c r="L1186" s="1" t="str">
        <f>"2017-04-03 15:59:42"</f>
        <v>2017-04-03 15:59:42</v>
      </c>
      <c r="M1186" s="2">
        <v>2.1874999999999998E-3</v>
      </c>
      <c r="N1186" s="1" t="s">
        <v>26</v>
      </c>
      <c r="O1186" s="1" t="s">
        <v>27</v>
      </c>
      <c r="P1186" s="2">
        <v>2.3032407407407407E-3</v>
      </c>
      <c r="Q1186" s="1" t="s">
        <v>955</v>
      </c>
      <c r="R1186" s="1">
        <v>0</v>
      </c>
      <c r="S1186" s="1" t="str">
        <f>""</f>
        <v/>
      </c>
      <c r="T1186" s="1" t="s">
        <v>29</v>
      </c>
      <c r="U1186" s="1" t="s">
        <v>30</v>
      </c>
      <c r="V1186" s="1">
        <v>0</v>
      </c>
    </row>
    <row r="1187" spans="2:22" x14ac:dyDescent="0.15">
      <c r="B1187" s="1" t="str">
        <f>"188****1100"</f>
        <v>188****1100</v>
      </c>
      <c r="C1187" s="1" t="s">
        <v>23</v>
      </c>
      <c r="D1187" s="1" t="str">
        <f t="shared" si="128"/>
        <v>89177328</v>
      </c>
      <c r="E1187" s="1" t="s">
        <v>24</v>
      </c>
      <c r="F1187" s="1" t="str">
        <f t="shared" si="129"/>
        <v>0010</v>
      </c>
      <c r="G1187" s="1" t="str">
        <f>""</f>
        <v/>
      </c>
      <c r="H1187" s="1" t="str">
        <f>"0010"</f>
        <v>0010</v>
      </c>
      <c r="I1187" s="1" t="s">
        <v>71</v>
      </c>
      <c r="J1187" s="1" t="str">
        <f>"01043977571"</f>
        <v>01043977571</v>
      </c>
      <c r="K1187" s="1" t="str">
        <f>"2017-04-03 15:59:05"</f>
        <v>2017-04-03 15:59:05</v>
      </c>
      <c r="L1187" s="1" t="str">
        <f>"-"</f>
        <v>-</v>
      </c>
      <c r="M1187" s="2">
        <v>0</v>
      </c>
      <c r="N1187" s="1" t="s">
        <v>33</v>
      </c>
      <c r="O1187" s="1" t="s">
        <v>34</v>
      </c>
      <c r="P1187" s="2">
        <v>1.0416666666666667E-4</v>
      </c>
      <c r="Q1187" s="1" t="str">
        <f>""</f>
        <v/>
      </c>
      <c r="R1187" s="1">
        <v>0</v>
      </c>
      <c r="S1187" s="1" t="str">
        <f>""</f>
        <v/>
      </c>
      <c r="T1187" s="1" t="s">
        <v>29</v>
      </c>
      <c r="U1187" s="1" t="s">
        <v>30</v>
      </c>
      <c r="V1187" s="1">
        <v>0</v>
      </c>
    </row>
    <row r="1188" spans="2:22" x14ac:dyDescent="0.15">
      <c r="B1188" s="1" t="str">
        <f>"188****1100"</f>
        <v>188****1100</v>
      </c>
      <c r="C1188" s="1" t="s">
        <v>23</v>
      </c>
      <c r="D1188" s="1" t="str">
        <f t="shared" si="128"/>
        <v>89177328</v>
      </c>
      <c r="E1188" s="1" t="s">
        <v>24</v>
      </c>
      <c r="F1188" s="1" t="str">
        <f t="shared" si="129"/>
        <v>0010</v>
      </c>
      <c r="G1188" s="1" t="str">
        <f>""</f>
        <v/>
      </c>
      <c r="H1188" s="1" t="str">
        <f>"0010"</f>
        <v>0010</v>
      </c>
      <c r="I1188" s="1" t="s">
        <v>71</v>
      </c>
      <c r="J1188" s="1" t="str">
        <f>"01043977571"</f>
        <v>01043977571</v>
      </c>
      <c r="K1188" s="1" t="str">
        <f>"2017-04-03 15:56:33"</f>
        <v>2017-04-03 15:56:33</v>
      </c>
      <c r="L1188" s="1" t="str">
        <f>"-"</f>
        <v>-</v>
      </c>
      <c r="M1188" s="2">
        <v>0</v>
      </c>
      <c r="N1188" s="1" t="s">
        <v>33</v>
      </c>
      <c r="O1188" s="1" t="s">
        <v>34</v>
      </c>
      <c r="P1188" s="2">
        <v>1.273148148148148E-4</v>
      </c>
      <c r="Q1188" s="1" t="str">
        <f>""</f>
        <v/>
      </c>
      <c r="R1188" s="1">
        <v>0</v>
      </c>
      <c r="S1188" s="1" t="str">
        <f>""</f>
        <v/>
      </c>
      <c r="T1188" s="1" t="s">
        <v>29</v>
      </c>
      <c r="U1188" s="1" t="s">
        <v>30</v>
      </c>
      <c r="V1188" s="1">
        <v>0</v>
      </c>
    </row>
    <row r="1189" spans="2:22" x14ac:dyDescent="0.15">
      <c r="B1189" s="1" t="str">
        <f>"010****0698"</f>
        <v>010****0698</v>
      </c>
      <c r="C1189" s="1" t="s">
        <v>23</v>
      </c>
      <c r="D1189" s="1" t="str">
        <f t="shared" si="128"/>
        <v>89177328</v>
      </c>
      <c r="E1189" s="1" t="s">
        <v>24</v>
      </c>
      <c r="F1189" s="1" t="str">
        <f t="shared" si="129"/>
        <v>0010</v>
      </c>
      <c r="G1189" s="1" t="str">
        <f>""</f>
        <v/>
      </c>
      <c r="H1189" s="1" t="str">
        <f>"0012"</f>
        <v>0012</v>
      </c>
      <c r="I1189" s="1" t="s">
        <v>612</v>
      </c>
      <c r="J1189" s="1" t="str">
        <f>"01043989720"</f>
        <v>01043989720</v>
      </c>
      <c r="K1189" s="1" t="str">
        <f>"2017-04-03 15:52:47"</f>
        <v>2017-04-03 15:52:47</v>
      </c>
      <c r="L1189" s="1" t="str">
        <f>"2017-04-03 15:53:26"</f>
        <v>2017-04-03 15:53:26</v>
      </c>
      <c r="M1189" s="2">
        <v>6.9675925925925921E-3</v>
      </c>
      <c r="N1189" s="1" t="s">
        <v>26</v>
      </c>
      <c r="O1189" s="1" t="s">
        <v>27</v>
      </c>
      <c r="P1189" s="2">
        <v>7.4189814814814813E-3</v>
      </c>
      <c r="Q1189" s="1" t="s">
        <v>956</v>
      </c>
      <c r="R1189" s="1">
        <v>0</v>
      </c>
      <c r="S1189" s="1" t="str">
        <f>""</f>
        <v/>
      </c>
      <c r="T1189" s="1" t="s">
        <v>29</v>
      </c>
      <c r="U1189" s="1" t="s">
        <v>30</v>
      </c>
      <c r="V1189" s="1">
        <v>0</v>
      </c>
    </row>
    <row r="1190" spans="2:22" x14ac:dyDescent="0.15">
      <c r="B1190" s="1" t="str">
        <f>"183****4280"</f>
        <v>183****4280</v>
      </c>
      <c r="C1190" s="1" t="s">
        <v>23</v>
      </c>
      <c r="D1190" s="1" t="str">
        <f t="shared" si="128"/>
        <v>89177328</v>
      </c>
      <c r="E1190" s="1" t="s">
        <v>24</v>
      </c>
      <c r="F1190" s="1" t="str">
        <f t="shared" si="129"/>
        <v>0010</v>
      </c>
      <c r="G1190" s="1" t="str">
        <f>""</f>
        <v/>
      </c>
      <c r="H1190" s="1" t="str">
        <f>"0012"</f>
        <v>0012</v>
      </c>
      <c r="I1190" s="1" t="s">
        <v>612</v>
      </c>
      <c r="J1190" s="1" t="str">
        <f>"01043989720"</f>
        <v>01043989720</v>
      </c>
      <c r="K1190" s="1" t="str">
        <f>"2017-04-03 15:50:53"</f>
        <v>2017-04-03 15:50:53</v>
      </c>
      <c r="L1190" s="1" t="str">
        <f t="shared" ref="L1190:L1199" si="130">"-"</f>
        <v>-</v>
      </c>
      <c r="M1190" s="2">
        <v>0</v>
      </c>
      <c r="N1190" s="1" t="s">
        <v>33</v>
      </c>
      <c r="O1190" s="1" t="s">
        <v>34</v>
      </c>
      <c r="P1190" s="2">
        <v>4.6296296296296294E-5</v>
      </c>
      <c r="Q1190" s="1" t="str">
        <f>""</f>
        <v/>
      </c>
      <c r="R1190" s="1">
        <v>0</v>
      </c>
      <c r="S1190" s="1" t="str">
        <f>""</f>
        <v/>
      </c>
      <c r="T1190" s="1" t="s">
        <v>29</v>
      </c>
      <c r="U1190" s="1" t="s">
        <v>30</v>
      </c>
      <c r="V1190" s="1">
        <v>0</v>
      </c>
    </row>
    <row r="1191" spans="2:22" x14ac:dyDescent="0.15">
      <c r="B1191" s="1" t="str">
        <f>"136****0764"</f>
        <v>136****0764</v>
      </c>
      <c r="C1191" s="1" t="s">
        <v>23</v>
      </c>
      <c r="D1191" s="1" t="str">
        <f t="shared" si="128"/>
        <v>89177328</v>
      </c>
      <c r="E1191" s="1" t="s">
        <v>24</v>
      </c>
      <c r="F1191" s="1" t="str">
        <f t="shared" si="129"/>
        <v>0010</v>
      </c>
      <c r="G1191" s="1" t="str">
        <f>""</f>
        <v/>
      </c>
      <c r="H1191" s="1" t="str">
        <f>"0010"</f>
        <v>0010</v>
      </c>
      <c r="I1191" s="1" t="s">
        <v>71</v>
      </c>
      <c r="J1191" s="1" t="str">
        <f>"01043977571"</f>
        <v>01043977571</v>
      </c>
      <c r="K1191" s="1" t="str">
        <f>"2017-04-03 15:49:21"</f>
        <v>2017-04-03 15:49:21</v>
      </c>
      <c r="L1191" s="1" t="str">
        <f t="shared" si="130"/>
        <v>-</v>
      </c>
      <c r="M1191" s="2">
        <v>0</v>
      </c>
      <c r="N1191" s="1" t="s">
        <v>33</v>
      </c>
      <c r="O1191" s="1" t="s">
        <v>34</v>
      </c>
      <c r="P1191" s="2">
        <v>8.1018518518518516E-5</v>
      </c>
      <c r="Q1191" s="1" t="str">
        <f>""</f>
        <v/>
      </c>
      <c r="R1191" s="1">
        <v>0</v>
      </c>
      <c r="S1191" s="1" t="str">
        <f>""</f>
        <v/>
      </c>
      <c r="T1191" s="1" t="s">
        <v>29</v>
      </c>
      <c r="U1191" s="1" t="s">
        <v>30</v>
      </c>
      <c r="V1191" s="1">
        <v>0</v>
      </c>
    </row>
    <row r="1192" spans="2:22" x14ac:dyDescent="0.15">
      <c r="B1192" s="1" t="str">
        <f>"130****5656"</f>
        <v>130****5656</v>
      </c>
      <c r="C1192" s="1" t="s">
        <v>112</v>
      </c>
      <c r="D1192" s="1" t="str">
        <f t="shared" si="128"/>
        <v>89177328</v>
      </c>
      <c r="E1192" s="1" t="s">
        <v>24</v>
      </c>
      <c r="F1192" s="1" t="str">
        <f t="shared" si="129"/>
        <v>0010</v>
      </c>
      <c r="G1192" s="1" t="str">
        <f>""</f>
        <v/>
      </c>
      <c r="H1192" s="1" t="str">
        <f>"0012"</f>
        <v>0012</v>
      </c>
      <c r="I1192" s="1" t="s">
        <v>612</v>
      </c>
      <c r="J1192" s="1" t="str">
        <f>"01043989720"</f>
        <v>01043989720</v>
      </c>
      <c r="K1192" s="1" t="str">
        <f>"2017-04-03 15:48:31"</f>
        <v>2017-04-03 15:48:31</v>
      </c>
      <c r="L1192" s="1" t="str">
        <f t="shared" si="130"/>
        <v>-</v>
      </c>
      <c r="M1192" s="2">
        <v>0</v>
      </c>
      <c r="N1192" s="1" t="s">
        <v>33</v>
      </c>
      <c r="O1192" s="1" t="s">
        <v>34</v>
      </c>
      <c r="P1192" s="2">
        <v>1.0416666666666667E-4</v>
      </c>
      <c r="Q1192" s="1" t="str">
        <f>""</f>
        <v/>
      </c>
      <c r="R1192" s="1">
        <v>0</v>
      </c>
      <c r="S1192" s="1" t="str">
        <f>""</f>
        <v/>
      </c>
      <c r="T1192" s="1" t="s">
        <v>29</v>
      </c>
      <c r="U1192" s="1" t="s">
        <v>30</v>
      </c>
      <c r="V1192" s="1">
        <v>0</v>
      </c>
    </row>
    <row r="1193" spans="2:22" x14ac:dyDescent="0.15">
      <c r="B1193" s="1" t="str">
        <f>"183****4280"</f>
        <v>183****4280</v>
      </c>
      <c r="C1193" s="1" t="s">
        <v>23</v>
      </c>
      <c r="D1193" s="1" t="str">
        <f t="shared" si="128"/>
        <v>89177328</v>
      </c>
      <c r="E1193" s="1" t="s">
        <v>24</v>
      </c>
      <c r="F1193" s="1" t="str">
        <f t="shared" si="129"/>
        <v>0010</v>
      </c>
      <c r="G1193" s="1" t="str">
        <f>""</f>
        <v/>
      </c>
      <c r="H1193" s="1" t="str">
        <f>"0010"</f>
        <v>0010</v>
      </c>
      <c r="I1193" s="1" t="s">
        <v>71</v>
      </c>
      <c r="J1193" s="1" t="str">
        <f>"01043977571"</f>
        <v>01043977571</v>
      </c>
      <c r="K1193" s="1" t="str">
        <f>"2017-04-03 15:48:30"</f>
        <v>2017-04-03 15:48:30</v>
      </c>
      <c r="L1193" s="1" t="str">
        <f t="shared" si="130"/>
        <v>-</v>
      </c>
      <c r="M1193" s="2">
        <v>0</v>
      </c>
      <c r="N1193" s="1" t="s">
        <v>33</v>
      </c>
      <c r="O1193" s="1" t="s">
        <v>34</v>
      </c>
      <c r="P1193" s="2">
        <v>5.7870370370370366E-5</v>
      </c>
      <c r="Q1193" s="1" t="str">
        <f>""</f>
        <v/>
      </c>
      <c r="R1193" s="1">
        <v>0</v>
      </c>
      <c r="S1193" s="1" t="str">
        <f>""</f>
        <v/>
      </c>
      <c r="T1193" s="1" t="s">
        <v>29</v>
      </c>
      <c r="U1193" s="1" t="s">
        <v>30</v>
      </c>
      <c r="V1193" s="1">
        <v>0</v>
      </c>
    </row>
    <row r="1194" spans="2:22" x14ac:dyDescent="0.15">
      <c r="B1194" s="1" t="str">
        <f>"130****5656"</f>
        <v>130****5656</v>
      </c>
      <c r="C1194" s="1" t="s">
        <v>112</v>
      </c>
      <c r="D1194" s="1" t="str">
        <f t="shared" si="128"/>
        <v>89177328</v>
      </c>
      <c r="E1194" s="1" t="s">
        <v>24</v>
      </c>
      <c r="F1194" s="1" t="str">
        <f t="shared" si="129"/>
        <v>0010</v>
      </c>
      <c r="G1194" s="1" t="str">
        <f>""</f>
        <v/>
      </c>
      <c r="H1194" s="1" t="str">
        <f>"0010"</f>
        <v>0010</v>
      </c>
      <c r="I1194" s="1" t="s">
        <v>71</v>
      </c>
      <c r="J1194" s="1" t="str">
        <f>"01043977571"</f>
        <v>01043977571</v>
      </c>
      <c r="K1194" s="1" t="str">
        <f>"2017-04-03 15:46:28"</f>
        <v>2017-04-03 15:46:28</v>
      </c>
      <c r="L1194" s="1" t="str">
        <f t="shared" si="130"/>
        <v>-</v>
      </c>
      <c r="M1194" s="2">
        <v>0</v>
      </c>
      <c r="N1194" s="1" t="s">
        <v>33</v>
      </c>
      <c r="O1194" s="1" t="s">
        <v>34</v>
      </c>
      <c r="P1194" s="2">
        <v>5.7870370370370366E-5</v>
      </c>
      <c r="Q1194" s="1" t="str">
        <f>""</f>
        <v/>
      </c>
      <c r="R1194" s="1">
        <v>0</v>
      </c>
      <c r="S1194" s="1" t="str">
        <f>""</f>
        <v/>
      </c>
      <c r="T1194" s="1" t="s">
        <v>29</v>
      </c>
      <c r="U1194" s="1" t="s">
        <v>30</v>
      </c>
      <c r="V1194" s="1">
        <v>0</v>
      </c>
    </row>
    <row r="1195" spans="2:22" x14ac:dyDescent="0.15">
      <c r="B1195" s="1" t="str">
        <f>"188****7867"</f>
        <v>188****7867</v>
      </c>
      <c r="C1195" s="1" t="s">
        <v>23</v>
      </c>
      <c r="D1195" s="1" t="str">
        <f t="shared" si="128"/>
        <v>89177328</v>
      </c>
      <c r="E1195" s="1" t="s">
        <v>24</v>
      </c>
      <c r="F1195" s="1" t="str">
        <f t="shared" si="129"/>
        <v>0010</v>
      </c>
      <c r="G1195" s="1" t="str">
        <f>""</f>
        <v/>
      </c>
      <c r="H1195" s="1" t="str">
        <f>"0012"</f>
        <v>0012</v>
      </c>
      <c r="I1195" s="1" t="s">
        <v>612</v>
      </c>
      <c r="J1195" s="1" t="str">
        <f>"01043989720"</f>
        <v>01043989720</v>
      </c>
      <c r="K1195" s="1" t="str">
        <f>"2017-04-03 15:45:58"</f>
        <v>2017-04-03 15:45:58</v>
      </c>
      <c r="L1195" s="1" t="str">
        <f t="shared" si="130"/>
        <v>-</v>
      </c>
      <c r="M1195" s="2">
        <v>0</v>
      </c>
      <c r="N1195" s="1" t="s">
        <v>33</v>
      </c>
      <c r="O1195" s="1" t="s">
        <v>34</v>
      </c>
      <c r="P1195" s="2">
        <v>6.9444444444444444E-5</v>
      </c>
      <c r="Q1195" s="1" t="str">
        <f>""</f>
        <v/>
      </c>
      <c r="R1195" s="1">
        <v>0</v>
      </c>
      <c r="S1195" s="1" t="str">
        <f>""</f>
        <v/>
      </c>
      <c r="T1195" s="1" t="s">
        <v>29</v>
      </c>
      <c r="U1195" s="1" t="s">
        <v>30</v>
      </c>
      <c r="V1195" s="1">
        <v>0</v>
      </c>
    </row>
    <row r="1196" spans="2:22" x14ac:dyDescent="0.15">
      <c r="B1196" s="1" t="str">
        <f>"183****4280"</f>
        <v>183****4280</v>
      </c>
      <c r="C1196" s="1" t="s">
        <v>23</v>
      </c>
      <c r="D1196" s="1" t="str">
        <f t="shared" si="128"/>
        <v>89177328</v>
      </c>
      <c r="E1196" s="1" t="s">
        <v>24</v>
      </c>
      <c r="F1196" s="1" t="str">
        <f t="shared" si="129"/>
        <v>0010</v>
      </c>
      <c r="G1196" s="1" t="str">
        <f>""</f>
        <v/>
      </c>
      <c r="H1196" s="1" t="str">
        <f>"0012"</f>
        <v>0012</v>
      </c>
      <c r="I1196" s="1" t="s">
        <v>612</v>
      </c>
      <c r="J1196" s="1" t="str">
        <f>"01043989720"</f>
        <v>01043989720</v>
      </c>
      <c r="K1196" s="1" t="str">
        <f>"2017-04-03 15:45:30"</f>
        <v>2017-04-03 15:45:30</v>
      </c>
      <c r="L1196" s="1" t="str">
        <f t="shared" si="130"/>
        <v>-</v>
      </c>
      <c r="M1196" s="2">
        <v>0</v>
      </c>
      <c r="N1196" s="1" t="s">
        <v>33</v>
      </c>
      <c r="O1196" s="1" t="s">
        <v>34</v>
      </c>
      <c r="P1196" s="2">
        <v>5.7870370370370366E-5</v>
      </c>
      <c r="Q1196" s="1" t="str">
        <f>""</f>
        <v/>
      </c>
      <c r="R1196" s="1">
        <v>0</v>
      </c>
      <c r="S1196" s="1" t="str">
        <f>""</f>
        <v/>
      </c>
      <c r="T1196" s="1" t="s">
        <v>29</v>
      </c>
      <c r="U1196" s="1" t="s">
        <v>30</v>
      </c>
      <c r="V1196" s="1">
        <v>0</v>
      </c>
    </row>
    <row r="1197" spans="2:22" x14ac:dyDescent="0.15">
      <c r="B1197" s="1" t="str">
        <f>"136****0764"</f>
        <v>136****0764</v>
      </c>
      <c r="C1197" s="1" t="s">
        <v>23</v>
      </c>
      <c r="D1197" s="1" t="str">
        <f t="shared" si="128"/>
        <v>89177328</v>
      </c>
      <c r="E1197" s="1" t="s">
        <v>24</v>
      </c>
      <c r="F1197" s="1" t="str">
        <f t="shared" si="129"/>
        <v>0010</v>
      </c>
      <c r="G1197" s="1" t="str">
        <f>""</f>
        <v/>
      </c>
      <c r="H1197" s="1" t="str">
        <f>"0012"</f>
        <v>0012</v>
      </c>
      <c r="I1197" s="1" t="s">
        <v>612</v>
      </c>
      <c r="J1197" s="1" t="str">
        <f>"01043989720"</f>
        <v>01043989720</v>
      </c>
      <c r="K1197" s="1" t="str">
        <f>"2017-04-03 15:45:00"</f>
        <v>2017-04-03 15:45:00</v>
      </c>
      <c r="L1197" s="1" t="str">
        <f t="shared" si="130"/>
        <v>-</v>
      </c>
      <c r="M1197" s="2">
        <v>0</v>
      </c>
      <c r="N1197" s="1" t="s">
        <v>33</v>
      </c>
      <c r="O1197" s="1" t="s">
        <v>34</v>
      </c>
      <c r="P1197" s="2">
        <v>1.273148148148148E-4</v>
      </c>
      <c r="Q1197" s="1" t="str">
        <f>""</f>
        <v/>
      </c>
      <c r="R1197" s="1">
        <v>0</v>
      </c>
      <c r="S1197" s="1" t="str">
        <f>""</f>
        <v/>
      </c>
      <c r="T1197" s="1" t="s">
        <v>29</v>
      </c>
      <c r="U1197" s="1" t="s">
        <v>30</v>
      </c>
      <c r="V1197" s="1">
        <v>0</v>
      </c>
    </row>
    <row r="1198" spans="2:22" x14ac:dyDescent="0.15">
      <c r="B1198" s="1" t="str">
        <f>"130****5656"</f>
        <v>130****5656</v>
      </c>
      <c r="C1198" s="1" t="s">
        <v>112</v>
      </c>
      <c r="D1198" s="1" t="str">
        <f t="shared" si="128"/>
        <v>89177328</v>
      </c>
      <c r="E1198" s="1" t="s">
        <v>24</v>
      </c>
      <c r="F1198" s="1" t="str">
        <f t="shared" si="129"/>
        <v>0010</v>
      </c>
      <c r="G1198" s="1" t="str">
        <f>""</f>
        <v/>
      </c>
      <c r="H1198" s="1" t="str">
        <f>"0010"</f>
        <v>0010</v>
      </c>
      <c r="I1198" s="1" t="s">
        <v>71</v>
      </c>
      <c r="J1198" s="1" t="str">
        <f>"01043977571"</f>
        <v>01043977571</v>
      </c>
      <c r="K1198" s="1" t="str">
        <f>"2017-04-03 15:44:25"</f>
        <v>2017-04-03 15:44:25</v>
      </c>
      <c r="L1198" s="1" t="str">
        <f t="shared" si="130"/>
        <v>-</v>
      </c>
      <c r="M1198" s="2">
        <v>0</v>
      </c>
      <c r="N1198" s="1" t="s">
        <v>33</v>
      </c>
      <c r="O1198" s="1" t="s">
        <v>34</v>
      </c>
      <c r="P1198" s="2">
        <v>4.6296296296296294E-5</v>
      </c>
      <c r="Q1198" s="1" t="str">
        <f>""</f>
        <v/>
      </c>
      <c r="R1198" s="1">
        <v>0</v>
      </c>
      <c r="S1198" s="1" t="str">
        <f>""</f>
        <v/>
      </c>
      <c r="T1198" s="1" t="s">
        <v>29</v>
      </c>
      <c r="U1198" s="1" t="s">
        <v>30</v>
      </c>
      <c r="V1198" s="1">
        <v>0</v>
      </c>
    </row>
    <row r="1199" spans="2:22" x14ac:dyDescent="0.15">
      <c r="B1199" s="1" t="str">
        <f>"188****5188"</f>
        <v>188****5188</v>
      </c>
      <c r="C1199" s="1" t="s">
        <v>188</v>
      </c>
      <c r="D1199" s="1" t="str">
        <f t="shared" si="128"/>
        <v>89177328</v>
      </c>
      <c r="E1199" s="1" t="s">
        <v>24</v>
      </c>
      <c r="F1199" s="1" t="str">
        <f t="shared" si="129"/>
        <v>0010</v>
      </c>
      <c r="G1199" s="1" t="str">
        <f>""</f>
        <v/>
      </c>
      <c r="H1199" s="1" t="str">
        <f>"0010"</f>
        <v>0010</v>
      </c>
      <c r="I1199" s="1" t="s">
        <v>71</v>
      </c>
      <c r="J1199" s="1" t="str">
        <f>"01043977571"</f>
        <v>01043977571</v>
      </c>
      <c r="K1199" s="1" t="str">
        <f>"2017-04-03 15:41:45"</f>
        <v>2017-04-03 15:41:45</v>
      </c>
      <c r="L1199" s="1" t="str">
        <f t="shared" si="130"/>
        <v>-</v>
      </c>
      <c r="M1199" s="2">
        <v>0</v>
      </c>
      <c r="N1199" s="1" t="s">
        <v>33</v>
      </c>
      <c r="O1199" s="1" t="s">
        <v>34</v>
      </c>
      <c r="P1199" s="2">
        <v>2.3148148148148147E-5</v>
      </c>
      <c r="Q1199" s="1" t="str">
        <f>""</f>
        <v/>
      </c>
      <c r="R1199" s="1">
        <v>0</v>
      </c>
      <c r="S1199" s="1" t="str">
        <f>""</f>
        <v/>
      </c>
      <c r="T1199" s="1" t="s">
        <v>29</v>
      </c>
      <c r="U1199" s="1" t="s">
        <v>30</v>
      </c>
      <c r="V1199" s="1">
        <v>0</v>
      </c>
    </row>
    <row r="1200" spans="2:22" x14ac:dyDescent="0.15">
      <c r="B1200" s="1" t="str">
        <f>"135****3339"</f>
        <v>135****3339</v>
      </c>
      <c r="C1200" s="1" t="s">
        <v>87</v>
      </c>
      <c r="D1200" s="1" t="str">
        <f t="shared" si="128"/>
        <v>89177328</v>
      </c>
      <c r="E1200" s="1" t="s">
        <v>24</v>
      </c>
      <c r="F1200" s="1" t="str">
        <f t="shared" si="129"/>
        <v>0010</v>
      </c>
      <c r="G1200" s="1" t="str">
        <f>""</f>
        <v/>
      </c>
      <c r="H1200" s="1" t="str">
        <f>"0018"</f>
        <v>0018</v>
      </c>
      <c r="I1200" s="1" t="s">
        <v>36</v>
      </c>
      <c r="J1200" s="1" t="str">
        <f>"01043977572"</f>
        <v>01043977572</v>
      </c>
      <c r="K1200" s="1" t="str">
        <f>"2017-04-03 15:03:39"</f>
        <v>2017-04-03 15:03:39</v>
      </c>
      <c r="L1200" s="1" t="str">
        <f>"2017-04-03 15:03:49"</f>
        <v>2017-04-03 15:03:49</v>
      </c>
      <c r="M1200" s="2">
        <v>1.0277777777777778E-2</v>
      </c>
      <c r="N1200" s="1" t="s">
        <v>26</v>
      </c>
      <c r="O1200" s="1" t="s">
        <v>34</v>
      </c>
      <c r="P1200" s="2">
        <v>1.0393518518518519E-2</v>
      </c>
      <c r="Q1200" s="1" t="s">
        <v>957</v>
      </c>
      <c r="R1200" s="1">
        <v>0</v>
      </c>
      <c r="S1200" s="1" t="str">
        <f>""</f>
        <v/>
      </c>
      <c r="T1200" s="1" t="s">
        <v>29</v>
      </c>
      <c r="U1200" s="1" t="s">
        <v>30</v>
      </c>
      <c r="V1200" s="1">
        <v>0</v>
      </c>
    </row>
    <row r="1201" spans="2:22" x14ac:dyDescent="0.15">
      <c r="B1201" s="1" t="str">
        <f>"189****2621"</f>
        <v>189****2621</v>
      </c>
      <c r="C1201" s="1" t="s">
        <v>23</v>
      </c>
      <c r="D1201" s="1" t="str">
        <f t="shared" si="128"/>
        <v>89177328</v>
      </c>
      <c r="E1201" s="1" t="s">
        <v>24</v>
      </c>
      <c r="F1201" s="1" t="str">
        <f t="shared" si="129"/>
        <v>0010</v>
      </c>
      <c r="G1201" s="1" t="str">
        <f>""</f>
        <v/>
      </c>
      <c r="H1201" s="1" t="str">
        <f>"0010"</f>
        <v>0010</v>
      </c>
      <c r="I1201" s="1" t="s">
        <v>71</v>
      </c>
      <c r="J1201" s="1" t="str">
        <f>"01043977571"</f>
        <v>01043977571</v>
      </c>
      <c r="K1201" s="1" t="str">
        <f>"2017-04-03 14:55:24"</f>
        <v>2017-04-03 14:55:24</v>
      </c>
      <c r="L1201" s="1" t="str">
        <f>"2017-04-03 14:55:35"</f>
        <v>2017-04-03 14:55:35</v>
      </c>
      <c r="M1201" s="2">
        <v>1.7662037037037035E-2</v>
      </c>
      <c r="N1201" s="1" t="s">
        <v>26</v>
      </c>
      <c r="O1201" s="1" t="s">
        <v>27</v>
      </c>
      <c r="P1201" s="2">
        <v>1.7789351851851851E-2</v>
      </c>
      <c r="Q1201" s="1" t="s">
        <v>958</v>
      </c>
      <c r="R1201" s="1">
        <v>0</v>
      </c>
      <c r="S1201" s="1" t="str">
        <f>""</f>
        <v/>
      </c>
      <c r="T1201" s="1" t="s">
        <v>29</v>
      </c>
      <c r="U1201" s="1" t="s">
        <v>30</v>
      </c>
      <c r="V1201" s="1">
        <v>0</v>
      </c>
    </row>
    <row r="1202" spans="2:22" x14ac:dyDescent="0.15">
      <c r="B1202" s="1" t="str">
        <f>"189****2621"</f>
        <v>189****2621</v>
      </c>
      <c r="C1202" s="1" t="s">
        <v>23</v>
      </c>
      <c r="D1202" s="1" t="str">
        <f t="shared" si="128"/>
        <v>89177328</v>
      </c>
      <c r="E1202" s="1" t="s">
        <v>24</v>
      </c>
      <c r="F1202" s="1" t="str">
        <f t="shared" si="129"/>
        <v>0010</v>
      </c>
      <c r="G1202" s="1" t="str">
        <f>""</f>
        <v/>
      </c>
      <c r="H1202" s="1" t="str">
        <f>"0010"</f>
        <v>0010</v>
      </c>
      <c r="I1202" s="1" t="s">
        <v>71</v>
      </c>
      <c r="J1202" s="1" t="str">
        <f>"01043977571"</f>
        <v>01043977571</v>
      </c>
      <c r="K1202" s="1" t="str">
        <f>"2017-04-03 14:50:29"</f>
        <v>2017-04-03 14:50:29</v>
      </c>
      <c r="L1202" s="1" t="str">
        <f>"-"</f>
        <v>-</v>
      </c>
      <c r="M1202" s="2">
        <v>0</v>
      </c>
      <c r="N1202" s="1" t="s">
        <v>33</v>
      </c>
      <c r="O1202" s="1" t="s">
        <v>34</v>
      </c>
      <c r="P1202" s="2">
        <v>2.3148148148148147E-5</v>
      </c>
      <c r="Q1202" s="1" t="str">
        <f>""</f>
        <v/>
      </c>
      <c r="R1202" s="1">
        <v>0</v>
      </c>
      <c r="S1202" s="1" t="str">
        <f>""</f>
        <v/>
      </c>
      <c r="T1202" s="1" t="s">
        <v>29</v>
      </c>
      <c r="U1202" s="1" t="s">
        <v>30</v>
      </c>
      <c r="V1202" s="1">
        <v>0</v>
      </c>
    </row>
    <row r="1203" spans="2:22" x14ac:dyDescent="0.15">
      <c r="B1203" s="1" t="str">
        <f>"130****0588"</f>
        <v>130****0588</v>
      </c>
      <c r="C1203" s="1" t="s">
        <v>959</v>
      </c>
      <c r="D1203" s="1" t="str">
        <f t="shared" si="128"/>
        <v>89177328</v>
      </c>
      <c r="E1203" s="1" t="s">
        <v>24</v>
      </c>
      <c r="F1203" s="1" t="str">
        <f t="shared" si="129"/>
        <v>0010</v>
      </c>
      <c r="G1203" s="1" t="str">
        <f>""</f>
        <v/>
      </c>
      <c r="H1203" s="1" t="str">
        <f>"0012"</f>
        <v>0012</v>
      </c>
      <c r="I1203" s="1" t="s">
        <v>612</v>
      </c>
      <c r="J1203" s="1" t="str">
        <f>"01043989720"</f>
        <v>01043989720</v>
      </c>
      <c r="K1203" s="1" t="str">
        <f>"2017-04-03 13:25:37"</f>
        <v>2017-04-03 13:25:37</v>
      </c>
      <c r="L1203" s="1" t="str">
        <f>"2017-04-03 13:25:47"</f>
        <v>2017-04-03 13:25:47</v>
      </c>
      <c r="M1203" s="2">
        <v>7.1412037037037043E-3</v>
      </c>
      <c r="N1203" s="1" t="s">
        <v>26</v>
      </c>
      <c r="O1203" s="1" t="s">
        <v>27</v>
      </c>
      <c r="P1203" s="2">
        <v>7.2569444444444443E-3</v>
      </c>
      <c r="Q1203" s="1" t="s">
        <v>960</v>
      </c>
      <c r="R1203" s="1">
        <v>0</v>
      </c>
      <c r="S1203" s="1" t="str">
        <f>""</f>
        <v/>
      </c>
      <c r="T1203" s="1" t="s">
        <v>29</v>
      </c>
      <c r="U1203" s="1" t="s">
        <v>30</v>
      </c>
      <c r="V1203" s="1">
        <v>0</v>
      </c>
    </row>
    <row r="1204" spans="2:22" x14ac:dyDescent="0.15">
      <c r="B1204" s="1" t="str">
        <f>"151****2006"</f>
        <v>151****2006</v>
      </c>
      <c r="C1204" s="1" t="s">
        <v>41</v>
      </c>
      <c r="D1204" s="1" t="str">
        <f t="shared" si="128"/>
        <v>89177328</v>
      </c>
      <c r="E1204" s="1" t="s">
        <v>24</v>
      </c>
      <c r="F1204" s="1" t="str">
        <f t="shared" si="129"/>
        <v>0010</v>
      </c>
      <c r="G1204" s="1" t="str">
        <f>""</f>
        <v/>
      </c>
      <c r="H1204" s="1" t="str">
        <f>"0017"</f>
        <v>0017</v>
      </c>
      <c r="I1204" s="1" t="s">
        <v>135</v>
      </c>
      <c r="J1204" s="1" t="str">
        <f>"01043989717"</f>
        <v>01043989717</v>
      </c>
      <c r="K1204" s="1" t="str">
        <f>"2017-04-03 12:22:05"</f>
        <v>2017-04-03 12:22:05</v>
      </c>
      <c r="L1204" s="1" t="str">
        <f>"-"</f>
        <v>-</v>
      </c>
      <c r="M1204" s="2">
        <v>0</v>
      </c>
      <c r="N1204" s="1" t="s">
        <v>33</v>
      </c>
      <c r="O1204" s="1" t="s">
        <v>34</v>
      </c>
      <c r="P1204" s="2">
        <v>1.1574074074074073E-5</v>
      </c>
      <c r="Q1204" s="1" t="str">
        <f>""</f>
        <v/>
      </c>
      <c r="R1204" s="1">
        <v>0</v>
      </c>
      <c r="S1204" s="1" t="str">
        <f>""</f>
        <v/>
      </c>
      <c r="T1204" s="1" t="s">
        <v>29</v>
      </c>
      <c r="U1204" s="1" t="s">
        <v>30</v>
      </c>
      <c r="V1204" s="1">
        <v>0</v>
      </c>
    </row>
    <row r="1205" spans="2:22" x14ac:dyDescent="0.15">
      <c r="B1205" s="1" t="str">
        <f>"010****7457"</f>
        <v>010****7457</v>
      </c>
      <c r="C1205" s="1" t="s">
        <v>23</v>
      </c>
      <c r="D1205" s="1" t="str">
        <f t="shared" si="128"/>
        <v>89177328</v>
      </c>
      <c r="E1205" s="1" t="s">
        <v>24</v>
      </c>
      <c r="F1205" s="1" t="str">
        <f t="shared" si="129"/>
        <v>0010</v>
      </c>
      <c r="G1205" s="1" t="str">
        <f>""</f>
        <v/>
      </c>
      <c r="H1205" s="1" t="str">
        <f>"0017"</f>
        <v>0017</v>
      </c>
      <c r="I1205" s="1" t="s">
        <v>135</v>
      </c>
      <c r="J1205" s="1" t="str">
        <f>"01043989717"</f>
        <v>01043989717</v>
      </c>
      <c r="K1205" s="1" t="str">
        <f>"2017-04-03 11:57:49"</f>
        <v>2017-04-03 11:57:49</v>
      </c>
      <c r="L1205" s="1" t="str">
        <f>"2017-04-03 11:57:57"</f>
        <v>2017-04-03 11:57:57</v>
      </c>
      <c r="M1205" s="2">
        <v>3.0555555555555557E-3</v>
      </c>
      <c r="N1205" s="1" t="s">
        <v>26</v>
      </c>
      <c r="O1205" s="1" t="s">
        <v>27</v>
      </c>
      <c r="P1205" s="2">
        <v>3.1481481481481482E-3</v>
      </c>
      <c r="Q1205" s="1" t="s">
        <v>961</v>
      </c>
      <c r="R1205" s="1">
        <v>0</v>
      </c>
      <c r="S1205" s="1" t="str">
        <f>""</f>
        <v/>
      </c>
      <c r="T1205" s="1" t="s">
        <v>29</v>
      </c>
      <c r="U1205" s="1" t="s">
        <v>30</v>
      </c>
      <c r="V1205" s="1">
        <v>0</v>
      </c>
    </row>
    <row r="1206" spans="2:22" x14ac:dyDescent="0.15">
      <c r="B1206" s="1" t="str">
        <f>"136****0764"</f>
        <v>136****0764</v>
      </c>
      <c r="C1206" s="1" t="s">
        <v>23</v>
      </c>
      <c r="D1206" s="1" t="str">
        <f t="shared" si="128"/>
        <v>89177328</v>
      </c>
      <c r="E1206" s="1" t="s">
        <v>24</v>
      </c>
      <c r="F1206" s="1" t="str">
        <f t="shared" si="129"/>
        <v>0010</v>
      </c>
      <c r="G1206" s="1" t="str">
        <f>""</f>
        <v/>
      </c>
      <c r="H1206" s="1" t="str">
        <f>"0012"</f>
        <v>0012</v>
      </c>
      <c r="I1206" s="1" t="s">
        <v>612</v>
      </c>
      <c r="J1206" s="1" t="str">
        <f>"01043989720"</f>
        <v>01043989720</v>
      </c>
      <c r="K1206" s="1" t="str">
        <f>"2017-04-03 11:45:44"</f>
        <v>2017-04-03 11:45:44</v>
      </c>
      <c r="L1206" s="1" t="str">
        <f t="shared" ref="L1206:L1217" si="131">"-"</f>
        <v>-</v>
      </c>
      <c r="M1206" s="2">
        <v>0</v>
      </c>
      <c r="N1206" s="1" t="s">
        <v>33</v>
      </c>
      <c r="O1206" s="1" t="s">
        <v>34</v>
      </c>
      <c r="P1206" s="2">
        <v>5.7870370370370366E-5</v>
      </c>
      <c r="Q1206" s="1" t="str">
        <f>""</f>
        <v/>
      </c>
      <c r="R1206" s="1">
        <v>0</v>
      </c>
      <c r="S1206" s="1" t="str">
        <f>""</f>
        <v/>
      </c>
      <c r="T1206" s="1" t="s">
        <v>29</v>
      </c>
      <c r="U1206" s="1" t="s">
        <v>30</v>
      </c>
      <c r="V1206" s="1">
        <v>0</v>
      </c>
    </row>
    <row r="1207" spans="2:22" x14ac:dyDescent="0.15">
      <c r="B1207" s="1" t="str">
        <f>"136****0764"</f>
        <v>136****0764</v>
      </c>
      <c r="C1207" s="1" t="s">
        <v>23</v>
      </c>
      <c r="D1207" s="1" t="str">
        <f t="shared" si="128"/>
        <v>89177328</v>
      </c>
      <c r="E1207" s="1" t="s">
        <v>24</v>
      </c>
      <c r="F1207" s="1" t="str">
        <f t="shared" si="129"/>
        <v>0010</v>
      </c>
      <c r="G1207" s="1" t="str">
        <f>""</f>
        <v/>
      </c>
      <c r="H1207" s="1" t="str">
        <f>"0010"</f>
        <v>0010</v>
      </c>
      <c r="I1207" s="1" t="s">
        <v>71</v>
      </c>
      <c r="J1207" s="1" t="str">
        <f>"01043977571"</f>
        <v>01043977571</v>
      </c>
      <c r="K1207" s="1" t="str">
        <f>"2017-04-03 11:43:23"</f>
        <v>2017-04-03 11:43:23</v>
      </c>
      <c r="L1207" s="1" t="str">
        <f t="shared" si="131"/>
        <v>-</v>
      </c>
      <c r="M1207" s="2">
        <v>0</v>
      </c>
      <c r="N1207" s="1" t="s">
        <v>33</v>
      </c>
      <c r="O1207" s="1" t="s">
        <v>34</v>
      </c>
      <c r="P1207" s="2">
        <v>9.2592592592592588E-5</v>
      </c>
      <c r="Q1207" s="1" t="str">
        <f>""</f>
        <v/>
      </c>
      <c r="R1207" s="1">
        <v>0</v>
      </c>
      <c r="S1207" s="1" t="str">
        <f>""</f>
        <v/>
      </c>
      <c r="T1207" s="1" t="s">
        <v>29</v>
      </c>
      <c r="U1207" s="1" t="s">
        <v>30</v>
      </c>
      <c r="V1207" s="1">
        <v>0</v>
      </c>
    </row>
    <row r="1208" spans="2:22" x14ac:dyDescent="0.15">
      <c r="B1208" s="1" t="str">
        <f>"188****1100"</f>
        <v>188****1100</v>
      </c>
      <c r="C1208" s="1" t="s">
        <v>23</v>
      </c>
      <c r="D1208" s="1" t="str">
        <f t="shared" si="128"/>
        <v>89177328</v>
      </c>
      <c r="E1208" s="1" t="s">
        <v>24</v>
      </c>
      <c r="F1208" s="1" t="str">
        <f t="shared" si="129"/>
        <v>0010</v>
      </c>
      <c r="G1208" s="1" t="str">
        <f>""</f>
        <v/>
      </c>
      <c r="H1208" s="1" t="str">
        <f>"0012"</f>
        <v>0012</v>
      </c>
      <c r="I1208" s="1" t="s">
        <v>612</v>
      </c>
      <c r="J1208" s="1" t="str">
        <f>"01043989720"</f>
        <v>01043989720</v>
      </c>
      <c r="K1208" s="1" t="str">
        <f>"2017-04-03 11:39:32"</f>
        <v>2017-04-03 11:39:32</v>
      </c>
      <c r="L1208" s="1" t="str">
        <f t="shared" si="131"/>
        <v>-</v>
      </c>
      <c r="M1208" s="2">
        <v>0</v>
      </c>
      <c r="N1208" s="1" t="s">
        <v>33</v>
      </c>
      <c r="O1208" s="1" t="s">
        <v>34</v>
      </c>
      <c r="P1208" s="2">
        <v>8.1018518518518516E-5</v>
      </c>
      <c r="Q1208" s="1" t="str">
        <f>""</f>
        <v/>
      </c>
      <c r="R1208" s="1">
        <v>0</v>
      </c>
      <c r="S1208" s="1" t="str">
        <f>""</f>
        <v/>
      </c>
      <c r="T1208" s="1" t="s">
        <v>29</v>
      </c>
      <c r="U1208" s="1" t="s">
        <v>30</v>
      </c>
      <c r="V1208" s="1">
        <v>0</v>
      </c>
    </row>
    <row r="1209" spans="2:22" x14ac:dyDescent="0.15">
      <c r="B1209" s="1" t="str">
        <f>"188****7867"</f>
        <v>188****7867</v>
      </c>
      <c r="C1209" s="1" t="s">
        <v>23</v>
      </c>
      <c r="D1209" s="1" t="str">
        <f t="shared" si="128"/>
        <v>89177328</v>
      </c>
      <c r="E1209" s="1" t="s">
        <v>24</v>
      </c>
      <c r="F1209" s="1" t="str">
        <f t="shared" si="129"/>
        <v>0010</v>
      </c>
      <c r="G1209" s="1" t="str">
        <f>""</f>
        <v/>
      </c>
      <c r="H1209" s="1" t="str">
        <f>"0012"</f>
        <v>0012</v>
      </c>
      <c r="I1209" s="1" t="s">
        <v>612</v>
      </c>
      <c r="J1209" s="1" t="str">
        <f>"01043989720"</f>
        <v>01043989720</v>
      </c>
      <c r="K1209" s="1" t="str">
        <f>"2017-04-03 11:37:39"</f>
        <v>2017-04-03 11:37:39</v>
      </c>
      <c r="L1209" s="1" t="str">
        <f t="shared" si="131"/>
        <v>-</v>
      </c>
      <c r="M1209" s="2">
        <v>0</v>
      </c>
      <c r="N1209" s="1" t="s">
        <v>33</v>
      </c>
      <c r="O1209" s="1" t="s">
        <v>34</v>
      </c>
      <c r="P1209" s="2">
        <v>6.9444444444444444E-5</v>
      </c>
      <c r="Q1209" s="1" t="str">
        <f>""</f>
        <v/>
      </c>
      <c r="R1209" s="1">
        <v>0</v>
      </c>
      <c r="S1209" s="1" t="str">
        <f>""</f>
        <v/>
      </c>
      <c r="T1209" s="1" t="s">
        <v>29</v>
      </c>
      <c r="U1209" s="1" t="s">
        <v>30</v>
      </c>
      <c r="V1209" s="1">
        <v>0</v>
      </c>
    </row>
    <row r="1210" spans="2:22" x14ac:dyDescent="0.15">
      <c r="B1210" s="1" t="str">
        <f>"130****5656"</f>
        <v>130****5656</v>
      </c>
      <c r="C1210" s="1" t="s">
        <v>112</v>
      </c>
      <c r="D1210" s="1" t="str">
        <f t="shared" si="128"/>
        <v>89177328</v>
      </c>
      <c r="E1210" s="1" t="s">
        <v>24</v>
      </c>
      <c r="F1210" s="1" t="str">
        <f t="shared" si="129"/>
        <v>0010</v>
      </c>
      <c r="G1210" s="1" t="str">
        <f>""</f>
        <v/>
      </c>
      <c r="H1210" s="1" t="str">
        <f>"0012"</f>
        <v>0012</v>
      </c>
      <c r="I1210" s="1" t="s">
        <v>612</v>
      </c>
      <c r="J1210" s="1" t="str">
        <f>"01043989720"</f>
        <v>01043989720</v>
      </c>
      <c r="K1210" s="1" t="str">
        <f>"2017-04-03 11:36:25"</f>
        <v>2017-04-03 11:36:25</v>
      </c>
      <c r="L1210" s="1" t="str">
        <f t="shared" si="131"/>
        <v>-</v>
      </c>
      <c r="M1210" s="2">
        <v>0</v>
      </c>
      <c r="N1210" s="1" t="s">
        <v>33</v>
      </c>
      <c r="O1210" s="1" t="s">
        <v>34</v>
      </c>
      <c r="P1210" s="2">
        <v>6.9444444444444444E-5</v>
      </c>
      <c r="Q1210" s="1" t="str">
        <f>""</f>
        <v/>
      </c>
      <c r="R1210" s="1">
        <v>0</v>
      </c>
      <c r="S1210" s="1" t="str">
        <f>""</f>
        <v/>
      </c>
      <c r="T1210" s="1" t="s">
        <v>29</v>
      </c>
      <c r="U1210" s="1" t="s">
        <v>30</v>
      </c>
      <c r="V1210" s="1">
        <v>0</v>
      </c>
    </row>
    <row r="1211" spans="2:22" x14ac:dyDescent="0.15">
      <c r="B1211" s="1" t="str">
        <f>"188****1100"</f>
        <v>188****1100</v>
      </c>
      <c r="C1211" s="1" t="s">
        <v>23</v>
      </c>
      <c r="D1211" s="1" t="str">
        <f t="shared" si="128"/>
        <v>89177328</v>
      </c>
      <c r="E1211" s="1" t="s">
        <v>24</v>
      </c>
      <c r="F1211" s="1" t="str">
        <f t="shared" si="129"/>
        <v>0010</v>
      </c>
      <c r="G1211" s="1" t="str">
        <f>""</f>
        <v/>
      </c>
      <c r="H1211" s="1" t="str">
        <f>"0010"</f>
        <v>0010</v>
      </c>
      <c r="I1211" s="1" t="s">
        <v>71</v>
      </c>
      <c r="J1211" s="1" t="str">
        <f>"01043977571"</f>
        <v>01043977571</v>
      </c>
      <c r="K1211" s="1" t="str">
        <f>"2017-04-03 11:36:09"</f>
        <v>2017-04-03 11:36:09</v>
      </c>
      <c r="L1211" s="1" t="str">
        <f t="shared" si="131"/>
        <v>-</v>
      </c>
      <c r="M1211" s="2">
        <v>0</v>
      </c>
      <c r="N1211" s="1" t="s">
        <v>33</v>
      </c>
      <c r="O1211" s="1" t="s">
        <v>34</v>
      </c>
      <c r="P1211" s="2">
        <v>1.7361111111111112E-4</v>
      </c>
      <c r="Q1211" s="1" t="str">
        <f>""</f>
        <v/>
      </c>
      <c r="R1211" s="1">
        <v>0</v>
      </c>
      <c r="S1211" s="1" t="str">
        <f>""</f>
        <v/>
      </c>
      <c r="T1211" s="1" t="s">
        <v>29</v>
      </c>
      <c r="U1211" s="1" t="s">
        <v>30</v>
      </c>
      <c r="V1211" s="1">
        <v>0</v>
      </c>
    </row>
    <row r="1212" spans="2:22" x14ac:dyDescent="0.15">
      <c r="B1212" s="1" t="str">
        <f>"188****7867"</f>
        <v>188****7867</v>
      </c>
      <c r="C1212" s="1" t="s">
        <v>23</v>
      </c>
      <c r="D1212" s="1" t="str">
        <f t="shared" si="128"/>
        <v>89177328</v>
      </c>
      <c r="E1212" s="1" t="s">
        <v>24</v>
      </c>
      <c r="F1212" s="1" t="str">
        <f t="shared" si="129"/>
        <v>0010</v>
      </c>
      <c r="G1212" s="1" t="str">
        <f>""</f>
        <v/>
      </c>
      <c r="H1212" s="1" t="str">
        <f>"0010"</f>
        <v>0010</v>
      </c>
      <c r="I1212" s="1" t="s">
        <v>71</v>
      </c>
      <c r="J1212" s="1" t="str">
        <f>"01043977571"</f>
        <v>01043977571</v>
      </c>
      <c r="K1212" s="1" t="str">
        <f>"2017-04-03 11:35:23"</f>
        <v>2017-04-03 11:35:23</v>
      </c>
      <c r="L1212" s="1" t="str">
        <f t="shared" si="131"/>
        <v>-</v>
      </c>
      <c r="M1212" s="2">
        <v>0</v>
      </c>
      <c r="N1212" s="1" t="s">
        <v>33</v>
      </c>
      <c r="O1212" s="1" t="s">
        <v>34</v>
      </c>
      <c r="P1212" s="2">
        <v>4.6296296296296294E-5</v>
      </c>
      <c r="Q1212" s="1" t="str">
        <f>""</f>
        <v/>
      </c>
      <c r="R1212" s="1">
        <v>0</v>
      </c>
      <c r="S1212" s="1" t="str">
        <f>""</f>
        <v/>
      </c>
      <c r="T1212" s="1" t="s">
        <v>29</v>
      </c>
      <c r="U1212" s="1" t="s">
        <v>30</v>
      </c>
      <c r="V1212" s="1">
        <v>0</v>
      </c>
    </row>
    <row r="1213" spans="2:22" x14ac:dyDescent="0.15">
      <c r="B1213" s="1" t="str">
        <f>"130****5656"</f>
        <v>130****5656</v>
      </c>
      <c r="C1213" s="1" t="s">
        <v>112</v>
      </c>
      <c r="D1213" s="1" t="str">
        <f t="shared" si="128"/>
        <v>89177328</v>
      </c>
      <c r="E1213" s="1" t="s">
        <v>24</v>
      </c>
      <c r="F1213" s="1" t="str">
        <f t="shared" si="129"/>
        <v>0010</v>
      </c>
      <c r="G1213" s="1" t="str">
        <f>""</f>
        <v/>
      </c>
      <c r="H1213" s="1" t="str">
        <f>"0010"</f>
        <v>0010</v>
      </c>
      <c r="I1213" s="1" t="s">
        <v>71</v>
      </c>
      <c r="J1213" s="1" t="str">
        <f>"01043977571"</f>
        <v>01043977571</v>
      </c>
      <c r="K1213" s="1" t="str">
        <f>"2017-04-03 11:34:06"</f>
        <v>2017-04-03 11:34:06</v>
      </c>
      <c r="L1213" s="1" t="str">
        <f t="shared" si="131"/>
        <v>-</v>
      </c>
      <c r="M1213" s="2">
        <v>0</v>
      </c>
      <c r="N1213" s="1" t="s">
        <v>33</v>
      </c>
      <c r="O1213" s="1" t="s">
        <v>34</v>
      </c>
      <c r="P1213" s="2">
        <v>4.6296296296296294E-5</v>
      </c>
      <c r="Q1213" s="1" t="str">
        <f>""</f>
        <v/>
      </c>
      <c r="R1213" s="1">
        <v>0</v>
      </c>
      <c r="S1213" s="1" t="str">
        <f>""</f>
        <v/>
      </c>
      <c r="T1213" s="1" t="s">
        <v>29</v>
      </c>
      <c r="U1213" s="1" t="s">
        <v>30</v>
      </c>
      <c r="V1213" s="1">
        <v>0</v>
      </c>
    </row>
    <row r="1214" spans="2:22" x14ac:dyDescent="0.15">
      <c r="B1214" s="1" t="str">
        <f>"188****7867"</f>
        <v>188****7867</v>
      </c>
      <c r="C1214" s="1" t="s">
        <v>23</v>
      </c>
      <c r="D1214" s="1" t="str">
        <f t="shared" si="128"/>
        <v>89177328</v>
      </c>
      <c r="E1214" s="1" t="s">
        <v>24</v>
      </c>
      <c r="F1214" s="1" t="str">
        <f t="shared" si="129"/>
        <v>0010</v>
      </c>
      <c r="G1214" s="1" t="str">
        <f>""</f>
        <v/>
      </c>
      <c r="H1214" s="1" t="str">
        <f>"0010"</f>
        <v>0010</v>
      </c>
      <c r="I1214" s="1" t="s">
        <v>71</v>
      </c>
      <c r="J1214" s="1" t="str">
        <f>"01043977571"</f>
        <v>01043977571</v>
      </c>
      <c r="K1214" s="1" t="str">
        <f>"2017-04-03 11:33:14"</f>
        <v>2017-04-03 11:33:14</v>
      </c>
      <c r="L1214" s="1" t="str">
        <f t="shared" si="131"/>
        <v>-</v>
      </c>
      <c r="M1214" s="2">
        <v>0</v>
      </c>
      <c r="N1214" s="1" t="s">
        <v>33</v>
      </c>
      <c r="O1214" s="1" t="s">
        <v>34</v>
      </c>
      <c r="P1214" s="2">
        <v>5.7870370370370366E-5</v>
      </c>
      <c r="Q1214" s="1" t="str">
        <f>""</f>
        <v/>
      </c>
      <c r="R1214" s="1">
        <v>0</v>
      </c>
      <c r="S1214" s="1" t="str">
        <f>""</f>
        <v/>
      </c>
      <c r="T1214" s="1" t="s">
        <v>29</v>
      </c>
      <c r="U1214" s="1" t="s">
        <v>30</v>
      </c>
      <c r="V1214" s="1">
        <v>0</v>
      </c>
    </row>
    <row r="1215" spans="2:22" x14ac:dyDescent="0.15">
      <c r="B1215" s="1" t="str">
        <f>"183****4280"</f>
        <v>183****4280</v>
      </c>
      <c r="C1215" s="1" t="s">
        <v>23</v>
      </c>
      <c r="D1215" s="1" t="str">
        <f t="shared" si="128"/>
        <v>89177328</v>
      </c>
      <c r="E1215" s="1" t="s">
        <v>24</v>
      </c>
      <c r="F1215" s="1" t="str">
        <f t="shared" si="129"/>
        <v>0010</v>
      </c>
      <c r="G1215" s="1" t="str">
        <f>""</f>
        <v/>
      </c>
      <c r="H1215" s="1" t="str">
        <f>"0012"</f>
        <v>0012</v>
      </c>
      <c r="I1215" s="1" t="s">
        <v>612</v>
      </c>
      <c r="J1215" s="1" t="str">
        <f>"01043989720"</f>
        <v>01043989720</v>
      </c>
      <c r="K1215" s="1" t="str">
        <f>"2017-04-03 11:32:44"</f>
        <v>2017-04-03 11:32:44</v>
      </c>
      <c r="L1215" s="1" t="str">
        <f t="shared" si="131"/>
        <v>-</v>
      </c>
      <c r="M1215" s="2">
        <v>0</v>
      </c>
      <c r="N1215" s="1" t="s">
        <v>33</v>
      </c>
      <c r="O1215" s="1" t="s">
        <v>34</v>
      </c>
      <c r="P1215" s="2">
        <v>4.6296296296296294E-5</v>
      </c>
      <c r="Q1215" s="1" t="str">
        <f>""</f>
        <v/>
      </c>
      <c r="R1215" s="1">
        <v>0</v>
      </c>
      <c r="S1215" s="1" t="str">
        <f>""</f>
        <v/>
      </c>
      <c r="T1215" s="1" t="s">
        <v>29</v>
      </c>
      <c r="U1215" s="1" t="s">
        <v>30</v>
      </c>
      <c r="V1215" s="1">
        <v>0</v>
      </c>
    </row>
    <row r="1216" spans="2:22" x14ac:dyDescent="0.15">
      <c r="B1216" s="1" t="str">
        <f>"130****5656"</f>
        <v>130****5656</v>
      </c>
      <c r="C1216" s="1" t="s">
        <v>112</v>
      </c>
      <c r="D1216" s="1" t="str">
        <f t="shared" si="128"/>
        <v>89177328</v>
      </c>
      <c r="E1216" s="1" t="s">
        <v>24</v>
      </c>
      <c r="F1216" s="1" t="str">
        <f t="shared" si="129"/>
        <v>0010</v>
      </c>
      <c r="G1216" s="1" t="str">
        <f>""</f>
        <v/>
      </c>
      <c r="H1216" s="1" t="str">
        <f>"0010"</f>
        <v>0010</v>
      </c>
      <c r="I1216" s="1" t="s">
        <v>71</v>
      </c>
      <c r="J1216" s="1" t="str">
        <f>"01043977571"</f>
        <v>01043977571</v>
      </c>
      <c r="K1216" s="1" t="str">
        <f>"2017-04-03 11:31:50"</f>
        <v>2017-04-03 11:31:50</v>
      </c>
      <c r="L1216" s="1" t="str">
        <f t="shared" si="131"/>
        <v>-</v>
      </c>
      <c r="M1216" s="2">
        <v>0</v>
      </c>
      <c r="N1216" s="1" t="s">
        <v>33</v>
      </c>
      <c r="O1216" s="1" t="s">
        <v>34</v>
      </c>
      <c r="P1216" s="2">
        <v>9.2592592592592588E-5</v>
      </c>
      <c r="Q1216" s="1" t="str">
        <f>""</f>
        <v/>
      </c>
      <c r="R1216" s="1">
        <v>0</v>
      </c>
      <c r="S1216" s="1" t="str">
        <f>""</f>
        <v/>
      </c>
      <c r="T1216" s="1" t="s">
        <v>29</v>
      </c>
      <c r="U1216" s="1" t="s">
        <v>30</v>
      </c>
      <c r="V1216" s="1">
        <v>0</v>
      </c>
    </row>
    <row r="1217" spans="2:22" x14ac:dyDescent="0.15">
      <c r="B1217" s="1" t="str">
        <f>"186****8314"</f>
        <v>186****8314</v>
      </c>
      <c r="C1217" s="1" t="s">
        <v>23</v>
      </c>
      <c r="D1217" s="1" t="str">
        <f t="shared" si="128"/>
        <v>89177328</v>
      </c>
      <c r="E1217" s="1" t="s">
        <v>24</v>
      </c>
      <c r="F1217" s="1" t="str">
        <f t="shared" si="129"/>
        <v>0010</v>
      </c>
      <c r="G1217" s="1" t="str">
        <f>""</f>
        <v/>
      </c>
      <c r="H1217" s="1" t="str">
        <f>"0017"</f>
        <v>0017</v>
      </c>
      <c r="I1217" s="1" t="s">
        <v>135</v>
      </c>
      <c r="J1217" s="1" t="str">
        <f>"01043989717"</f>
        <v>01043989717</v>
      </c>
      <c r="K1217" s="1" t="str">
        <f>"2017-04-03 11:14:30"</f>
        <v>2017-04-03 11:14:30</v>
      </c>
      <c r="L1217" s="1" t="str">
        <f t="shared" si="131"/>
        <v>-</v>
      </c>
      <c r="M1217" s="2">
        <v>0</v>
      </c>
      <c r="N1217" s="1" t="s">
        <v>33</v>
      </c>
      <c r="O1217" s="1" t="s">
        <v>34</v>
      </c>
      <c r="P1217" s="2">
        <v>2.3148148148148147E-5</v>
      </c>
      <c r="Q1217" s="1" t="str">
        <f>""</f>
        <v/>
      </c>
      <c r="R1217" s="1">
        <v>0</v>
      </c>
      <c r="S1217" s="1" t="str">
        <f>""</f>
        <v/>
      </c>
      <c r="T1217" s="1" t="s">
        <v>29</v>
      </c>
      <c r="U1217" s="1" t="s">
        <v>30</v>
      </c>
      <c r="V1217" s="1">
        <v>0</v>
      </c>
    </row>
    <row r="1218" spans="2:22" x14ac:dyDescent="0.15">
      <c r="B1218" s="1" t="str">
        <f>"135****0611"</f>
        <v>135****0611</v>
      </c>
      <c r="C1218" s="1" t="s">
        <v>23</v>
      </c>
      <c r="D1218" s="1" t="str">
        <f t="shared" si="128"/>
        <v>89177328</v>
      </c>
      <c r="E1218" s="1" t="s">
        <v>24</v>
      </c>
      <c r="F1218" s="1" t="str">
        <f t="shared" si="129"/>
        <v>0010</v>
      </c>
      <c r="G1218" s="1" t="str">
        <f>""</f>
        <v/>
      </c>
      <c r="H1218" s="1" t="str">
        <f>"0018"</f>
        <v>0018</v>
      </c>
      <c r="I1218" s="1" t="s">
        <v>36</v>
      </c>
      <c r="J1218" s="1" t="str">
        <f>"01043977572"</f>
        <v>01043977572</v>
      </c>
      <c r="K1218" s="1" t="str">
        <f>"2017-04-03 10:55:44"</f>
        <v>2017-04-03 10:55:44</v>
      </c>
      <c r="L1218" s="1" t="str">
        <f>"2017-04-03 10:55:53"</f>
        <v>2017-04-03 10:55:53</v>
      </c>
      <c r="M1218" s="2">
        <v>2.4421296296296296E-3</v>
      </c>
      <c r="N1218" s="1" t="s">
        <v>26</v>
      </c>
      <c r="O1218" s="1" t="s">
        <v>34</v>
      </c>
      <c r="P1218" s="2">
        <v>2.5462962962962961E-3</v>
      </c>
      <c r="Q1218" s="1" t="s">
        <v>962</v>
      </c>
      <c r="R1218" s="1">
        <v>0</v>
      </c>
      <c r="S1218" s="1" t="str">
        <f>""</f>
        <v/>
      </c>
      <c r="T1218" s="1" t="s">
        <v>29</v>
      </c>
      <c r="U1218" s="1" t="s">
        <v>30</v>
      </c>
      <c r="V1218" s="1">
        <v>0</v>
      </c>
    </row>
    <row r="1219" spans="2:22" x14ac:dyDescent="0.15">
      <c r="B1219" s="1" t="str">
        <f>"186****6441"</f>
        <v>186****6441</v>
      </c>
      <c r="C1219" s="1" t="s">
        <v>829</v>
      </c>
      <c r="D1219" s="1" t="str">
        <f t="shared" si="128"/>
        <v>89177328</v>
      </c>
      <c r="E1219" s="1" t="s">
        <v>24</v>
      </c>
      <c r="F1219" s="1" t="str">
        <f t="shared" si="129"/>
        <v>0010</v>
      </c>
      <c r="G1219" s="1" t="str">
        <f>""</f>
        <v/>
      </c>
      <c r="H1219" s="1" t="str">
        <f>"0017"</f>
        <v>0017</v>
      </c>
      <c r="I1219" s="1" t="s">
        <v>135</v>
      </c>
      <c r="J1219" s="1" t="str">
        <f>"01043989717"</f>
        <v>01043989717</v>
      </c>
      <c r="K1219" s="1" t="str">
        <f>"2017-04-03 10:39:42"</f>
        <v>2017-04-03 10:39:42</v>
      </c>
      <c r="L1219" s="1" t="str">
        <f>"2017-04-03 10:39:47"</f>
        <v>2017-04-03 10:39:47</v>
      </c>
      <c r="M1219" s="2">
        <v>6.7129629629629622E-3</v>
      </c>
      <c r="N1219" s="1" t="s">
        <v>26</v>
      </c>
      <c r="O1219" s="1" t="s">
        <v>27</v>
      </c>
      <c r="P1219" s="2">
        <v>6.7708333333333336E-3</v>
      </c>
      <c r="Q1219" s="1" t="s">
        <v>963</v>
      </c>
      <c r="R1219" s="1">
        <v>0</v>
      </c>
      <c r="S1219" s="1" t="str">
        <f>""</f>
        <v/>
      </c>
      <c r="T1219" s="1" t="s">
        <v>29</v>
      </c>
      <c r="U1219" s="1" t="s">
        <v>30</v>
      </c>
      <c r="V1219" s="1">
        <v>0</v>
      </c>
    </row>
    <row r="1220" spans="2:22" x14ac:dyDescent="0.15">
      <c r="B1220" s="1" t="str">
        <f>"182****9156"</f>
        <v>182****9156</v>
      </c>
      <c r="C1220" s="1" t="s">
        <v>23</v>
      </c>
      <c r="D1220" s="1" t="str">
        <f t="shared" si="128"/>
        <v>89177328</v>
      </c>
      <c r="E1220" s="1" t="s">
        <v>24</v>
      </c>
      <c r="F1220" s="1" t="str">
        <f t="shared" si="129"/>
        <v>0010</v>
      </c>
      <c r="G1220" s="1" t="str">
        <f>""</f>
        <v/>
      </c>
      <c r="H1220" s="1" t="str">
        <f>"0017"</f>
        <v>0017</v>
      </c>
      <c r="I1220" s="1" t="s">
        <v>135</v>
      </c>
      <c r="J1220" s="1" t="str">
        <f>"01043989717"</f>
        <v>01043989717</v>
      </c>
      <c r="K1220" s="1" t="str">
        <f>"2017-04-03 10:34:01"</f>
        <v>2017-04-03 10:34:01</v>
      </c>
      <c r="L1220" s="1" t="str">
        <f>"2017-04-03 10:34:09"</f>
        <v>2017-04-03 10:34:09</v>
      </c>
      <c r="M1220" s="2">
        <v>3.4490740740740745E-3</v>
      </c>
      <c r="N1220" s="1" t="s">
        <v>26</v>
      </c>
      <c r="O1220" s="1" t="s">
        <v>27</v>
      </c>
      <c r="P1220" s="2">
        <v>3.5416666666666665E-3</v>
      </c>
      <c r="Q1220" s="1" t="s">
        <v>964</v>
      </c>
      <c r="R1220" s="1">
        <v>0</v>
      </c>
      <c r="S1220" s="1" t="str">
        <f>""</f>
        <v/>
      </c>
      <c r="T1220" s="1" t="s">
        <v>29</v>
      </c>
      <c r="U1220" s="1" t="s">
        <v>30</v>
      </c>
      <c r="V1220" s="1">
        <v>0</v>
      </c>
    </row>
    <row r="1221" spans="2:22" x14ac:dyDescent="0.15">
      <c r="B1221" s="1" t="str">
        <f>"189****3149"</f>
        <v>189****3149</v>
      </c>
      <c r="C1221" s="1" t="s">
        <v>23</v>
      </c>
      <c r="D1221" s="1" t="str">
        <f t="shared" si="128"/>
        <v>89177328</v>
      </c>
      <c r="E1221" s="1" t="s">
        <v>24</v>
      </c>
      <c r="F1221" s="1" t="str">
        <f t="shared" si="129"/>
        <v>0010</v>
      </c>
      <c r="G1221" s="1" t="str">
        <f>""</f>
        <v/>
      </c>
      <c r="H1221" s="1" t="str">
        <f>"0017"</f>
        <v>0017</v>
      </c>
      <c r="I1221" s="1" t="s">
        <v>135</v>
      </c>
      <c r="J1221" s="1" t="str">
        <f>"01043989717"</f>
        <v>01043989717</v>
      </c>
      <c r="K1221" s="1" t="str">
        <f>"2017-04-03 10:29:59"</f>
        <v>2017-04-03 10:29:59</v>
      </c>
      <c r="L1221" s="1" t="str">
        <f>"-"</f>
        <v>-</v>
      </c>
      <c r="M1221" s="2">
        <v>0</v>
      </c>
      <c r="N1221" s="1" t="s">
        <v>33</v>
      </c>
      <c r="O1221" s="1" t="s">
        <v>34</v>
      </c>
      <c r="P1221" s="2">
        <v>3.4722222222222222E-5</v>
      </c>
      <c r="Q1221" s="1" t="str">
        <f>""</f>
        <v/>
      </c>
      <c r="R1221" s="1">
        <v>0</v>
      </c>
      <c r="S1221" s="1" t="str">
        <f>""</f>
        <v/>
      </c>
      <c r="T1221" s="1" t="s">
        <v>29</v>
      </c>
      <c r="U1221" s="1" t="s">
        <v>30</v>
      </c>
      <c r="V1221" s="1">
        <v>0</v>
      </c>
    </row>
    <row r="1222" spans="2:22" x14ac:dyDescent="0.15">
      <c r="B1222" s="1" t="str">
        <f>"180****5035"</f>
        <v>180****5035</v>
      </c>
      <c r="C1222" s="1" t="s">
        <v>76</v>
      </c>
      <c r="D1222" s="1" t="str">
        <f t="shared" si="128"/>
        <v>89177328</v>
      </c>
      <c r="E1222" s="1" t="s">
        <v>24</v>
      </c>
      <c r="F1222" s="1" t="str">
        <f t="shared" si="129"/>
        <v>0010</v>
      </c>
      <c r="G1222" s="1" t="str">
        <f>""</f>
        <v/>
      </c>
      <c r="H1222" s="1" t="str">
        <f>"0012"</f>
        <v>0012</v>
      </c>
      <c r="I1222" s="1" t="s">
        <v>612</v>
      </c>
      <c r="J1222" s="1" t="str">
        <f>"01043989720"</f>
        <v>01043989720</v>
      </c>
      <c r="K1222" s="1" t="str">
        <f>"2017-04-03 10:28:49"</f>
        <v>2017-04-03 10:28:49</v>
      </c>
      <c r="L1222" s="1" t="str">
        <f>"2017-04-03 10:29:01"</f>
        <v>2017-04-03 10:29:01</v>
      </c>
      <c r="M1222" s="2">
        <v>6.875E-3</v>
      </c>
      <c r="N1222" s="1" t="s">
        <v>26</v>
      </c>
      <c r="O1222" s="1" t="s">
        <v>34</v>
      </c>
      <c r="P1222" s="2">
        <v>7.013888888888889E-3</v>
      </c>
      <c r="Q1222" s="1" t="s">
        <v>965</v>
      </c>
      <c r="R1222" s="1">
        <v>0</v>
      </c>
      <c r="S1222" s="1" t="str">
        <f>""</f>
        <v/>
      </c>
      <c r="T1222" s="1" t="s">
        <v>29</v>
      </c>
      <c r="U1222" s="1" t="s">
        <v>30</v>
      </c>
      <c r="V1222" s="1">
        <v>0</v>
      </c>
    </row>
    <row r="1223" spans="2:22" x14ac:dyDescent="0.15">
      <c r="B1223" s="1" t="str">
        <f>"150****9251"</f>
        <v>150****9251</v>
      </c>
      <c r="C1223" s="1" t="s">
        <v>23</v>
      </c>
      <c r="D1223" s="1" t="str">
        <f t="shared" si="128"/>
        <v>89177328</v>
      </c>
      <c r="E1223" s="1" t="s">
        <v>24</v>
      </c>
      <c r="F1223" s="1" t="str">
        <f t="shared" si="129"/>
        <v>0010</v>
      </c>
      <c r="G1223" s="1" t="str">
        <f>""</f>
        <v/>
      </c>
      <c r="H1223" s="1" t="str">
        <f>"0018"</f>
        <v>0018</v>
      </c>
      <c r="I1223" s="1" t="s">
        <v>36</v>
      </c>
      <c r="J1223" s="1" t="str">
        <f>"01043977572"</f>
        <v>01043977572</v>
      </c>
      <c r="K1223" s="1" t="str">
        <f>"2017-04-03 10:13:20"</f>
        <v>2017-04-03 10:13:20</v>
      </c>
      <c r="L1223" s="1" t="str">
        <f>"2017-04-03 10:13:28"</f>
        <v>2017-04-03 10:13:28</v>
      </c>
      <c r="M1223" s="2">
        <v>1.4756944444444446E-2</v>
      </c>
      <c r="N1223" s="1" t="s">
        <v>26</v>
      </c>
      <c r="O1223" s="1" t="s">
        <v>34</v>
      </c>
      <c r="P1223" s="2">
        <v>1.4849537037037036E-2</v>
      </c>
      <c r="Q1223" s="1" t="s">
        <v>966</v>
      </c>
      <c r="R1223" s="1">
        <v>0</v>
      </c>
      <c r="S1223" s="1" t="str">
        <f>""</f>
        <v/>
      </c>
      <c r="T1223" s="1" t="s">
        <v>29</v>
      </c>
      <c r="U1223" s="1" t="s">
        <v>30</v>
      </c>
      <c r="V1223" s="1">
        <v>0</v>
      </c>
    </row>
    <row r="1224" spans="2:22" x14ac:dyDescent="0.15">
      <c r="B1224" s="1" t="str">
        <f>"136****4990"</f>
        <v>136****4990</v>
      </c>
      <c r="C1224" s="1" t="s">
        <v>23</v>
      </c>
      <c r="D1224" s="1" t="str">
        <f t="shared" si="128"/>
        <v>89177328</v>
      </c>
      <c r="E1224" s="1" t="s">
        <v>24</v>
      </c>
      <c r="F1224" s="1" t="str">
        <f t="shared" si="129"/>
        <v>0010</v>
      </c>
      <c r="G1224" s="1" t="str">
        <f>""</f>
        <v/>
      </c>
      <c r="H1224" s="1" t="str">
        <f>"0017"</f>
        <v>0017</v>
      </c>
      <c r="I1224" s="1" t="s">
        <v>135</v>
      </c>
      <c r="J1224" s="1" t="str">
        <f>"01043989717"</f>
        <v>01043989717</v>
      </c>
      <c r="K1224" s="1" t="str">
        <f>"2017-04-03 10:06:36"</f>
        <v>2017-04-03 10:06:36</v>
      </c>
      <c r="L1224" s="1" t="str">
        <f>"2017-04-03 10:06:44"</f>
        <v>2017-04-03 10:06:44</v>
      </c>
      <c r="M1224" s="2">
        <v>2.5462962962962961E-3</v>
      </c>
      <c r="N1224" s="1" t="s">
        <v>26</v>
      </c>
      <c r="O1224" s="1" t="s">
        <v>27</v>
      </c>
      <c r="P1224" s="2">
        <v>2.6388888888888885E-3</v>
      </c>
      <c r="Q1224" s="1" t="s">
        <v>967</v>
      </c>
      <c r="R1224" s="1">
        <v>0</v>
      </c>
      <c r="S1224" s="1" t="str">
        <f>""</f>
        <v/>
      </c>
      <c r="T1224" s="1" t="s">
        <v>29</v>
      </c>
      <c r="U1224" s="1" t="s">
        <v>30</v>
      </c>
      <c r="V1224" s="1">
        <v>0</v>
      </c>
    </row>
    <row r="1225" spans="2:22" x14ac:dyDescent="0.15">
      <c r="B1225" s="1" t="str">
        <f>"133****5331"</f>
        <v>133****5331</v>
      </c>
      <c r="C1225" s="1" t="s">
        <v>908</v>
      </c>
      <c r="D1225" s="1" t="str">
        <f>"4000108333"</f>
        <v>4000108333</v>
      </c>
      <c r="E1225" s="1" t="s">
        <v>53</v>
      </c>
      <c r="F1225" s="1" t="str">
        <f>"0000"</f>
        <v>0000</v>
      </c>
      <c r="G1225" s="1" t="str">
        <f>""</f>
        <v/>
      </c>
      <c r="H1225" s="1" t="str">
        <f>"0035"</f>
        <v>0035</v>
      </c>
      <c r="I1225" s="1" t="s">
        <v>25</v>
      </c>
      <c r="J1225" s="1" t="str">
        <f>"01043977569"</f>
        <v>01043977569</v>
      </c>
      <c r="K1225" s="1" t="str">
        <f>"2017-04-03 09:59:48"</f>
        <v>2017-04-03 09:59:48</v>
      </c>
      <c r="L1225" s="1" t="str">
        <f>"2017-04-03 10:00:40"</f>
        <v>2017-04-03 10:00:40</v>
      </c>
      <c r="M1225" s="2">
        <v>1.2442129629629629E-2</v>
      </c>
      <c r="N1225" s="1" t="s">
        <v>26</v>
      </c>
      <c r="O1225" s="1" t="s">
        <v>27</v>
      </c>
      <c r="P1225" s="2">
        <v>1.3043981481481483E-2</v>
      </c>
      <c r="Q1225" s="1" t="s">
        <v>968</v>
      </c>
      <c r="R1225" s="1">
        <v>2.2799999999999998</v>
      </c>
      <c r="S1225" s="1" t="str">
        <f>""</f>
        <v/>
      </c>
      <c r="T1225" s="1" t="s">
        <v>29</v>
      </c>
      <c r="U1225" s="1" t="s">
        <v>30</v>
      </c>
      <c r="V1225" s="1">
        <v>0</v>
      </c>
    </row>
    <row r="1226" spans="2:22" x14ac:dyDescent="0.15">
      <c r="B1226" s="1" t="str">
        <f>"133****5331"</f>
        <v>133****5331</v>
      </c>
      <c r="C1226" s="1" t="s">
        <v>908</v>
      </c>
      <c r="D1226" s="1" t="str">
        <f>"4000108333"</f>
        <v>4000108333</v>
      </c>
      <c r="E1226" s="1" t="s">
        <v>53</v>
      </c>
      <c r="F1226" s="1" t="str">
        <f>""</f>
        <v/>
      </c>
      <c r="G1226" s="1" t="str">
        <f>""</f>
        <v/>
      </c>
      <c r="H1226" s="1" t="str">
        <f>""</f>
        <v/>
      </c>
      <c r="I1226" s="1" t="str">
        <f>""</f>
        <v/>
      </c>
      <c r="J1226" s="1" t="str">
        <f>""</f>
        <v/>
      </c>
      <c r="K1226" s="1" t="str">
        <f>"2017-04-03 09:59:08"</f>
        <v>2017-04-03 09:59:08</v>
      </c>
      <c r="L1226" s="1" t="str">
        <f>"-"</f>
        <v>-</v>
      </c>
      <c r="M1226" s="2">
        <v>0</v>
      </c>
      <c r="N1226" s="1" t="s">
        <v>33</v>
      </c>
      <c r="O1226" s="1" t="s">
        <v>27</v>
      </c>
      <c r="P1226" s="2">
        <v>3.0092592592592595E-4</v>
      </c>
      <c r="Q1226" s="1" t="str">
        <f>""</f>
        <v/>
      </c>
      <c r="R1226" s="1">
        <v>0.12</v>
      </c>
      <c r="S1226" s="1" t="str">
        <f>""</f>
        <v/>
      </c>
      <c r="T1226" s="1" t="s">
        <v>29</v>
      </c>
      <c r="U1226" s="1" t="s">
        <v>30</v>
      </c>
      <c r="V1226" s="1">
        <v>0</v>
      </c>
    </row>
    <row r="1227" spans="2:22" x14ac:dyDescent="0.15">
      <c r="B1227" s="1" t="str">
        <f>"188****9847"</f>
        <v>188****9847</v>
      </c>
      <c r="C1227" s="1" t="s">
        <v>241</v>
      </c>
      <c r="D1227" s="1" t="str">
        <f>"4000108333"</f>
        <v>4000108333</v>
      </c>
      <c r="E1227" s="1" t="s">
        <v>53</v>
      </c>
      <c r="F1227" s="1" t="str">
        <f>"0000"</f>
        <v>0000</v>
      </c>
      <c r="G1227" s="1" t="str">
        <f>""</f>
        <v/>
      </c>
      <c r="H1227" s="1" t="str">
        <f>"1010"</f>
        <v>1010</v>
      </c>
      <c r="I1227" s="1" t="s">
        <v>148</v>
      </c>
      <c r="J1227" s="1" t="str">
        <f>"13718091869"</f>
        <v>13718091869</v>
      </c>
      <c r="K1227" s="1" t="str">
        <f>"2017-04-03 09:57:30"</f>
        <v>2017-04-03 09:57:30</v>
      </c>
      <c r="L1227" s="1" t="str">
        <f>"2017-04-03 09:58:03"</f>
        <v>2017-04-03 09:58:03</v>
      </c>
      <c r="M1227" s="2">
        <v>1.0833333333333334E-2</v>
      </c>
      <c r="N1227" s="1" t="s">
        <v>26</v>
      </c>
      <c r="O1227" s="1" t="s">
        <v>34</v>
      </c>
      <c r="P1227" s="2">
        <v>1.1215277777777777E-2</v>
      </c>
      <c r="Q1227" s="1" t="s">
        <v>969</v>
      </c>
      <c r="R1227" s="1">
        <v>2.04</v>
      </c>
      <c r="S1227" s="1" t="str">
        <f>""</f>
        <v/>
      </c>
      <c r="T1227" s="1" t="s">
        <v>29</v>
      </c>
      <c r="U1227" s="1" t="s">
        <v>30</v>
      </c>
      <c r="V1227" s="1">
        <v>0</v>
      </c>
    </row>
    <row r="1228" spans="2:22" x14ac:dyDescent="0.15">
      <c r="B1228" s="1" t="str">
        <f>"150****0255"</f>
        <v>150****0255</v>
      </c>
      <c r="C1228" s="1" t="s">
        <v>193</v>
      </c>
      <c r="D1228" s="1" t="str">
        <f t="shared" ref="D1228:D1234" si="132">"89177328"</f>
        <v>89177328</v>
      </c>
      <c r="E1228" s="1" t="s">
        <v>24</v>
      </c>
      <c r="F1228" s="1" t="str">
        <f t="shared" ref="F1228:F1234" si="133">"0010"</f>
        <v>0010</v>
      </c>
      <c r="G1228" s="1" t="str">
        <f>""</f>
        <v/>
      </c>
      <c r="H1228" s="1" t="str">
        <f>"0018"</f>
        <v>0018</v>
      </c>
      <c r="I1228" s="1" t="s">
        <v>36</v>
      </c>
      <c r="J1228" s="1" t="str">
        <f>"01043977572"</f>
        <v>01043977572</v>
      </c>
      <c r="K1228" s="1" t="str">
        <f>"2017-04-03 09:50:56"</f>
        <v>2017-04-03 09:50:56</v>
      </c>
      <c r="L1228" s="1" t="str">
        <f>"2017-04-03 09:51:04"</f>
        <v>2017-04-03 09:51:04</v>
      </c>
      <c r="M1228" s="2">
        <v>6.6087962962962966E-3</v>
      </c>
      <c r="N1228" s="1" t="s">
        <v>26</v>
      </c>
      <c r="O1228" s="1" t="s">
        <v>34</v>
      </c>
      <c r="P1228" s="2">
        <v>6.7013888888888887E-3</v>
      </c>
      <c r="Q1228" s="1" t="s">
        <v>970</v>
      </c>
      <c r="R1228" s="1">
        <v>0</v>
      </c>
      <c r="S1228" s="1" t="str">
        <f>""</f>
        <v/>
      </c>
      <c r="T1228" s="1" t="s">
        <v>29</v>
      </c>
      <c r="U1228" s="1" t="s">
        <v>30</v>
      </c>
      <c r="V1228" s="1">
        <v>0</v>
      </c>
    </row>
    <row r="1229" spans="2:22" x14ac:dyDescent="0.15">
      <c r="B1229" s="1" t="str">
        <f>"0316015011185815"</f>
        <v>0316015011185815</v>
      </c>
      <c r="C1229" s="1" t="s">
        <v>51</v>
      </c>
      <c r="D1229" s="1" t="str">
        <f t="shared" si="132"/>
        <v>89177328</v>
      </c>
      <c r="E1229" s="1" t="s">
        <v>24</v>
      </c>
      <c r="F1229" s="1" t="str">
        <f t="shared" si="133"/>
        <v>0010</v>
      </c>
      <c r="G1229" s="1" t="str">
        <f>""</f>
        <v/>
      </c>
      <c r="H1229" s="1" t="str">
        <f>"0017"</f>
        <v>0017</v>
      </c>
      <c r="I1229" s="1" t="s">
        <v>135</v>
      </c>
      <c r="J1229" s="1" t="str">
        <f>"01043989717"</f>
        <v>01043989717</v>
      </c>
      <c r="K1229" s="1" t="str">
        <f>"2017-04-03 09:43:26"</f>
        <v>2017-04-03 09:43:26</v>
      </c>
      <c r="L1229" s="1" t="str">
        <f>"2017-04-03 09:43:34"</f>
        <v>2017-04-03 09:43:34</v>
      </c>
      <c r="M1229" s="2">
        <v>2.7199074074074074E-3</v>
      </c>
      <c r="N1229" s="1" t="s">
        <v>26</v>
      </c>
      <c r="O1229" s="1" t="s">
        <v>27</v>
      </c>
      <c r="P1229" s="2">
        <v>2.8124999999999995E-3</v>
      </c>
      <c r="Q1229" s="1" t="s">
        <v>971</v>
      </c>
      <c r="R1229" s="1">
        <v>0</v>
      </c>
      <c r="S1229" s="1" t="str">
        <f>""</f>
        <v/>
      </c>
      <c r="T1229" s="1" t="s">
        <v>29</v>
      </c>
      <c r="U1229" s="1" t="s">
        <v>30</v>
      </c>
      <c r="V1229" s="1">
        <v>0</v>
      </c>
    </row>
    <row r="1230" spans="2:22" x14ac:dyDescent="0.15">
      <c r="B1230" s="1" t="str">
        <f>"010****0713"</f>
        <v>010****0713</v>
      </c>
      <c r="C1230" s="1" t="s">
        <v>23</v>
      </c>
      <c r="D1230" s="1" t="str">
        <f t="shared" si="132"/>
        <v>89177328</v>
      </c>
      <c r="E1230" s="1" t="s">
        <v>24</v>
      </c>
      <c r="F1230" s="1" t="str">
        <f t="shared" si="133"/>
        <v>0010</v>
      </c>
      <c r="G1230" s="1" t="str">
        <f>""</f>
        <v/>
      </c>
      <c r="H1230" s="1" t="str">
        <f>"0017"</f>
        <v>0017</v>
      </c>
      <c r="I1230" s="1" t="s">
        <v>135</v>
      </c>
      <c r="J1230" s="1" t="str">
        <f>"01043989717"</f>
        <v>01043989717</v>
      </c>
      <c r="K1230" s="1" t="str">
        <f>"2017-04-03 09:33:22"</f>
        <v>2017-04-03 09:33:22</v>
      </c>
      <c r="L1230" s="1" t="str">
        <f>"2017-04-03 09:33:30"</f>
        <v>2017-04-03 09:33:30</v>
      </c>
      <c r="M1230" s="2">
        <v>7.407407407407407E-4</v>
      </c>
      <c r="N1230" s="1" t="s">
        <v>26</v>
      </c>
      <c r="O1230" s="1" t="s">
        <v>27</v>
      </c>
      <c r="P1230" s="2">
        <v>8.3333333333333339E-4</v>
      </c>
      <c r="Q1230" s="1" t="s">
        <v>972</v>
      </c>
      <c r="R1230" s="1">
        <v>0</v>
      </c>
      <c r="S1230" s="1" t="str">
        <f>""</f>
        <v/>
      </c>
      <c r="T1230" s="1" t="s">
        <v>29</v>
      </c>
      <c r="U1230" s="1" t="s">
        <v>30</v>
      </c>
      <c r="V1230" s="1">
        <v>0</v>
      </c>
    </row>
    <row r="1231" spans="2:22" x14ac:dyDescent="0.15">
      <c r="B1231" s="1" t="str">
        <f>"136****2762"</f>
        <v>136****2762</v>
      </c>
      <c r="C1231" s="1" t="s">
        <v>23</v>
      </c>
      <c r="D1231" s="1" t="str">
        <f t="shared" si="132"/>
        <v>89177328</v>
      </c>
      <c r="E1231" s="1" t="s">
        <v>24</v>
      </c>
      <c r="F1231" s="1" t="str">
        <f t="shared" si="133"/>
        <v>0010</v>
      </c>
      <c r="G1231" s="1" t="str">
        <f>""</f>
        <v/>
      </c>
      <c r="H1231" s="1" t="str">
        <f>"0018"</f>
        <v>0018</v>
      </c>
      <c r="I1231" s="1" t="s">
        <v>36</v>
      </c>
      <c r="J1231" s="1" t="str">
        <f>"01043977572"</f>
        <v>01043977572</v>
      </c>
      <c r="K1231" s="1" t="str">
        <f>"2017-04-03 09:30:39"</f>
        <v>2017-04-03 09:30:39</v>
      </c>
      <c r="L1231" s="1" t="str">
        <f>"2017-04-03 09:30:49"</f>
        <v>2017-04-03 09:30:49</v>
      </c>
      <c r="M1231" s="2">
        <v>3.1828703703703702E-3</v>
      </c>
      <c r="N1231" s="1" t="s">
        <v>26</v>
      </c>
      <c r="O1231" s="1" t="s">
        <v>34</v>
      </c>
      <c r="P1231" s="2">
        <v>3.2986111111111111E-3</v>
      </c>
      <c r="Q1231" s="1" t="s">
        <v>973</v>
      </c>
      <c r="R1231" s="1">
        <v>0</v>
      </c>
      <c r="S1231" s="1" t="str">
        <f>""</f>
        <v/>
      </c>
      <c r="T1231" s="1" t="s">
        <v>29</v>
      </c>
      <c r="U1231" s="1" t="s">
        <v>30</v>
      </c>
      <c r="V1231" s="1">
        <v>0</v>
      </c>
    </row>
    <row r="1232" spans="2:22" x14ac:dyDescent="0.15">
      <c r="B1232" s="1" t="str">
        <f>"155****6883"</f>
        <v>155****6883</v>
      </c>
      <c r="C1232" s="1" t="s">
        <v>69</v>
      </c>
      <c r="D1232" s="1" t="str">
        <f t="shared" si="132"/>
        <v>89177328</v>
      </c>
      <c r="E1232" s="1" t="s">
        <v>24</v>
      </c>
      <c r="F1232" s="1" t="str">
        <f t="shared" si="133"/>
        <v>0010</v>
      </c>
      <c r="G1232" s="1" t="str">
        <f>""</f>
        <v/>
      </c>
      <c r="H1232" s="1" t="str">
        <f>"0017"</f>
        <v>0017</v>
      </c>
      <c r="I1232" s="1" t="s">
        <v>135</v>
      </c>
      <c r="J1232" s="1" t="str">
        <f>"01043989717"</f>
        <v>01043989717</v>
      </c>
      <c r="K1232" s="1" t="str">
        <f>"2017-04-03 09:16:13"</f>
        <v>2017-04-03 09:16:13</v>
      </c>
      <c r="L1232" s="1" t="str">
        <f>"2017-04-03 09:16:21"</f>
        <v>2017-04-03 09:16:21</v>
      </c>
      <c r="M1232" s="2">
        <v>8.3449074074074085E-3</v>
      </c>
      <c r="N1232" s="1" t="s">
        <v>26</v>
      </c>
      <c r="O1232" s="1" t="s">
        <v>27</v>
      </c>
      <c r="P1232" s="2">
        <v>8.4375000000000006E-3</v>
      </c>
      <c r="Q1232" s="1" t="s">
        <v>974</v>
      </c>
      <c r="R1232" s="1">
        <v>0</v>
      </c>
      <c r="S1232" s="1" t="str">
        <f>""</f>
        <v/>
      </c>
      <c r="T1232" s="1" t="s">
        <v>29</v>
      </c>
      <c r="U1232" s="1" t="s">
        <v>30</v>
      </c>
      <c r="V1232" s="1">
        <v>0</v>
      </c>
    </row>
    <row r="1233" spans="2:22" x14ac:dyDescent="0.15">
      <c r="B1233" s="1" t="str">
        <f>"186****3109"</f>
        <v>186****3109</v>
      </c>
      <c r="C1233" s="1" t="s">
        <v>23</v>
      </c>
      <c r="D1233" s="1" t="str">
        <f t="shared" si="132"/>
        <v>89177328</v>
      </c>
      <c r="E1233" s="1" t="s">
        <v>24</v>
      </c>
      <c r="F1233" s="1" t="str">
        <f t="shared" si="133"/>
        <v>0010</v>
      </c>
      <c r="G1233" s="1" t="str">
        <f>""</f>
        <v/>
      </c>
      <c r="H1233" s="1" t="str">
        <f>"0035"</f>
        <v>0035</v>
      </c>
      <c r="I1233" s="1" t="s">
        <v>25</v>
      </c>
      <c r="J1233" s="1" t="str">
        <f>"01043977569"</f>
        <v>01043977569</v>
      </c>
      <c r="K1233" s="1" t="str">
        <f>"2017-04-03 09:09:53"</f>
        <v>2017-04-03 09:09:53</v>
      </c>
      <c r="L1233" s="1" t="str">
        <f>"2017-04-03 09:10:02"</f>
        <v>2017-04-03 09:10:02</v>
      </c>
      <c r="M1233" s="2">
        <v>1.2939814814814814E-2</v>
      </c>
      <c r="N1233" s="1" t="s">
        <v>26</v>
      </c>
      <c r="O1233" s="1" t="s">
        <v>27</v>
      </c>
      <c r="P1233" s="2">
        <v>1.3043981481481483E-2</v>
      </c>
      <c r="Q1233" s="1" t="s">
        <v>975</v>
      </c>
      <c r="R1233" s="1">
        <v>0</v>
      </c>
      <c r="S1233" s="1" t="str">
        <f>""</f>
        <v/>
      </c>
      <c r="T1233" s="1" t="s">
        <v>29</v>
      </c>
      <c r="U1233" s="1" t="s">
        <v>30</v>
      </c>
      <c r="V1233" s="1">
        <v>0</v>
      </c>
    </row>
    <row r="1234" spans="2:22" x14ac:dyDescent="0.15">
      <c r="B1234" s="1" t="str">
        <f>"173****8170"</f>
        <v>173****8170</v>
      </c>
      <c r="C1234" s="1" t="s">
        <v>44</v>
      </c>
      <c r="D1234" s="1" t="str">
        <f t="shared" si="132"/>
        <v>89177328</v>
      </c>
      <c r="E1234" s="1" t="s">
        <v>24</v>
      </c>
      <c r="F1234" s="1" t="str">
        <f t="shared" si="133"/>
        <v>0010</v>
      </c>
      <c r="G1234" s="1" t="str">
        <f>""</f>
        <v/>
      </c>
      <c r="H1234" s="1" t="str">
        <f>"0035"</f>
        <v>0035</v>
      </c>
      <c r="I1234" s="1" t="s">
        <v>25</v>
      </c>
      <c r="J1234" s="1" t="str">
        <f>"01043977569"</f>
        <v>01043977569</v>
      </c>
      <c r="K1234" s="1" t="str">
        <f>"2017-04-03 09:00:48"</f>
        <v>2017-04-03 09:00:48</v>
      </c>
      <c r="L1234" s="1" t="str">
        <f>"2017-04-03 09:00:59"</f>
        <v>2017-04-03 09:00:59</v>
      </c>
      <c r="M1234" s="2">
        <v>2.8703703703703708E-3</v>
      </c>
      <c r="N1234" s="1" t="s">
        <v>26</v>
      </c>
      <c r="O1234" s="1" t="s">
        <v>27</v>
      </c>
      <c r="P1234" s="2">
        <v>2.9976851851851848E-3</v>
      </c>
      <c r="Q1234" s="1" t="s">
        <v>976</v>
      </c>
      <c r="R1234" s="1">
        <v>0</v>
      </c>
      <c r="S1234" s="1" t="str">
        <f>""</f>
        <v/>
      </c>
      <c r="T1234" s="1" t="s">
        <v>29</v>
      </c>
      <c r="U1234" s="1" t="s">
        <v>30</v>
      </c>
      <c r="V1234" s="1">
        <v>0</v>
      </c>
    </row>
    <row r="1235" spans="2:22" x14ac:dyDescent="0.15">
      <c r="B1235" s="1" t="str">
        <f>"133****5331"</f>
        <v>133****5331</v>
      </c>
      <c r="C1235" s="1" t="s">
        <v>908</v>
      </c>
      <c r="D1235" s="1" t="str">
        <f>"4000108333"</f>
        <v>4000108333</v>
      </c>
      <c r="E1235" s="1" t="s">
        <v>53</v>
      </c>
      <c r="F1235" s="1" t="str">
        <f>"0000"</f>
        <v>0000</v>
      </c>
      <c r="G1235" s="1" t="str">
        <f>""</f>
        <v/>
      </c>
      <c r="H1235" s="1" t="str">
        <f>"1010"</f>
        <v>1010</v>
      </c>
      <c r="I1235" s="1" t="s">
        <v>148</v>
      </c>
      <c r="J1235" s="1" t="str">
        <f>"13718091869"</f>
        <v>13718091869</v>
      </c>
      <c r="K1235" s="1" t="str">
        <f>"2017-04-03 08:50:30"</f>
        <v>2017-04-03 08:50:30</v>
      </c>
      <c r="L1235" s="1" t="str">
        <f>"-"</f>
        <v>-</v>
      </c>
      <c r="M1235" s="2">
        <v>0</v>
      </c>
      <c r="N1235" s="1" t="s">
        <v>33</v>
      </c>
      <c r="O1235" s="1" t="s">
        <v>34</v>
      </c>
      <c r="P1235" s="2">
        <v>9.8379629629629642E-4</v>
      </c>
      <c r="Q1235" s="1" t="str">
        <f>""</f>
        <v/>
      </c>
      <c r="R1235" s="1">
        <v>0.24</v>
      </c>
      <c r="S1235" s="1" t="str">
        <f>""</f>
        <v/>
      </c>
      <c r="T1235" s="1" t="s">
        <v>29</v>
      </c>
      <c r="U1235" s="1" t="s">
        <v>30</v>
      </c>
      <c r="V1235" s="1">
        <v>0</v>
      </c>
    </row>
    <row r="1236" spans="2:22" x14ac:dyDescent="0.15">
      <c r="B1236" s="1" t="str">
        <f>"185****5017"</f>
        <v>185****5017</v>
      </c>
      <c r="C1236" s="1" t="s">
        <v>23</v>
      </c>
      <c r="D1236" s="1" t="str">
        <f t="shared" ref="D1236:D1245" si="134">"89177328"</f>
        <v>89177328</v>
      </c>
      <c r="E1236" s="1" t="s">
        <v>24</v>
      </c>
      <c r="F1236" s="1" t="str">
        <f t="shared" ref="F1236:F1244" si="135">"0010"</f>
        <v>0010</v>
      </c>
      <c r="G1236" s="1" t="str">
        <f>""</f>
        <v/>
      </c>
      <c r="H1236" s="1" t="str">
        <f>""</f>
        <v/>
      </c>
      <c r="I1236" s="1" t="str">
        <f>""</f>
        <v/>
      </c>
      <c r="J1236" s="1" t="str">
        <f>""</f>
        <v/>
      </c>
      <c r="K1236" s="1" t="str">
        <f>"2017-04-03 08:49:36"</f>
        <v>2017-04-03 08:49:36</v>
      </c>
      <c r="L1236" s="1" t="str">
        <f>"-"</f>
        <v>-</v>
      </c>
      <c r="M1236" s="2">
        <v>0</v>
      </c>
      <c r="N1236" s="1" t="s">
        <v>55</v>
      </c>
      <c r="O1236" s="1" t="s">
        <v>34</v>
      </c>
      <c r="P1236" s="2">
        <v>1.2731481481481483E-3</v>
      </c>
      <c r="Q1236" s="1" t="str">
        <f>""</f>
        <v/>
      </c>
      <c r="R1236" s="1">
        <v>0</v>
      </c>
      <c r="S1236" s="1" t="str">
        <f>""</f>
        <v/>
      </c>
      <c r="T1236" s="1" t="s">
        <v>29</v>
      </c>
      <c r="U1236" s="1" t="s">
        <v>30</v>
      </c>
      <c r="V1236" s="1">
        <v>0</v>
      </c>
    </row>
    <row r="1237" spans="2:22" x14ac:dyDescent="0.15">
      <c r="B1237" s="1" t="str">
        <f>"138****1464"</f>
        <v>138****1464</v>
      </c>
      <c r="C1237" s="1" t="s">
        <v>23</v>
      </c>
      <c r="D1237" s="1" t="str">
        <f t="shared" si="134"/>
        <v>89177328</v>
      </c>
      <c r="E1237" s="1" t="s">
        <v>24</v>
      </c>
      <c r="F1237" s="1" t="str">
        <f t="shared" si="135"/>
        <v>0010</v>
      </c>
      <c r="G1237" s="1" t="str">
        <f>""</f>
        <v/>
      </c>
      <c r="H1237" s="1" t="str">
        <f>"0010"</f>
        <v>0010</v>
      </c>
      <c r="I1237" s="1" t="s">
        <v>71</v>
      </c>
      <c r="J1237" s="1" t="str">
        <f>"01043977571"</f>
        <v>01043977571</v>
      </c>
      <c r="K1237" s="1" t="str">
        <f>"2017-04-03 08:49:27"</f>
        <v>2017-04-03 08:49:27</v>
      </c>
      <c r="L1237" s="1" t="str">
        <f>"2017-04-03 08:49:37"</f>
        <v>2017-04-03 08:49:37</v>
      </c>
      <c r="M1237" s="2">
        <v>5.4166666666666669E-3</v>
      </c>
      <c r="N1237" s="1" t="s">
        <v>26</v>
      </c>
      <c r="O1237" s="1" t="s">
        <v>34</v>
      </c>
      <c r="P1237" s="2">
        <v>5.5324074074074069E-3</v>
      </c>
      <c r="Q1237" s="1" t="s">
        <v>977</v>
      </c>
      <c r="R1237" s="1">
        <v>0</v>
      </c>
      <c r="S1237" s="1" t="str">
        <f>""</f>
        <v/>
      </c>
      <c r="T1237" s="1" t="s">
        <v>29</v>
      </c>
      <c r="U1237" s="1" t="s">
        <v>30</v>
      </c>
      <c r="V1237" s="1">
        <v>0</v>
      </c>
    </row>
    <row r="1238" spans="2:22" x14ac:dyDescent="0.15">
      <c r="B1238" s="1" t="str">
        <f>"131****1523"</f>
        <v>131****1523</v>
      </c>
      <c r="C1238" s="1" t="s">
        <v>23</v>
      </c>
      <c r="D1238" s="1" t="str">
        <f t="shared" si="134"/>
        <v>89177328</v>
      </c>
      <c r="E1238" s="1" t="s">
        <v>24</v>
      </c>
      <c r="F1238" s="1" t="str">
        <f t="shared" si="135"/>
        <v>0010</v>
      </c>
      <c r="G1238" s="1" t="str">
        <f>""</f>
        <v/>
      </c>
      <c r="H1238" s="1" t="str">
        <f>"0035"</f>
        <v>0035</v>
      </c>
      <c r="I1238" s="1" t="s">
        <v>25</v>
      </c>
      <c r="J1238" s="1" t="str">
        <f>"01043977569"</f>
        <v>01043977569</v>
      </c>
      <c r="K1238" s="1" t="str">
        <f>"2017-04-03 08:48:11"</f>
        <v>2017-04-03 08:48:11</v>
      </c>
      <c r="L1238" s="1" t="str">
        <f>"2017-04-03 08:48:22"</f>
        <v>2017-04-03 08:48:22</v>
      </c>
      <c r="M1238" s="2">
        <v>4.5023148148148149E-3</v>
      </c>
      <c r="N1238" s="1" t="s">
        <v>26</v>
      </c>
      <c r="O1238" s="1" t="s">
        <v>27</v>
      </c>
      <c r="P1238" s="2">
        <v>4.6296296296296302E-3</v>
      </c>
      <c r="Q1238" s="1" t="s">
        <v>978</v>
      </c>
      <c r="R1238" s="1">
        <v>0</v>
      </c>
      <c r="S1238" s="1" t="str">
        <f>""</f>
        <v/>
      </c>
      <c r="T1238" s="1" t="s">
        <v>29</v>
      </c>
      <c r="U1238" s="1" t="s">
        <v>30</v>
      </c>
      <c r="V1238" s="1">
        <v>0</v>
      </c>
    </row>
    <row r="1239" spans="2:22" x14ac:dyDescent="0.15">
      <c r="B1239" s="1" t="str">
        <f>"136****0635"</f>
        <v>136****0635</v>
      </c>
      <c r="C1239" s="1" t="s">
        <v>23</v>
      </c>
      <c r="D1239" s="1" t="str">
        <f t="shared" si="134"/>
        <v>89177328</v>
      </c>
      <c r="E1239" s="1" t="s">
        <v>24</v>
      </c>
      <c r="F1239" s="1" t="str">
        <f t="shared" si="135"/>
        <v>0010</v>
      </c>
      <c r="G1239" s="1" t="str">
        <f>""</f>
        <v/>
      </c>
      <c r="H1239" s="1" t="str">
        <f>"0017"</f>
        <v>0017</v>
      </c>
      <c r="I1239" s="1" t="s">
        <v>135</v>
      </c>
      <c r="J1239" s="1" t="str">
        <f>"01043989717"</f>
        <v>01043989717</v>
      </c>
      <c r="K1239" s="1" t="str">
        <f>"2017-04-03 08:47:42"</f>
        <v>2017-04-03 08:47:42</v>
      </c>
      <c r="L1239" s="1" t="str">
        <f>"2017-04-03 08:47:49"</f>
        <v>2017-04-03 08:47:49</v>
      </c>
      <c r="M1239" s="2">
        <v>3.1134259259259257E-3</v>
      </c>
      <c r="N1239" s="1" t="s">
        <v>26</v>
      </c>
      <c r="O1239" s="1" t="s">
        <v>27</v>
      </c>
      <c r="P1239" s="2">
        <v>3.1944444444444442E-3</v>
      </c>
      <c r="Q1239" s="1" t="s">
        <v>979</v>
      </c>
      <c r="R1239" s="1">
        <v>0</v>
      </c>
      <c r="S1239" s="1" t="str">
        <f>""</f>
        <v/>
      </c>
      <c r="T1239" s="1" t="s">
        <v>29</v>
      </c>
      <c r="U1239" s="1" t="s">
        <v>30</v>
      </c>
      <c r="V1239" s="1">
        <v>0</v>
      </c>
    </row>
    <row r="1240" spans="2:22" x14ac:dyDescent="0.15">
      <c r="B1240" s="1" t="str">
        <f>"132****8805"</f>
        <v>132****8805</v>
      </c>
      <c r="C1240" s="1" t="s">
        <v>99</v>
      </c>
      <c r="D1240" s="1" t="str">
        <f t="shared" si="134"/>
        <v>89177328</v>
      </c>
      <c r="E1240" s="1" t="s">
        <v>24</v>
      </c>
      <c r="F1240" s="1" t="str">
        <f t="shared" si="135"/>
        <v>0010</v>
      </c>
      <c r="G1240" s="1" t="str">
        <f>""</f>
        <v/>
      </c>
      <c r="H1240" s="1" t="str">
        <f>"0018"</f>
        <v>0018</v>
      </c>
      <c r="I1240" s="1" t="s">
        <v>36</v>
      </c>
      <c r="J1240" s="1" t="str">
        <f>"01043977572"</f>
        <v>01043977572</v>
      </c>
      <c r="K1240" s="1" t="str">
        <f>"2017-04-03 08:44:16"</f>
        <v>2017-04-03 08:44:16</v>
      </c>
      <c r="L1240" s="1" t="str">
        <f>"2017-04-03 08:44:24"</f>
        <v>2017-04-03 08:44:24</v>
      </c>
      <c r="M1240" s="2">
        <v>1.0462962962962964E-2</v>
      </c>
      <c r="N1240" s="1" t="s">
        <v>26</v>
      </c>
      <c r="O1240" s="1" t="s">
        <v>34</v>
      </c>
      <c r="P1240" s="2">
        <v>1.0555555555555554E-2</v>
      </c>
      <c r="Q1240" s="1" t="s">
        <v>980</v>
      </c>
      <c r="R1240" s="1">
        <v>0</v>
      </c>
      <c r="S1240" s="1" t="str">
        <f>""</f>
        <v/>
      </c>
      <c r="T1240" s="1" t="s">
        <v>29</v>
      </c>
      <c r="U1240" s="1" t="s">
        <v>30</v>
      </c>
      <c r="V1240" s="1">
        <v>0</v>
      </c>
    </row>
    <row r="1241" spans="2:22" x14ac:dyDescent="0.15">
      <c r="B1241" s="1" t="str">
        <f>"137****4332"</f>
        <v>137****4332</v>
      </c>
      <c r="C1241" s="1" t="s">
        <v>193</v>
      </c>
      <c r="D1241" s="1" t="str">
        <f t="shared" si="134"/>
        <v>89177328</v>
      </c>
      <c r="E1241" s="1" t="s">
        <v>24</v>
      </c>
      <c r="F1241" s="1" t="str">
        <f t="shared" si="135"/>
        <v>0010</v>
      </c>
      <c r="G1241" s="1" t="str">
        <f>""</f>
        <v/>
      </c>
      <c r="H1241" s="1" t="str">
        <f>"0010"</f>
        <v>0010</v>
      </c>
      <c r="I1241" s="1" t="s">
        <v>71</v>
      </c>
      <c r="J1241" s="1" t="str">
        <f>"01043977571"</f>
        <v>01043977571</v>
      </c>
      <c r="K1241" s="1" t="str">
        <f>"2017-04-03 08:42:13"</f>
        <v>2017-04-03 08:42:13</v>
      </c>
      <c r="L1241" s="1" t="str">
        <f>"2017-04-03 08:42:24"</f>
        <v>2017-04-03 08:42:24</v>
      </c>
      <c r="M1241" s="2">
        <v>3.9699074074074072E-3</v>
      </c>
      <c r="N1241" s="1" t="s">
        <v>26</v>
      </c>
      <c r="O1241" s="1" t="s">
        <v>34</v>
      </c>
      <c r="P1241" s="2">
        <v>4.0972222222222226E-3</v>
      </c>
      <c r="Q1241" s="1" t="s">
        <v>981</v>
      </c>
      <c r="R1241" s="1">
        <v>0</v>
      </c>
      <c r="S1241" s="1" t="str">
        <f>""</f>
        <v/>
      </c>
      <c r="T1241" s="1" t="s">
        <v>29</v>
      </c>
      <c r="U1241" s="1" t="s">
        <v>30</v>
      </c>
      <c r="V1241" s="1">
        <v>0</v>
      </c>
    </row>
    <row r="1242" spans="2:22" x14ac:dyDescent="0.15">
      <c r="B1242" s="1" t="str">
        <f>"136****5568"</f>
        <v>136****5568</v>
      </c>
      <c r="C1242" s="1" t="s">
        <v>23</v>
      </c>
      <c r="D1242" s="1" t="str">
        <f t="shared" si="134"/>
        <v>89177328</v>
      </c>
      <c r="E1242" s="1" t="s">
        <v>24</v>
      </c>
      <c r="F1242" s="1" t="str">
        <f t="shared" si="135"/>
        <v>0010</v>
      </c>
      <c r="G1242" s="1" t="str">
        <f>""</f>
        <v/>
      </c>
      <c r="H1242" s="1" t="str">
        <f>"0012"</f>
        <v>0012</v>
      </c>
      <c r="I1242" s="1" t="s">
        <v>612</v>
      </c>
      <c r="J1242" s="1" t="str">
        <f>"01043989720"</f>
        <v>01043989720</v>
      </c>
      <c r="K1242" s="1" t="str">
        <f>"2017-04-03 08:36:30"</f>
        <v>2017-04-03 08:36:30</v>
      </c>
      <c r="L1242" s="1" t="str">
        <f>"2017-04-03 08:36:43"</f>
        <v>2017-04-03 08:36:43</v>
      </c>
      <c r="M1242" s="2">
        <v>3.4606481481481485E-3</v>
      </c>
      <c r="N1242" s="1" t="s">
        <v>26</v>
      </c>
      <c r="O1242" s="1" t="s">
        <v>27</v>
      </c>
      <c r="P1242" s="2">
        <v>3.6111111111111114E-3</v>
      </c>
      <c r="Q1242" s="1" t="s">
        <v>982</v>
      </c>
      <c r="R1242" s="1">
        <v>0</v>
      </c>
      <c r="S1242" s="1" t="str">
        <f>""</f>
        <v/>
      </c>
      <c r="T1242" s="1" t="s">
        <v>29</v>
      </c>
      <c r="U1242" s="1" t="s">
        <v>30</v>
      </c>
      <c r="V1242" s="1">
        <v>0</v>
      </c>
    </row>
    <row r="1243" spans="2:22" x14ac:dyDescent="0.15">
      <c r="B1243" s="1" t="str">
        <f>"010****7411"</f>
        <v>010****7411</v>
      </c>
      <c r="C1243" s="1" t="s">
        <v>23</v>
      </c>
      <c r="D1243" s="1" t="str">
        <f t="shared" si="134"/>
        <v>89177328</v>
      </c>
      <c r="E1243" s="1" t="s">
        <v>24</v>
      </c>
      <c r="F1243" s="1" t="str">
        <f t="shared" si="135"/>
        <v>0010</v>
      </c>
      <c r="G1243" s="1" t="str">
        <f>""</f>
        <v/>
      </c>
      <c r="H1243" s="1" t="str">
        <f>"0017"</f>
        <v>0017</v>
      </c>
      <c r="I1243" s="1" t="s">
        <v>135</v>
      </c>
      <c r="J1243" s="1" t="str">
        <f>"01043989717"</f>
        <v>01043989717</v>
      </c>
      <c r="K1243" s="1" t="str">
        <f>"2017-04-03 08:16:13"</f>
        <v>2017-04-03 08:16:13</v>
      </c>
      <c r="L1243" s="1" t="str">
        <f>"-"</f>
        <v>-</v>
      </c>
      <c r="M1243" s="2">
        <v>0</v>
      </c>
      <c r="N1243" s="1" t="s">
        <v>33</v>
      </c>
      <c r="O1243" s="1" t="s">
        <v>34</v>
      </c>
      <c r="P1243" s="2">
        <v>1.1574074074074073E-5</v>
      </c>
      <c r="Q1243" s="1" t="str">
        <f>""</f>
        <v/>
      </c>
      <c r="R1243" s="1">
        <v>0</v>
      </c>
      <c r="S1243" s="1" t="str">
        <f>""</f>
        <v/>
      </c>
      <c r="T1243" s="1" t="s">
        <v>29</v>
      </c>
      <c r="U1243" s="1" t="s">
        <v>30</v>
      </c>
      <c r="V1243" s="1">
        <v>0</v>
      </c>
    </row>
    <row r="1244" spans="2:22" x14ac:dyDescent="0.15">
      <c r="B1244" s="1" t="str">
        <f>"157****6007"</f>
        <v>157****6007</v>
      </c>
      <c r="C1244" s="1" t="s">
        <v>594</v>
      </c>
      <c r="D1244" s="1" t="str">
        <f t="shared" si="134"/>
        <v>89177328</v>
      </c>
      <c r="E1244" s="1" t="s">
        <v>24</v>
      </c>
      <c r="F1244" s="1" t="str">
        <f t="shared" si="135"/>
        <v>0010</v>
      </c>
      <c r="G1244" s="1" t="str">
        <f>""</f>
        <v/>
      </c>
      <c r="H1244" s="1" t="str">
        <f>"0010"</f>
        <v>0010</v>
      </c>
      <c r="I1244" s="1" t="s">
        <v>71</v>
      </c>
      <c r="J1244" s="1" t="str">
        <f>"01043977571"</f>
        <v>01043977571</v>
      </c>
      <c r="K1244" s="1" t="str">
        <f>"2017-04-03 08:08:32"</f>
        <v>2017-04-03 08:08:32</v>
      </c>
      <c r="L1244" s="1" t="str">
        <f>"2017-04-03 08:08:42"</f>
        <v>2017-04-03 08:08:42</v>
      </c>
      <c r="M1244" s="2">
        <v>1.1423611111111112E-2</v>
      </c>
      <c r="N1244" s="1" t="s">
        <v>26</v>
      </c>
      <c r="O1244" s="1" t="s">
        <v>34</v>
      </c>
      <c r="P1244" s="2">
        <v>1.1539351851851851E-2</v>
      </c>
      <c r="Q1244" s="1" t="s">
        <v>983</v>
      </c>
      <c r="R1244" s="1">
        <v>0</v>
      </c>
      <c r="S1244" s="1" t="str">
        <f>""</f>
        <v/>
      </c>
      <c r="T1244" s="1" t="s">
        <v>29</v>
      </c>
      <c r="U1244" s="1" t="s">
        <v>30</v>
      </c>
      <c r="V1244" s="1">
        <v>0</v>
      </c>
    </row>
    <row r="1245" spans="2:22" x14ac:dyDescent="0.15">
      <c r="B1245" s="1" t="str">
        <f>"132****3909"</f>
        <v>132****3909</v>
      </c>
      <c r="C1245" s="1" t="s">
        <v>23</v>
      </c>
      <c r="D1245" s="1" t="str">
        <f t="shared" si="134"/>
        <v>89177328</v>
      </c>
      <c r="E1245" s="1" t="s">
        <v>181</v>
      </c>
      <c r="F1245" s="1" t="str">
        <f>""</f>
        <v/>
      </c>
      <c r="G1245" s="1" t="str">
        <f>""</f>
        <v/>
      </c>
      <c r="H1245" s="1" t="str">
        <f>""</f>
        <v/>
      </c>
      <c r="I1245" s="1" t="str">
        <f>""</f>
        <v/>
      </c>
      <c r="J1245" s="1" t="str">
        <f>""</f>
        <v/>
      </c>
      <c r="K1245" s="1" t="str">
        <f>"2017-04-03 07:01:24"</f>
        <v>2017-04-03 07:01:24</v>
      </c>
      <c r="L1245" s="1" t="str">
        <f>"2017-04-03 07:01:35"</f>
        <v>2017-04-03 07:01:35</v>
      </c>
      <c r="M1245" s="2">
        <v>5.7870370370370366E-5</v>
      </c>
      <c r="N1245" s="1" t="s">
        <v>55</v>
      </c>
      <c r="O1245" s="1" t="s">
        <v>34</v>
      </c>
      <c r="P1245" s="2">
        <v>1.8518518518518518E-4</v>
      </c>
      <c r="Q1245" s="1" t="str">
        <f>""</f>
        <v/>
      </c>
      <c r="R1245" s="1">
        <v>0</v>
      </c>
      <c r="S1245" s="1" t="str">
        <f>""</f>
        <v/>
      </c>
      <c r="T1245" s="1" t="s">
        <v>183</v>
      </c>
      <c r="U1245" s="1" t="s">
        <v>30</v>
      </c>
      <c r="V1245" s="1">
        <v>0</v>
      </c>
    </row>
    <row r="1246" spans="2:22" x14ac:dyDescent="0.15">
      <c r="B1246" s="1" t="str">
        <f>"188****9847"</f>
        <v>188****9847</v>
      </c>
      <c r="C1246" s="1" t="s">
        <v>241</v>
      </c>
      <c r="D1246" s="1" t="str">
        <f>"4000108333"</f>
        <v>4000108333</v>
      </c>
      <c r="E1246" s="1" t="s">
        <v>414</v>
      </c>
      <c r="F1246" s="1" t="str">
        <f>""</f>
        <v/>
      </c>
      <c r="G1246" s="1" t="str">
        <f>""</f>
        <v/>
      </c>
      <c r="H1246" s="1" t="str">
        <f>""</f>
        <v/>
      </c>
      <c r="I1246" s="1" t="str">
        <f>""</f>
        <v/>
      </c>
      <c r="J1246" s="1" t="str">
        <f>""</f>
        <v/>
      </c>
      <c r="K1246" s="1" t="str">
        <f>"2017-04-02 22:52:19"</f>
        <v>2017-04-02 22:52:19</v>
      </c>
      <c r="L1246" s="1" t="str">
        <f>"-"</f>
        <v>-</v>
      </c>
      <c r="M1246" s="2">
        <v>0</v>
      </c>
      <c r="N1246" s="1" t="s">
        <v>55</v>
      </c>
      <c r="O1246" s="1" t="s">
        <v>34</v>
      </c>
      <c r="P1246" s="2">
        <v>1.7361111111111112E-4</v>
      </c>
      <c r="Q1246" s="1" t="str">
        <f>""</f>
        <v/>
      </c>
      <c r="R1246" s="1">
        <v>0.12</v>
      </c>
      <c r="S1246" s="1" t="str">
        <f>""</f>
        <v/>
      </c>
      <c r="T1246" s="1" t="s">
        <v>183</v>
      </c>
      <c r="U1246" s="1" t="s">
        <v>30</v>
      </c>
      <c r="V1246" s="1">
        <v>0</v>
      </c>
    </row>
    <row r="1247" spans="2:22" x14ac:dyDescent="0.15">
      <c r="B1247" s="1" t="str">
        <f>"138****8839"</f>
        <v>138****8839</v>
      </c>
      <c r="C1247" s="1" t="s">
        <v>49</v>
      </c>
      <c r="D1247" s="1" t="str">
        <f t="shared" ref="D1247:D1310" si="136">"89177328"</f>
        <v>89177328</v>
      </c>
      <c r="E1247" s="1" t="s">
        <v>24</v>
      </c>
      <c r="F1247" s="1" t="str">
        <f t="shared" ref="F1247:F1310" si="137">"0010"</f>
        <v>0010</v>
      </c>
      <c r="G1247" s="1" t="str">
        <f>""</f>
        <v/>
      </c>
      <c r="H1247" s="1" t="str">
        <f>"0031"</f>
        <v>0031</v>
      </c>
      <c r="I1247" s="1" t="s">
        <v>95</v>
      </c>
      <c r="J1247" s="1" t="str">
        <f>"01043977565"</f>
        <v>01043977565</v>
      </c>
      <c r="K1247" s="1" t="str">
        <f>"2017-04-02 20:31:33"</f>
        <v>2017-04-02 20:31:33</v>
      </c>
      <c r="L1247" s="1" t="str">
        <f>"2017-04-02 20:31:42"</f>
        <v>2017-04-02 20:31:42</v>
      </c>
      <c r="M1247" s="2">
        <v>2.0162037037037037E-2</v>
      </c>
      <c r="N1247" s="1" t="s">
        <v>26</v>
      </c>
      <c r="O1247" s="1" t="s">
        <v>34</v>
      </c>
      <c r="P1247" s="2">
        <v>2.0266203703703703E-2</v>
      </c>
      <c r="Q1247" s="1" t="s">
        <v>984</v>
      </c>
      <c r="R1247" s="1">
        <v>0</v>
      </c>
      <c r="S1247" s="1" t="str">
        <f>""</f>
        <v/>
      </c>
      <c r="T1247" s="1" t="s">
        <v>29</v>
      </c>
      <c r="U1247" s="1" t="s">
        <v>30</v>
      </c>
      <c r="V1247" s="1">
        <v>0</v>
      </c>
    </row>
    <row r="1248" spans="2:22" x14ac:dyDescent="0.15">
      <c r="B1248" s="1" t="str">
        <f>"135****1711"</f>
        <v>135****1711</v>
      </c>
      <c r="C1248" s="1" t="s">
        <v>23</v>
      </c>
      <c r="D1248" s="1" t="str">
        <f t="shared" si="136"/>
        <v>89177328</v>
      </c>
      <c r="E1248" s="1" t="s">
        <v>24</v>
      </c>
      <c r="F1248" s="1" t="str">
        <f t="shared" si="137"/>
        <v>0010</v>
      </c>
      <c r="G1248" s="1" t="str">
        <f>""</f>
        <v/>
      </c>
      <c r="H1248" s="1" t="str">
        <f>"0012"</f>
        <v>0012</v>
      </c>
      <c r="I1248" s="1" t="s">
        <v>612</v>
      </c>
      <c r="J1248" s="1" t="str">
        <f>"01043989720"</f>
        <v>01043989720</v>
      </c>
      <c r="K1248" s="1" t="str">
        <f>"2017-04-02 20:16:16"</f>
        <v>2017-04-02 20:16:16</v>
      </c>
      <c r="L1248" s="1" t="str">
        <f>"2017-04-02 20:16:25"</f>
        <v>2017-04-02 20:16:25</v>
      </c>
      <c r="M1248" s="2">
        <v>3.2407407407407406E-3</v>
      </c>
      <c r="N1248" s="1" t="s">
        <v>26</v>
      </c>
      <c r="O1248" s="1" t="s">
        <v>27</v>
      </c>
      <c r="P1248" s="2">
        <v>3.3449074074074071E-3</v>
      </c>
      <c r="Q1248" s="1" t="s">
        <v>985</v>
      </c>
      <c r="R1248" s="1">
        <v>0</v>
      </c>
      <c r="S1248" s="1" t="str">
        <f>""</f>
        <v/>
      </c>
      <c r="T1248" s="1" t="s">
        <v>29</v>
      </c>
      <c r="U1248" s="1" t="s">
        <v>30</v>
      </c>
      <c r="V1248" s="1">
        <v>0</v>
      </c>
    </row>
    <row r="1249" spans="2:22" x14ac:dyDescent="0.15">
      <c r="B1249" s="1" t="str">
        <f>"156****3985"</f>
        <v>156****3985</v>
      </c>
      <c r="C1249" s="1" t="s">
        <v>23</v>
      </c>
      <c r="D1249" s="1" t="str">
        <f t="shared" si="136"/>
        <v>89177328</v>
      </c>
      <c r="E1249" s="1" t="s">
        <v>24</v>
      </c>
      <c r="F1249" s="1" t="str">
        <f t="shared" si="137"/>
        <v>0010</v>
      </c>
      <c r="G1249" s="1" t="str">
        <f>""</f>
        <v/>
      </c>
      <c r="H1249" s="1" t="str">
        <f>"0034"</f>
        <v>0034</v>
      </c>
      <c r="I1249" s="1" t="s">
        <v>31</v>
      </c>
      <c r="J1249" s="1" t="str">
        <f>"01043977568"</f>
        <v>01043977568</v>
      </c>
      <c r="K1249" s="1" t="str">
        <f>"2017-04-02 20:15:36"</f>
        <v>2017-04-02 20:15:36</v>
      </c>
      <c r="L1249" s="1" t="str">
        <f>"2017-04-02 20:15:51"</f>
        <v>2017-04-02 20:15:51</v>
      </c>
      <c r="M1249" s="2">
        <v>1.1712962962962965E-2</v>
      </c>
      <c r="N1249" s="1" t="s">
        <v>26</v>
      </c>
      <c r="O1249" s="1" t="s">
        <v>34</v>
      </c>
      <c r="P1249" s="2">
        <v>1.1886574074074075E-2</v>
      </c>
      <c r="Q1249" s="1" t="s">
        <v>986</v>
      </c>
      <c r="R1249" s="1">
        <v>0</v>
      </c>
      <c r="S1249" s="1" t="str">
        <f>""</f>
        <v/>
      </c>
      <c r="T1249" s="1" t="s">
        <v>29</v>
      </c>
      <c r="U1249" s="1" t="s">
        <v>30</v>
      </c>
      <c r="V1249" s="1">
        <v>0</v>
      </c>
    </row>
    <row r="1250" spans="2:22" x14ac:dyDescent="0.15">
      <c r="B1250" s="1" t="str">
        <f>"156****8771"</f>
        <v>156****8771</v>
      </c>
      <c r="C1250" s="1" t="s">
        <v>80</v>
      </c>
      <c r="D1250" s="1" t="str">
        <f t="shared" si="136"/>
        <v>89177328</v>
      </c>
      <c r="E1250" s="1" t="s">
        <v>24</v>
      </c>
      <c r="F1250" s="1" t="str">
        <f t="shared" si="137"/>
        <v>0010</v>
      </c>
      <c r="G1250" s="1" t="str">
        <f>""</f>
        <v/>
      </c>
      <c r="H1250" s="1" t="str">
        <f>"0012"</f>
        <v>0012</v>
      </c>
      <c r="I1250" s="1" t="s">
        <v>612</v>
      </c>
      <c r="J1250" s="1" t="str">
        <f>"01043989720"</f>
        <v>01043989720</v>
      </c>
      <c r="K1250" s="1" t="str">
        <f>"2017-04-02 19:46:33"</f>
        <v>2017-04-02 19:46:33</v>
      </c>
      <c r="L1250" s="1" t="str">
        <f>"2017-04-02 19:46:44"</f>
        <v>2017-04-02 19:46:44</v>
      </c>
      <c r="M1250" s="2">
        <v>9.4907407407407406E-3</v>
      </c>
      <c r="N1250" s="1" t="s">
        <v>26</v>
      </c>
      <c r="O1250" s="1" t="s">
        <v>34</v>
      </c>
      <c r="P1250" s="2">
        <v>9.618055555555555E-3</v>
      </c>
      <c r="Q1250" s="1" t="s">
        <v>987</v>
      </c>
      <c r="R1250" s="1">
        <v>0</v>
      </c>
      <c r="S1250" s="1" t="str">
        <f>""</f>
        <v/>
      </c>
      <c r="T1250" s="1" t="s">
        <v>29</v>
      </c>
      <c r="U1250" s="1" t="s">
        <v>30</v>
      </c>
      <c r="V1250" s="1">
        <v>0</v>
      </c>
    </row>
    <row r="1251" spans="2:22" x14ac:dyDescent="0.15">
      <c r="B1251" s="1" t="str">
        <f>"188****2633"</f>
        <v>188****2633</v>
      </c>
      <c r="C1251" s="1" t="s">
        <v>23</v>
      </c>
      <c r="D1251" s="1" t="str">
        <f t="shared" si="136"/>
        <v>89177328</v>
      </c>
      <c r="E1251" s="1" t="s">
        <v>24</v>
      </c>
      <c r="F1251" s="1" t="str">
        <f t="shared" si="137"/>
        <v>0010</v>
      </c>
      <c r="G1251" s="1" t="str">
        <f>""</f>
        <v/>
      </c>
      <c r="H1251" s="1" t="str">
        <f>"0031"</f>
        <v>0031</v>
      </c>
      <c r="I1251" s="1" t="s">
        <v>95</v>
      </c>
      <c r="J1251" s="1" t="str">
        <f>"01043977565"</f>
        <v>01043977565</v>
      </c>
      <c r="K1251" s="1" t="str">
        <f>"2017-04-02 19:16:01"</f>
        <v>2017-04-02 19:16:01</v>
      </c>
      <c r="L1251" s="1" t="str">
        <f>"2017-04-02 19:16:09"</f>
        <v>2017-04-02 19:16:09</v>
      </c>
      <c r="M1251" s="2">
        <v>7.9398148148148145E-3</v>
      </c>
      <c r="N1251" s="1" t="s">
        <v>26</v>
      </c>
      <c r="O1251" s="1" t="s">
        <v>27</v>
      </c>
      <c r="P1251" s="2">
        <v>8.0324074074074065E-3</v>
      </c>
      <c r="Q1251" s="1" t="s">
        <v>988</v>
      </c>
      <c r="R1251" s="1">
        <v>0</v>
      </c>
      <c r="S1251" s="1" t="str">
        <f>""</f>
        <v/>
      </c>
      <c r="T1251" s="1" t="s">
        <v>29</v>
      </c>
      <c r="U1251" s="1" t="s">
        <v>30</v>
      </c>
      <c r="V1251" s="1">
        <v>0</v>
      </c>
    </row>
    <row r="1252" spans="2:22" x14ac:dyDescent="0.15">
      <c r="B1252" s="1" t="str">
        <f>"189****9785"</f>
        <v>189****9785</v>
      </c>
      <c r="C1252" s="1" t="s">
        <v>23</v>
      </c>
      <c r="D1252" s="1" t="str">
        <f t="shared" si="136"/>
        <v>89177328</v>
      </c>
      <c r="E1252" s="1" t="s">
        <v>24</v>
      </c>
      <c r="F1252" s="1" t="str">
        <f t="shared" si="137"/>
        <v>0010</v>
      </c>
      <c r="G1252" s="1" t="str">
        <f>""</f>
        <v/>
      </c>
      <c r="H1252" s="1" t="str">
        <f>"0031"</f>
        <v>0031</v>
      </c>
      <c r="I1252" s="1" t="s">
        <v>95</v>
      </c>
      <c r="J1252" s="1" t="str">
        <f>"01043977565"</f>
        <v>01043977565</v>
      </c>
      <c r="K1252" s="1" t="str">
        <f>"2017-04-02 18:34:45"</f>
        <v>2017-04-02 18:34:45</v>
      </c>
      <c r="L1252" s="1" t="str">
        <f>"2017-04-02 18:34:53"</f>
        <v>2017-04-02 18:34:53</v>
      </c>
      <c r="M1252" s="2">
        <v>7.6851851851851847E-3</v>
      </c>
      <c r="N1252" s="1" t="s">
        <v>26</v>
      </c>
      <c r="O1252" s="1" t="s">
        <v>27</v>
      </c>
      <c r="P1252" s="2">
        <v>7.7777777777777767E-3</v>
      </c>
      <c r="Q1252" s="1" t="s">
        <v>989</v>
      </c>
      <c r="R1252" s="1">
        <v>0</v>
      </c>
      <c r="S1252" s="1" t="str">
        <f>""</f>
        <v/>
      </c>
      <c r="T1252" s="1" t="s">
        <v>29</v>
      </c>
      <c r="U1252" s="1" t="s">
        <v>30</v>
      </c>
      <c r="V1252" s="1">
        <v>0</v>
      </c>
    </row>
    <row r="1253" spans="2:22" x14ac:dyDescent="0.15">
      <c r="B1253" s="1" t="str">
        <f>"116114"</f>
        <v>116114</v>
      </c>
      <c r="C1253" s="1" t="s">
        <v>159</v>
      </c>
      <c r="D1253" s="1" t="str">
        <f t="shared" si="136"/>
        <v>89177328</v>
      </c>
      <c r="E1253" s="1" t="s">
        <v>24</v>
      </c>
      <c r="F1253" s="1" t="str">
        <f t="shared" si="137"/>
        <v>0010</v>
      </c>
      <c r="G1253" s="1" t="str">
        <f>""</f>
        <v/>
      </c>
      <c r="H1253" s="1" t="str">
        <f>"0012"</f>
        <v>0012</v>
      </c>
      <c r="I1253" s="1" t="s">
        <v>612</v>
      </c>
      <c r="J1253" s="1" t="str">
        <f>"01043989720"</f>
        <v>01043989720</v>
      </c>
      <c r="K1253" s="1" t="str">
        <f>"2017-04-02 18:32:34"</f>
        <v>2017-04-02 18:32:34</v>
      </c>
      <c r="L1253" s="1" t="str">
        <f>"2017-04-02 18:32:46"</f>
        <v>2017-04-02 18:32:46</v>
      </c>
      <c r="M1253" s="2">
        <v>2.1527777777777778E-3</v>
      </c>
      <c r="N1253" s="1" t="s">
        <v>26</v>
      </c>
      <c r="O1253" s="1" t="s">
        <v>27</v>
      </c>
      <c r="P1253" s="2">
        <v>2.2916666666666667E-3</v>
      </c>
      <c r="Q1253" s="1" t="s">
        <v>990</v>
      </c>
      <c r="R1253" s="1">
        <v>0</v>
      </c>
      <c r="S1253" s="1" t="str">
        <f>""</f>
        <v/>
      </c>
      <c r="T1253" s="1" t="s">
        <v>29</v>
      </c>
      <c r="U1253" s="1" t="s">
        <v>30</v>
      </c>
      <c r="V1253" s="1">
        <v>0</v>
      </c>
    </row>
    <row r="1254" spans="2:22" x14ac:dyDescent="0.15">
      <c r="B1254" s="1" t="str">
        <f>"136****0764"</f>
        <v>136****0764</v>
      </c>
      <c r="C1254" s="1" t="s">
        <v>23</v>
      </c>
      <c r="D1254" s="1" t="str">
        <f t="shared" si="136"/>
        <v>89177328</v>
      </c>
      <c r="E1254" s="1" t="s">
        <v>24</v>
      </c>
      <c r="F1254" s="1" t="str">
        <f t="shared" si="137"/>
        <v>0010</v>
      </c>
      <c r="G1254" s="1" t="str">
        <f>""</f>
        <v/>
      </c>
      <c r="H1254" s="1" t="str">
        <f>"0012"</f>
        <v>0012</v>
      </c>
      <c r="I1254" s="1" t="s">
        <v>612</v>
      </c>
      <c r="J1254" s="1" t="str">
        <f>"01043989720"</f>
        <v>01043989720</v>
      </c>
      <c r="K1254" s="1" t="str">
        <f>"2017-04-02 17:49:45"</f>
        <v>2017-04-02 17:49:45</v>
      </c>
      <c r="L1254" s="1" t="str">
        <f>"-"</f>
        <v>-</v>
      </c>
      <c r="M1254" s="2">
        <v>0</v>
      </c>
      <c r="N1254" s="1" t="s">
        <v>33</v>
      </c>
      <c r="O1254" s="1" t="s">
        <v>34</v>
      </c>
      <c r="P1254" s="2">
        <v>1.0416666666666667E-4</v>
      </c>
      <c r="Q1254" s="1" t="str">
        <f>""</f>
        <v/>
      </c>
      <c r="R1254" s="1">
        <v>0</v>
      </c>
      <c r="S1254" s="1" t="str">
        <f>""</f>
        <v/>
      </c>
      <c r="T1254" s="1" t="s">
        <v>29</v>
      </c>
      <c r="U1254" s="1" t="s">
        <v>30</v>
      </c>
      <c r="V1254" s="1">
        <v>0</v>
      </c>
    </row>
    <row r="1255" spans="2:22" x14ac:dyDescent="0.15">
      <c r="B1255" s="1" t="str">
        <f>"136****0764"</f>
        <v>136****0764</v>
      </c>
      <c r="C1255" s="1" t="s">
        <v>23</v>
      </c>
      <c r="D1255" s="1" t="str">
        <f t="shared" si="136"/>
        <v>89177328</v>
      </c>
      <c r="E1255" s="1" t="s">
        <v>24</v>
      </c>
      <c r="F1255" s="1" t="str">
        <f t="shared" si="137"/>
        <v>0010</v>
      </c>
      <c r="G1255" s="1" t="str">
        <f>""</f>
        <v/>
      </c>
      <c r="H1255" s="1" t="str">
        <f>"0012"</f>
        <v>0012</v>
      </c>
      <c r="I1255" s="1" t="s">
        <v>612</v>
      </c>
      <c r="J1255" s="1" t="str">
        <f>"01043989720"</f>
        <v>01043989720</v>
      </c>
      <c r="K1255" s="1" t="str">
        <f>"2017-04-02 17:45:43"</f>
        <v>2017-04-02 17:45:43</v>
      </c>
      <c r="L1255" s="1" t="str">
        <f>"-"</f>
        <v>-</v>
      </c>
      <c r="M1255" s="2">
        <v>0</v>
      </c>
      <c r="N1255" s="1" t="s">
        <v>33</v>
      </c>
      <c r="O1255" s="1" t="s">
        <v>34</v>
      </c>
      <c r="P1255" s="2">
        <v>1.3888888888888889E-4</v>
      </c>
      <c r="Q1255" s="1" t="str">
        <f>""</f>
        <v/>
      </c>
      <c r="R1255" s="1">
        <v>0</v>
      </c>
      <c r="S1255" s="1" t="str">
        <f>""</f>
        <v/>
      </c>
      <c r="T1255" s="1" t="s">
        <v>29</v>
      </c>
      <c r="U1255" s="1" t="s">
        <v>30</v>
      </c>
      <c r="V1255" s="1">
        <v>0</v>
      </c>
    </row>
    <row r="1256" spans="2:22" x14ac:dyDescent="0.15">
      <c r="B1256" s="1" t="str">
        <f>"177****0206"</f>
        <v>177****0206</v>
      </c>
      <c r="C1256" s="1" t="s">
        <v>23</v>
      </c>
      <c r="D1256" s="1" t="str">
        <f t="shared" si="136"/>
        <v>89177328</v>
      </c>
      <c r="E1256" s="1" t="s">
        <v>24</v>
      </c>
      <c r="F1256" s="1" t="str">
        <f t="shared" si="137"/>
        <v>0010</v>
      </c>
      <c r="G1256" s="1" t="str">
        <f>""</f>
        <v/>
      </c>
      <c r="H1256" s="1" t="str">
        <f>"0032"</f>
        <v>0032</v>
      </c>
      <c r="I1256" s="1" t="s">
        <v>119</v>
      </c>
      <c r="J1256" s="1" t="str">
        <f>"01043977566"</f>
        <v>01043977566</v>
      </c>
      <c r="K1256" s="1" t="str">
        <f>"2017-04-02 17:44:55"</f>
        <v>2017-04-02 17:44:55</v>
      </c>
      <c r="L1256" s="1" t="str">
        <f>"-"</f>
        <v>-</v>
      </c>
      <c r="M1256" s="2">
        <v>0</v>
      </c>
      <c r="N1256" s="1" t="s">
        <v>33</v>
      </c>
      <c r="O1256" s="1" t="s">
        <v>34</v>
      </c>
      <c r="P1256" s="2">
        <v>7.407407407407407E-4</v>
      </c>
      <c r="Q1256" s="1" t="str">
        <f>""</f>
        <v/>
      </c>
      <c r="R1256" s="1">
        <v>0</v>
      </c>
      <c r="S1256" s="1" t="str">
        <f>""</f>
        <v/>
      </c>
      <c r="T1256" s="1" t="s">
        <v>29</v>
      </c>
      <c r="U1256" s="1" t="s">
        <v>30</v>
      </c>
      <c r="V1256" s="1">
        <v>0</v>
      </c>
    </row>
    <row r="1257" spans="2:22" x14ac:dyDescent="0.15">
      <c r="B1257" s="1" t="str">
        <f>"133****9597"</f>
        <v>133****9597</v>
      </c>
      <c r="C1257" s="1" t="s">
        <v>23</v>
      </c>
      <c r="D1257" s="1" t="str">
        <f t="shared" si="136"/>
        <v>89177328</v>
      </c>
      <c r="E1257" s="1" t="s">
        <v>24</v>
      </c>
      <c r="F1257" s="1" t="str">
        <f t="shared" si="137"/>
        <v>0010</v>
      </c>
      <c r="G1257" s="1" t="str">
        <f>""</f>
        <v/>
      </c>
      <c r="H1257" s="1" t="str">
        <f>"0012"</f>
        <v>0012</v>
      </c>
      <c r="I1257" s="1" t="s">
        <v>612</v>
      </c>
      <c r="J1257" s="1" t="str">
        <f>"01043989720"</f>
        <v>01043989720</v>
      </c>
      <c r="K1257" s="1" t="str">
        <f>"2017-04-02 17:44:20"</f>
        <v>2017-04-02 17:44:20</v>
      </c>
      <c r="L1257" s="1" t="str">
        <f>"-"</f>
        <v>-</v>
      </c>
      <c r="M1257" s="2">
        <v>0</v>
      </c>
      <c r="N1257" s="1" t="s">
        <v>33</v>
      </c>
      <c r="O1257" s="1" t="s">
        <v>34</v>
      </c>
      <c r="P1257" s="2">
        <v>5.7870370370370366E-5</v>
      </c>
      <c r="Q1257" s="1" t="str">
        <f>""</f>
        <v/>
      </c>
      <c r="R1257" s="1">
        <v>0</v>
      </c>
      <c r="S1257" s="1" t="str">
        <f>""</f>
        <v/>
      </c>
      <c r="T1257" s="1" t="s">
        <v>29</v>
      </c>
      <c r="U1257" s="1" t="s">
        <v>30</v>
      </c>
      <c r="V1257" s="1">
        <v>0</v>
      </c>
    </row>
    <row r="1258" spans="2:22" x14ac:dyDescent="0.15">
      <c r="B1258" s="1" t="str">
        <f>"136****0764"</f>
        <v>136****0764</v>
      </c>
      <c r="C1258" s="1" t="s">
        <v>23</v>
      </c>
      <c r="D1258" s="1" t="str">
        <f t="shared" si="136"/>
        <v>89177328</v>
      </c>
      <c r="E1258" s="1" t="s">
        <v>24</v>
      </c>
      <c r="F1258" s="1" t="str">
        <f t="shared" si="137"/>
        <v>0010</v>
      </c>
      <c r="G1258" s="1" t="str">
        <f>""</f>
        <v/>
      </c>
      <c r="H1258" s="1" t="str">
        <f>"0012"</f>
        <v>0012</v>
      </c>
      <c r="I1258" s="1" t="s">
        <v>612</v>
      </c>
      <c r="J1258" s="1" t="str">
        <f>"01043989720"</f>
        <v>01043989720</v>
      </c>
      <c r="K1258" s="1" t="str">
        <f>"2017-04-02 17:42:42"</f>
        <v>2017-04-02 17:42:42</v>
      </c>
      <c r="L1258" s="1" t="str">
        <f>"-"</f>
        <v>-</v>
      </c>
      <c r="M1258" s="2">
        <v>0</v>
      </c>
      <c r="N1258" s="1" t="s">
        <v>33</v>
      </c>
      <c r="O1258" s="1" t="s">
        <v>34</v>
      </c>
      <c r="P1258" s="2">
        <v>3.9351851851851852E-4</v>
      </c>
      <c r="Q1258" s="1" t="str">
        <f>""</f>
        <v/>
      </c>
      <c r="R1258" s="1">
        <v>0</v>
      </c>
      <c r="S1258" s="1" t="str">
        <f>""</f>
        <v/>
      </c>
      <c r="T1258" s="1" t="s">
        <v>29</v>
      </c>
      <c r="U1258" s="1" t="s">
        <v>30</v>
      </c>
      <c r="V1258" s="1">
        <v>0</v>
      </c>
    </row>
    <row r="1259" spans="2:22" x14ac:dyDescent="0.15">
      <c r="B1259" s="1" t="str">
        <f>"136****6789"</f>
        <v>136****6789</v>
      </c>
      <c r="C1259" s="1" t="s">
        <v>379</v>
      </c>
      <c r="D1259" s="1" t="str">
        <f t="shared" si="136"/>
        <v>89177328</v>
      </c>
      <c r="E1259" s="1" t="s">
        <v>24</v>
      </c>
      <c r="F1259" s="1" t="str">
        <f t="shared" si="137"/>
        <v>0010</v>
      </c>
      <c r="G1259" s="1" t="str">
        <f>""</f>
        <v/>
      </c>
      <c r="H1259" s="1" t="str">
        <f>"0034"</f>
        <v>0034</v>
      </c>
      <c r="I1259" s="1" t="s">
        <v>31</v>
      </c>
      <c r="J1259" s="1" t="str">
        <f>"01043977568"</f>
        <v>01043977568</v>
      </c>
      <c r="K1259" s="1" t="str">
        <f>"2017-04-02 17:42:37"</f>
        <v>2017-04-02 17:42:37</v>
      </c>
      <c r="L1259" s="1" t="str">
        <f>"2017-04-02 17:43:12"</f>
        <v>2017-04-02 17:43:12</v>
      </c>
      <c r="M1259" s="2">
        <v>2.0601851851851854E-2</v>
      </c>
      <c r="N1259" s="1" t="s">
        <v>26</v>
      </c>
      <c r="O1259" s="1" t="s">
        <v>34</v>
      </c>
      <c r="P1259" s="2">
        <v>2.1006944444444443E-2</v>
      </c>
      <c r="Q1259" s="1" t="s">
        <v>991</v>
      </c>
      <c r="R1259" s="1">
        <v>0</v>
      </c>
      <c r="S1259" s="1" t="str">
        <f>""</f>
        <v/>
      </c>
      <c r="T1259" s="1" t="s">
        <v>29</v>
      </c>
      <c r="U1259" s="1" t="s">
        <v>30</v>
      </c>
      <c r="V1259" s="1">
        <v>0</v>
      </c>
    </row>
    <row r="1260" spans="2:22" x14ac:dyDescent="0.15">
      <c r="B1260" s="1" t="str">
        <f>"133****9597"</f>
        <v>133****9597</v>
      </c>
      <c r="C1260" s="1" t="s">
        <v>23</v>
      </c>
      <c r="D1260" s="1" t="str">
        <f t="shared" si="136"/>
        <v>89177328</v>
      </c>
      <c r="E1260" s="1" t="s">
        <v>24</v>
      </c>
      <c r="F1260" s="1" t="str">
        <f t="shared" si="137"/>
        <v>0010</v>
      </c>
      <c r="G1260" s="1" t="str">
        <f>""</f>
        <v/>
      </c>
      <c r="H1260" s="1" t="str">
        <f>"0034"</f>
        <v>0034</v>
      </c>
      <c r="I1260" s="1" t="s">
        <v>31</v>
      </c>
      <c r="J1260" s="1" t="str">
        <f>"01043977568"</f>
        <v>01043977568</v>
      </c>
      <c r="K1260" s="1" t="str">
        <f>"2017-04-02 17:40:58"</f>
        <v>2017-04-02 17:40:58</v>
      </c>
      <c r="L1260" s="1" t="str">
        <f t="shared" ref="L1260:L1268" si="138">"-"</f>
        <v>-</v>
      </c>
      <c r="M1260" s="2">
        <v>0</v>
      </c>
      <c r="N1260" s="1" t="s">
        <v>33</v>
      </c>
      <c r="O1260" s="1" t="s">
        <v>34</v>
      </c>
      <c r="P1260" s="2">
        <v>4.6296296296296294E-5</v>
      </c>
      <c r="Q1260" s="1" t="str">
        <f>""</f>
        <v/>
      </c>
      <c r="R1260" s="1">
        <v>0</v>
      </c>
      <c r="S1260" s="1" t="str">
        <f>""</f>
        <v/>
      </c>
      <c r="T1260" s="1" t="s">
        <v>29</v>
      </c>
      <c r="U1260" s="1" t="s">
        <v>30</v>
      </c>
      <c r="V1260" s="1">
        <v>0</v>
      </c>
    </row>
    <row r="1261" spans="2:22" x14ac:dyDescent="0.15">
      <c r="B1261" s="1" t="str">
        <f>"177****0206"</f>
        <v>177****0206</v>
      </c>
      <c r="C1261" s="1" t="s">
        <v>23</v>
      </c>
      <c r="D1261" s="1" t="str">
        <f t="shared" si="136"/>
        <v>89177328</v>
      </c>
      <c r="E1261" s="1" t="s">
        <v>24</v>
      </c>
      <c r="F1261" s="1" t="str">
        <f t="shared" si="137"/>
        <v>0010</v>
      </c>
      <c r="G1261" s="1" t="str">
        <f>""</f>
        <v/>
      </c>
      <c r="H1261" s="1" t="str">
        <f>"0012"</f>
        <v>0012</v>
      </c>
      <c r="I1261" s="1" t="s">
        <v>612</v>
      </c>
      <c r="J1261" s="1" t="str">
        <f>"01043989720"</f>
        <v>01043989720</v>
      </c>
      <c r="K1261" s="1" t="str">
        <f>"2017-04-02 17:40:38"</f>
        <v>2017-04-02 17:40:38</v>
      </c>
      <c r="L1261" s="1" t="str">
        <f t="shared" si="138"/>
        <v>-</v>
      </c>
      <c r="M1261" s="2">
        <v>0</v>
      </c>
      <c r="N1261" s="1" t="s">
        <v>33</v>
      </c>
      <c r="O1261" s="1" t="s">
        <v>34</v>
      </c>
      <c r="P1261" s="2">
        <v>1.1574074074074073E-5</v>
      </c>
      <c r="Q1261" s="1" t="str">
        <f>""</f>
        <v/>
      </c>
      <c r="R1261" s="1">
        <v>0</v>
      </c>
      <c r="S1261" s="1" t="str">
        <f>""</f>
        <v/>
      </c>
      <c r="T1261" s="1" t="s">
        <v>29</v>
      </c>
      <c r="U1261" s="1" t="s">
        <v>30</v>
      </c>
      <c r="V1261" s="1">
        <v>0</v>
      </c>
    </row>
    <row r="1262" spans="2:22" x14ac:dyDescent="0.15">
      <c r="B1262" s="1" t="str">
        <f>"136****0764"</f>
        <v>136****0764</v>
      </c>
      <c r="C1262" s="1" t="s">
        <v>23</v>
      </c>
      <c r="D1262" s="1" t="str">
        <f t="shared" si="136"/>
        <v>89177328</v>
      </c>
      <c r="E1262" s="1" t="s">
        <v>24</v>
      </c>
      <c r="F1262" s="1" t="str">
        <f t="shared" si="137"/>
        <v>0010</v>
      </c>
      <c r="G1262" s="1" t="str">
        <f>""</f>
        <v/>
      </c>
      <c r="H1262" s="1" t="str">
        <f>"0034"</f>
        <v>0034</v>
      </c>
      <c r="I1262" s="1" t="s">
        <v>31</v>
      </c>
      <c r="J1262" s="1" t="str">
        <f>"01043977568"</f>
        <v>01043977568</v>
      </c>
      <c r="K1262" s="1" t="str">
        <f>"2017-04-02 17:39:12"</f>
        <v>2017-04-02 17:39:12</v>
      </c>
      <c r="L1262" s="1" t="str">
        <f t="shared" si="138"/>
        <v>-</v>
      </c>
      <c r="M1262" s="2">
        <v>0</v>
      </c>
      <c r="N1262" s="1" t="s">
        <v>33</v>
      </c>
      <c r="O1262" s="1" t="s">
        <v>34</v>
      </c>
      <c r="P1262" s="2">
        <v>1.3888888888888889E-4</v>
      </c>
      <c r="Q1262" s="1" t="str">
        <f>""</f>
        <v/>
      </c>
      <c r="R1262" s="1">
        <v>0</v>
      </c>
      <c r="S1262" s="1" t="str">
        <f>""</f>
        <v/>
      </c>
      <c r="T1262" s="1" t="s">
        <v>29</v>
      </c>
      <c r="U1262" s="1" t="s">
        <v>30</v>
      </c>
      <c r="V1262" s="1">
        <v>0</v>
      </c>
    </row>
    <row r="1263" spans="2:22" x14ac:dyDescent="0.15">
      <c r="B1263" s="1" t="str">
        <f>"157****4678"</f>
        <v>157****4678</v>
      </c>
      <c r="C1263" s="1" t="s">
        <v>23</v>
      </c>
      <c r="D1263" s="1" t="str">
        <f t="shared" si="136"/>
        <v>89177328</v>
      </c>
      <c r="E1263" s="1" t="s">
        <v>24</v>
      </c>
      <c r="F1263" s="1" t="str">
        <f t="shared" si="137"/>
        <v>0010</v>
      </c>
      <c r="G1263" s="1" t="str">
        <f>""</f>
        <v/>
      </c>
      <c r="H1263" s="1" t="str">
        <f>"0034"</f>
        <v>0034</v>
      </c>
      <c r="I1263" s="1" t="s">
        <v>31</v>
      </c>
      <c r="J1263" s="1" t="str">
        <f>"01043977568"</f>
        <v>01043977568</v>
      </c>
      <c r="K1263" s="1" t="str">
        <f>"2017-04-02 17:35:06"</f>
        <v>2017-04-02 17:35:06</v>
      </c>
      <c r="L1263" s="1" t="str">
        <f t="shared" si="138"/>
        <v>-</v>
      </c>
      <c r="M1263" s="2">
        <v>0</v>
      </c>
      <c r="N1263" s="1" t="s">
        <v>33</v>
      </c>
      <c r="O1263" s="1" t="s">
        <v>34</v>
      </c>
      <c r="P1263" s="2">
        <v>6.9444444444444444E-5</v>
      </c>
      <c r="Q1263" s="1" t="str">
        <f>""</f>
        <v/>
      </c>
      <c r="R1263" s="1">
        <v>0</v>
      </c>
      <c r="S1263" s="1" t="str">
        <f>""</f>
        <v/>
      </c>
      <c r="T1263" s="1" t="s">
        <v>29</v>
      </c>
      <c r="U1263" s="1" t="s">
        <v>30</v>
      </c>
      <c r="V1263" s="1">
        <v>0</v>
      </c>
    </row>
    <row r="1264" spans="2:22" x14ac:dyDescent="0.15">
      <c r="B1264" s="1" t="str">
        <f>"133****9597"</f>
        <v>133****9597</v>
      </c>
      <c r="C1264" s="1" t="s">
        <v>23</v>
      </c>
      <c r="D1264" s="1" t="str">
        <f t="shared" si="136"/>
        <v>89177328</v>
      </c>
      <c r="E1264" s="1" t="s">
        <v>24</v>
      </c>
      <c r="F1264" s="1" t="str">
        <f t="shared" si="137"/>
        <v>0010</v>
      </c>
      <c r="G1264" s="1" t="str">
        <f>""</f>
        <v/>
      </c>
      <c r="H1264" s="1" t="str">
        <f>"0012"</f>
        <v>0012</v>
      </c>
      <c r="I1264" s="1" t="s">
        <v>612</v>
      </c>
      <c r="J1264" s="1" t="str">
        <f>"01043989720"</f>
        <v>01043989720</v>
      </c>
      <c r="K1264" s="1" t="str">
        <f>"2017-04-02 17:32:37"</f>
        <v>2017-04-02 17:32:37</v>
      </c>
      <c r="L1264" s="1" t="str">
        <f t="shared" si="138"/>
        <v>-</v>
      </c>
      <c r="M1264" s="2">
        <v>0</v>
      </c>
      <c r="N1264" s="1" t="s">
        <v>33</v>
      </c>
      <c r="O1264" s="1" t="s">
        <v>34</v>
      </c>
      <c r="P1264" s="2">
        <v>6.9444444444444444E-5</v>
      </c>
      <c r="Q1264" s="1" t="str">
        <f>""</f>
        <v/>
      </c>
      <c r="R1264" s="1">
        <v>0</v>
      </c>
      <c r="S1264" s="1" t="str">
        <f>""</f>
        <v/>
      </c>
      <c r="T1264" s="1" t="s">
        <v>29</v>
      </c>
      <c r="U1264" s="1" t="s">
        <v>30</v>
      </c>
      <c r="V1264" s="1">
        <v>0</v>
      </c>
    </row>
    <row r="1265" spans="2:22" x14ac:dyDescent="0.15">
      <c r="B1265" s="1" t="str">
        <f>"157****4678"</f>
        <v>157****4678</v>
      </c>
      <c r="C1265" s="1" t="s">
        <v>23</v>
      </c>
      <c r="D1265" s="1" t="str">
        <f t="shared" si="136"/>
        <v>89177328</v>
      </c>
      <c r="E1265" s="1" t="s">
        <v>24</v>
      </c>
      <c r="F1265" s="1" t="str">
        <f t="shared" si="137"/>
        <v>0010</v>
      </c>
      <c r="G1265" s="1" t="str">
        <f>""</f>
        <v/>
      </c>
      <c r="H1265" s="1" t="str">
        <f>"0012"</f>
        <v>0012</v>
      </c>
      <c r="I1265" s="1" t="s">
        <v>612</v>
      </c>
      <c r="J1265" s="1" t="str">
        <f>"01043989720"</f>
        <v>01043989720</v>
      </c>
      <c r="K1265" s="1" t="str">
        <f>"2017-04-02 17:31:58"</f>
        <v>2017-04-02 17:31:58</v>
      </c>
      <c r="L1265" s="1" t="str">
        <f t="shared" si="138"/>
        <v>-</v>
      </c>
      <c r="M1265" s="2">
        <v>0</v>
      </c>
      <c r="N1265" s="1" t="s">
        <v>33</v>
      </c>
      <c r="O1265" s="1" t="s">
        <v>34</v>
      </c>
      <c r="P1265" s="2">
        <v>6.9444444444444444E-5</v>
      </c>
      <c r="Q1265" s="1" t="str">
        <f>""</f>
        <v/>
      </c>
      <c r="R1265" s="1">
        <v>0</v>
      </c>
      <c r="S1265" s="1" t="str">
        <f>""</f>
        <v/>
      </c>
      <c r="T1265" s="1" t="s">
        <v>29</v>
      </c>
      <c r="U1265" s="1" t="s">
        <v>30</v>
      </c>
      <c r="V1265" s="1">
        <v>0</v>
      </c>
    </row>
    <row r="1266" spans="2:22" x14ac:dyDescent="0.15">
      <c r="B1266" s="1" t="str">
        <f>"157****4678"</f>
        <v>157****4678</v>
      </c>
      <c r="C1266" s="1" t="s">
        <v>23</v>
      </c>
      <c r="D1266" s="1" t="str">
        <f t="shared" si="136"/>
        <v>89177328</v>
      </c>
      <c r="E1266" s="1" t="s">
        <v>24</v>
      </c>
      <c r="F1266" s="1" t="str">
        <f t="shared" si="137"/>
        <v>0010</v>
      </c>
      <c r="G1266" s="1" t="str">
        <f>""</f>
        <v/>
      </c>
      <c r="H1266" s="1" t="str">
        <f>"0034"</f>
        <v>0034</v>
      </c>
      <c r="I1266" s="1" t="s">
        <v>31</v>
      </c>
      <c r="J1266" s="1" t="str">
        <f>"01043977568"</f>
        <v>01043977568</v>
      </c>
      <c r="K1266" s="1" t="str">
        <f>"2017-04-02 17:29:15"</f>
        <v>2017-04-02 17:29:15</v>
      </c>
      <c r="L1266" s="1" t="str">
        <f t="shared" si="138"/>
        <v>-</v>
      </c>
      <c r="M1266" s="2">
        <v>0</v>
      </c>
      <c r="N1266" s="1" t="s">
        <v>33</v>
      </c>
      <c r="O1266" s="1" t="s">
        <v>34</v>
      </c>
      <c r="P1266" s="2">
        <v>2.3148148148148147E-5</v>
      </c>
      <c r="Q1266" s="1" t="str">
        <f>""</f>
        <v/>
      </c>
      <c r="R1266" s="1">
        <v>0</v>
      </c>
      <c r="S1266" s="1" t="str">
        <f>""</f>
        <v/>
      </c>
      <c r="T1266" s="1" t="s">
        <v>29</v>
      </c>
      <c r="U1266" s="1" t="s">
        <v>30</v>
      </c>
      <c r="V1266" s="1">
        <v>0</v>
      </c>
    </row>
    <row r="1267" spans="2:22" x14ac:dyDescent="0.15">
      <c r="B1267" s="1" t="str">
        <f>"185****5017"</f>
        <v>185****5017</v>
      </c>
      <c r="C1267" s="1" t="s">
        <v>23</v>
      </c>
      <c r="D1267" s="1" t="str">
        <f t="shared" si="136"/>
        <v>89177328</v>
      </c>
      <c r="E1267" s="1" t="s">
        <v>24</v>
      </c>
      <c r="F1267" s="1" t="str">
        <f t="shared" si="137"/>
        <v>0010</v>
      </c>
      <c r="G1267" s="1" t="str">
        <f>""</f>
        <v/>
      </c>
      <c r="H1267" s="1" t="str">
        <f>"0034"</f>
        <v>0034</v>
      </c>
      <c r="I1267" s="1" t="s">
        <v>31</v>
      </c>
      <c r="J1267" s="1" t="str">
        <f>"01043977568"</f>
        <v>01043977568</v>
      </c>
      <c r="K1267" s="1" t="str">
        <f>"2017-04-02 16:49:30"</f>
        <v>2017-04-02 16:49:30</v>
      </c>
      <c r="L1267" s="1" t="str">
        <f t="shared" si="138"/>
        <v>-</v>
      </c>
      <c r="M1267" s="2">
        <v>0</v>
      </c>
      <c r="N1267" s="1" t="s">
        <v>33</v>
      </c>
      <c r="O1267" s="1" t="s">
        <v>34</v>
      </c>
      <c r="P1267" s="2">
        <v>1.1574074074074073E-5</v>
      </c>
      <c r="Q1267" s="1" t="str">
        <f>""</f>
        <v/>
      </c>
      <c r="R1267" s="1">
        <v>0</v>
      </c>
      <c r="S1267" s="1" t="str">
        <f>""</f>
        <v/>
      </c>
      <c r="T1267" s="1" t="s">
        <v>29</v>
      </c>
      <c r="U1267" s="1" t="s">
        <v>30</v>
      </c>
      <c r="V1267" s="1">
        <v>0</v>
      </c>
    </row>
    <row r="1268" spans="2:22" x14ac:dyDescent="0.15">
      <c r="B1268" s="1" t="str">
        <f>"186****6774"</f>
        <v>186****6774</v>
      </c>
      <c r="C1268" s="1" t="s">
        <v>23</v>
      </c>
      <c r="D1268" s="1" t="str">
        <f t="shared" si="136"/>
        <v>89177328</v>
      </c>
      <c r="E1268" s="1" t="s">
        <v>24</v>
      </c>
      <c r="F1268" s="1" t="str">
        <f t="shared" si="137"/>
        <v>0010</v>
      </c>
      <c r="G1268" s="1" t="str">
        <f>""</f>
        <v/>
      </c>
      <c r="H1268" s="1" t="str">
        <f>"0012"</f>
        <v>0012</v>
      </c>
      <c r="I1268" s="1" t="s">
        <v>612</v>
      </c>
      <c r="J1268" s="1" t="str">
        <f>"01043989720"</f>
        <v>01043989720</v>
      </c>
      <c r="K1268" s="1" t="str">
        <f>"2017-04-02 16:04:56"</f>
        <v>2017-04-02 16:04:56</v>
      </c>
      <c r="L1268" s="1" t="str">
        <f t="shared" si="138"/>
        <v>-</v>
      </c>
      <c r="M1268" s="2">
        <v>0</v>
      </c>
      <c r="N1268" s="1" t="s">
        <v>33</v>
      </c>
      <c r="O1268" s="1" t="s">
        <v>34</v>
      </c>
      <c r="P1268" s="2">
        <v>2.3148148148148147E-5</v>
      </c>
      <c r="Q1268" s="1" t="str">
        <f>""</f>
        <v/>
      </c>
      <c r="R1268" s="1">
        <v>0</v>
      </c>
      <c r="S1268" s="1" t="str">
        <f>""</f>
        <v/>
      </c>
      <c r="T1268" s="1" t="s">
        <v>29</v>
      </c>
      <c r="U1268" s="1" t="s">
        <v>30</v>
      </c>
      <c r="V1268" s="1">
        <v>0</v>
      </c>
    </row>
    <row r="1269" spans="2:22" x14ac:dyDescent="0.15">
      <c r="B1269" s="1" t="str">
        <f>"183****2916"</f>
        <v>183****2916</v>
      </c>
      <c r="C1269" s="1" t="s">
        <v>35</v>
      </c>
      <c r="D1269" s="1" t="str">
        <f t="shared" si="136"/>
        <v>89177328</v>
      </c>
      <c r="E1269" s="1" t="s">
        <v>24</v>
      </c>
      <c r="F1269" s="1" t="str">
        <f t="shared" si="137"/>
        <v>0010</v>
      </c>
      <c r="G1269" s="1" t="str">
        <f>""</f>
        <v/>
      </c>
      <c r="H1269" s="1" t="str">
        <f>"0034"</f>
        <v>0034</v>
      </c>
      <c r="I1269" s="1" t="s">
        <v>31</v>
      </c>
      <c r="J1269" s="1" t="str">
        <f>"01043977568"</f>
        <v>01043977568</v>
      </c>
      <c r="K1269" s="1" t="str">
        <f>"2017-04-02 15:56:24"</f>
        <v>2017-04-02 15:56:24</v>
      </c>
      <c r="L1269" s="1" t="str">
        <f>"2017-04-02 15:56:59"</f>
        <v>2017-04-02 15:56:59</v>
      </c>
      <c r="M1269" s="2">
        <v>1.3101851851851852E-2</v>
      </c>
      <c r="N1269" s="1" t="s">
        <v>26</v>
      </c>
      <c r="O1269" s="1" t="s">
        <v>34</v>
      </c>
      <c r="P1269" s="2">
        <v>1.3506944444444445E-2</v>
      </c>
      <c r="Q1269" s="1" t="s">
        <v>992</v>
      </c>
      <c r="R1269" s="1">
        <v>0</v>
      </c>
      <c r="S1269" s="1" t="str">
        <f>""</f>
        <v/>
      </c>
      <c r="T1269" s="1" t="s">
        <v>29</v>
      </c>
      <c r="U1269" s="1" t="s">
        <v>30</v>
      </c>
      <c r="V1269" s="1">
        <v>0</v>
      </c>
    </row>
    <row r="1270" spans="2:22" x14ac:dyDescent="0.15">
      <c r="B1270" s="1" t="str">
        <f>"159****9956"</f>
        <v>159****9956</v>
      </c>
      <c r="C1270" s="1" t="s">
        <v>23</v>
      </c>
      <c r="D1270" s="1" t="str">
        <f t="shared" si="136"/>
        <v>89177328</v>
      </c>
      <c r="E1270" s="1" t="s">
        <v>24</v>
      </c>
      <c r="F1270" s="1" t="str">
        <f t="shared" si="137"/>
        <v>0010</v>
      </c>
      <c r="G1270" s="1" t="str">
        <f>""</f>
        <v/>
      </c>
      <c r="H1270" s="1" t="str">
        <f>"0012"</f>
        <v>0012</v>
      </c>
      <c r="I1270" s="1" t="s">
        <v>612</v>
      </c>
      <c r="J1270" s="1" t="str">
        <f>"01043989720"</f>
        <v>01043989720</v>
      </c>
      <c r="K1270" s="1" t="str">
        <f>"2017-04-02 15:55:35"</f>
        <v>2017-04-02 15:55:35</v>
      </c>
      <c r="L1270" s="1" t="str">
        <f>"2017-04-02 15:55:47"</f>
        <v>2017-04-02 15:55:47</v>
      </c>
      <c r="M1270" s="2">
        <v>1.1805555555555556E-3</v>
      </c>
      <c r="N1270" s="1" t="s">
        <v>26</v>
      </c>
      <c r="O1270" s="1" t="s">
        <v>27</v>
      </c>
      <c r="P1270" s="2">
        <v>1.3194444444444443E-3</v>
      </c>
      <c r="Q1270" s="1" t="s">
        <v>993</v>
      </c>
      <c r="R1270" s="1">
        <v>0</v>
      </c>
      <c r="S1270" s="1" t="str">
        <f>""</f>
        <v/>
      </c>
      <c r="T1270" s="1" t="s">
        <v>29</v>
      </c>
      <c r="U1270" s="1" t="s">
        <v>30</v>
      </c>
      <c r="V1270" s="1">
        <v>0</v>
      </c>
    </row>
    <row r="1271" spans="2:22" x14ac:dyDescent="0.15">
      <c r="B1271" s="1" t="str">
        <f>"151****7138"</f>
        <v>151****7138</v>
      </c>
      <c r="C1271" s="1" t="s">
        <v>81</v>
      </c>
      <c r="D1271" s="1" t="str">
        <f t="shared" si="136"/>
        <v>89177328</v>
      </c>
      <c r="E1271" s="1" t="s">
        <v>24</v>
      </c>
      <c r="F1271" s="1" t="str">
        <f t="shared" si="137"/>
        <v>0010</v>
      </c>
      <c r="G1271" s="1" t="str">
        <f>""</f>
        <v/>
      </c>
      <c r="H1271" s="1" t="str">
        <f>"0034"</f>
        <v>0034</v>
      </c>
      <c r="I1271" s="1" t="s">
        <v>31</v>
      </c>
      <c r="J1271" s="1" t="str">
        <f>"01043977568"</f>
        <v>01043977568</v>
      </c>
      <c r="K1271" s="1" t="str">
        <f>"2017-04-02 14:51:21"</f>
        <v>2017-04-02 14:51:21</v>
      </c>
      <c r="L1271" s="1" t="str">
        <f>"2017-04-02 14:51:34"</f>
        <v>2017-04-02 14:51:34</v>
      </c>
      <c r="M1271" s="2">
        <v>6.2499999999999995E-3</v>
      </c>
      <c r="N1271" s="1" t="s">
        <v>26</v>
      </c>
      <c r="O1271" s="1" t="s">
        <v>27</v>
      </c>
      <c r="P1271" s="2">
        <v>6.4004629629629628E-3</v>
      </c>
      <c r="Q1271" s="1" t="s">
        <v>994</v>
      </c>
      <c r="R1271" s="1">
        <v>0</v>
      </c>
      <c r="S1271" s="1" t="str">
        <f>""</f>
        <v/>
      </c>
      <c r="T1271" s="1" t="s">
        <v>29</v>
      </c>
      <c r="U1271" s="1" t="s">
        <v>30</v>
      </c>
      <c r="V1271" s="1">
        <v>0</v>
      </c>
    </row>
    <row r="1272" spans="2:22" x14ac:dyDescent="0.15">
      <c r="B1272" s="1" t="str">
        <f>"185****6060"</f>
        <v>185****6060</v>
      </c>
      <c r="C1272" s="1" t="s">
        <v>87</v>
      </c>
      <c r="D1272" s="1" t="str">
        <f t="shared" si="136"/>
        <v>89177328</v>
      </c>
      <c r="E1272" s="1" t="s">
        <v>24</v>
      </c>
      <c r="F1272" s="1" t="str">
        <f t="shared" si="137"/>
        <v>0010</v>
      </c>
      <c r="G1272" s="1" t="str">
        <f>""</f>
        <v/>
      </c>
      <c r="H1272" s="1" t="str">
        <f>"0034"</f>
        <v>0034</v>
      </c>
      <c r="I1272" s="1" t="s">
        <v>31</v>
      </c>
      <c r="J1272" s="1" t="str">
        <f>"01043977568"</f>
        <v>01043977568</v>
      </c>
      <c r="K1272" s="1" t="str">
        <f>"2017-04-02 14:20:04"</f>
        <v>2017-04-02 14:20:04</v>
      </c>
      <c r="L1272" s="1" t="str">
        <f>"2017-04-02 14:20:15"</f>
        <v>2017-04-02 14:20:15</v>
      </c>
      <c r="M1272" s="2">
        <v>9.525462962962963E-3</v>
      </c>
      <c r="N1272" s="1" t="s">
        <v>26</v>
      </c>
      <c r="O1272" s="1" t="s">
        <v>27</v>
      </c>
      <c r="P1272" s="2">
        <v>9.6527777777777775E-3</v>
      </c>
      <c r="Q1272" s="1" t="s">
        <v>995</v>
      </c>
      <c r="R1272" s="1">
        <v>0</v>
      </c>
      <c r="S1272" s="1" t="str">
        <f>""</f>
        <v/>
      </c>
      <c r="T1272" s="1" t="s">
        <v>29</v>
      </c>
      <c r="U1272" s="1" t="s">
        <v>30</v>
      </c>
      <c r="V1272" s="1">
        <v>0</v>
      </c>
    </row>
    <row r="1273" spans="2:22" x14ac:dyDescent="0.15">
      <c r="B1273" s="1" t="str">
        <f>"139****0425"</f>
        <v>139****0425</v>
      </c>
      <c r="C1273" s="1" t="s">
        <v>23</v>
      </c>
      <c r="D1273" s="1" t="str">
        <f t="shared" si="136"/>
        <v>89177328</v>
      </c>
      <c r="E1273" s="1" t="s">
        <v>24</v>
      </c>
      <c r="F1273" s="1" t="str">
        <f t="shared" si="137"/>
        <v>0010</v>
      </c>
      <c r="G1273" s="1" t="str">
        <f>""</f>
        <v/>
      </c>
      <c r="H1273" s="1" t="str">
        <f>"0034"</f>
        <v>0034</v>
      </c>
      <c r="I1273" s="1" t="s">
        <v>31</v>
      </c>
      <c r="J1273" s="1" t="str">
        <f>"01043977568"</f>
        <v>01043977568</v>
      </c>
      <c r="K1273" s="1" t="str">
        <f>"2017-04-02 14:04:31"</f>
        <v>2017-04-02 14:04:31</v>
      </c>
      <c r="L1273" s="1" t="str">
        <f>"2017-04-02 14:04:44"</f>
        <v>2017-04-02 14:04:44</v>
      </c>
      <c r="M1273" s="2">
        <v>4.5254629629629629E-3</v>
      </c>
      <c r="N1273" s="1" t="s">
        <v>26</v>
      </c>
      <c r="O1273" s="1" t="s">
        <v>27</v>
      </c>
      <c r="P1273" s="2">
        <v>4.6759259259259263E-3</v>
      </c>
      <c r="Q1273" s="1" t="s">
        <v>996</v>
      </c>
      <c r="R1273" s="1">
        <v>0</v>
      </c>
      <c r="S1273" s="1" t="str">
        <f>""</f>
        <v/>
      </c>
      <c r="T1273" s="1" t="s">
        <v>29</v>
      </c>
      <c r="U1273" s="1" t="s">
        <v>30</v>
      </c>
      <c r="V1273" s="1">
        <v>0</v>
      </c>
    </row>
    <row r="1274" spans="2:22" x14ac:dyDescent="0.15">
      <c r="B1274" s="1" t="str">
        <f>"010****3022"</f>
        <v>010****3022</v>
      </c>
      <c r="C1274" s="1" t="s">
        <v>23</v>
      </c>
      <c r="D1274" s="1" t="str">
        <f t="shared" si="136"/>
        <v>89177328</v>
      </c>
      <c r="E1274" s="1" t="s">
        <v>24</v>
      </c>
      <c r="F1274" s="1" t="str">
        <f t="shared" si="137"/>
        <v>0010</v>
      </c>
      <c r="G1274" s="1" t="str">
        <f>""</f>
        <v/>
      </c>
      <c r="H1274" s="1" t="str">
        <f>"0031"</f>
        <v>0031</v>
      </c>
      <c r="I1274" s="1" t="s">
        <v>95</v>
      </c>
      <c r="J1274" s="1" t="str">
        <f>"01043977565"</f>
        <v>01043977565</v>
      </c>
      <c r="K1274" s="1" t="str">
        <f>"2017-04-02 13:49:15"</f>
        <v>2017-04-02 13:49:15</v>
      </c>
      <c r="L1274" s="1" t="str">
        <f>"2017-04-02 13:49:27"</f>
        <v>2017-04-02 13:49:27</v>
      </c>
      <c r="M1274" s="2">
        <v>3.1944444444444442E-3</v>
      </c>
      <c r="N1274" s="1" t="s">
        <v>26</v>
      </c>
      <c r="O1274" s="1" t="s">
        <v>27</v>
      </c>
      <c r="P1274" s="2">
        <v>3.3333333333333335E-3</v>
      </c>
      <c r="Q1274" s="1" t="s">
        <v>997</v>
      </c>
      <c r="R1274" s="1">
        <v>0</v>
      </c>
      <c r="S1274" s="1" t="str">
        <f>""</f>
        <v/>
      </c>
      <c r="T1274" s="1" t="s">
        <v>29</v>
      </c>
      <c r="U1274" s="1" t="s">
        <v>30</v>
      </c>
      <c r="V1274" s="1">
        <v>0</v>
      </c>
    </row>
    <row r="1275" spans="2:22" x14ac:dyDescent="0.15">
      <c r="B1275" s="1" t="str">
        <f>"150****3257"</f>
        <v>150****3257</v>
      </c>
      <c r="C1275" s="1" t="s">
        <v>23</v>
      </c>
      <c r="D1275" s="1" t="str">
        <f t="shared" si="136"/>
        <v>89177328</v>
      </c>
      <c r="E1275" s="1" t="s">
        <v>24</v>
      </c>
      <c r="F1275" s="1" t="str">
        <f t="shared" si="137"/>
        <v>0010</v>
      </c>
      <c r="G1275" s="1" t="str">
        <f>""</f>
        <v/>
      </c>
      <c r="H1275" s="1" t="str">
        <f>"0031"</f>
        <v>0031</v>
      </c>
      <c r="I1275" s="1" t="s">
        <v>95</v>
      </c>
      <c r="J1275" s="1" t="str">
        <f>"01043977565"</f>
        <v>01043977565</v>
      </c>
      <c r="K1275" s="1" t="str">
        <f>"2017-04-02 13:24:32"</f>
        <v>2017-04-02 13:24:32</v>
      </c>
      <c r="L1275" s="1" t="str">
        <f>"2017-04-02 13:24:40"</f>
        <v>2017-04-02 13:24:40</v>
      </c>
      <c r="M1275" s="2">
        <v>3.37962962962963E-3</v>
      </c>
      <c r="N1275" s="1" t="s">
        <v>26</v>
      </c>
      <c r="O1275" s="1" t="s">
        <v>34</v>
      </c>
      <c r="P1275" s="2">
        <v>3.472222222222222E-3</v>
      </c>
      <c r="Q1275" s="1" t="s">
        <v>998</v>
      </c>
      <c r="R1275" s="1">
        <v>0</v>
      </c>
      <c r="S1275" s="1" t="str">
        <f>""</f>
        <v/>
      </c>
      <c r="T1275" s="1" t="s">
        <v>29</v>
      </c>
      <c r="U1275" s="1" t="s">
        <v>30</v>
      </c>
      <c r="V1275" s="1">
        <v>0</v>
      </c>
    </row>
    <row r="1276" spans="2:22" x14ac:dyDescent="0.15">
      <c r="B1276" s="1" t="str">
        <f>"131****3599"</f>
        <v>131****3599</v>
      </c>
      <c r="C1276" s="1" t="s">
        <v>23</v>
      </c>
      <c r="D1276" s="1" t="str">
        <f t="shared" si="136"/>
        <v>89177328</v>
      </c>
      <c r="E1276" s="1" t="s">
        <v>24</v>
      </c>
      <c r="F1276" s="1" t="str">
        <f t="shared" si="137"/>
        <v>0010</v>
      </c>
      <c r="G1276" s="1" t="str">
        <f>""</f>
        <v/>
      </c>
      <c r="H1276" s="1" t="str">
        <f>"0012"</f>
        <v>0012</v>
      </c>
      <c r="I1276" s="1" t="s">
        <v>612</v>
      </c>
      <c r="J1276" s="1" t="str">
        <f>"01043989720"</f>
        <v>01043989720</v>
      </c>
      <c r="K1276" s="1" t="str">
        <f>"2017-04-02 13:20:45"</f>
        <v>2017-04-02 13:20:45</v>
      </c>
      <c r="L1276" s="1" t="str">
        <f>"-"</f>
        <v>-</v>
      </c>
      <c r="M1276" s="2">
        <v>0</v>
      </c>
      <c r="N1276" s="1" t="s">
        <v>33</v>
      </c>
      <c r="O1276" s="1" t="s">
        <v>34</v>
      </c>
      <c r="P1276" s="2">
        <v>1.1574074074074073E-5</v>
      </c>
      <c r="Q1276" s="1" t="str">
        <f>""</f>
        <v/>
      </c>
      <c r="R1276" s="1">
        <v>0</v>
      </c>
      <c r="S1276" s="1" t="str">
        <f>""</f>
        <v/>
      </c>
      <c r="T1276" s="1" t="s">
        <v>29</v>
      </c>
      <c r="U1276" s="1" t="s">
        <v>30</v>
      </c>
      <c r="V1276" s="1">
        <v>0</v>
      </c>
    </row>
    <row r="1277" spans="2:22" x14ac:dyDescent="0.15">
      <c r="B1277" s="1" t="str">
        <f>"186****6217"</f>
        <v>186****6217</v>
      </c>
      <c r="C1277" s="1" t="s">
        <v>132</v>
      </c>
      <c r="D1277" s="1" t="str">
        <f t="shared" si="136"/>
        <v>89177328</v>
      </c>
      <c r="E1277" s="1" t="s">
        <v>24</v>
      </c>
      <c r="F1277" s="1" t="str">
        <f t="shared" si="137"/>
        <v>0010</v>
      </c>
      <c r="G1277" s="1" t="str">
        <f>""</f>
        <v/>
      </c>
      <c r="H1277" s="1" t="str">
        <f>"0012"</f>
        <v>0012</v>
      </c>
      <c r="I1277" s="1" t="s">
        <v>612</v>
      </c>
      <c r="J1277" s="1" t="str">
        <f>"01043989720"</f>
        <v>01043989720</v>
      </c>
      <c r="K1277" s="1" t="str">
        <f>"2017-04-02 13:04:58"</f>
        <v>2017-04-02 13:04:58</v>
      </c>
      <c r="L1277" s="1" t="str">
        <f>"2017-04-02 13:05:10"</f>
        <v>2017-04-02 13:05:10</v>
      </c>
      <c r="M1277" s="2">
        <v>5.0810185185185186E-3</v>
      </c>
      <c r="N1277" s="1" t="s">
        <v>26</v>
      </c>
      <c r="O1277" s="1" t="s">
        <v>34</v>
      </c>
      <c r="P1277" s="2">
        <v>5.2199074074074066E-3</v>
      </c>
      <c r="Q1277" s="1" t="s">
        <v>999</v>
      </c>
      <c r="R1277" s="1">
        <v>0</v>
      </c>
      <c r="S1277" s="1" t="str">
        <f>""</f>
        <v/>
      </c>
      <c r="T1277" s="1" t="s">
        <v>29</v>
      </c>
      <c r="U1277" s="1" t="s">
        <v>30</v>
      </c>
      <c r="V1277" s="1">
        <v>0</v>
      </c>
    </row>
    <row r="1278" spans="2:22" x14ac:dyDescent="0.15">
      <c r="B1278" s="1" t="str">
        <f>"137****6258"</f>
        <v>137****6258</v>
      </c>
      <c r="C1278" s="1" t="s">
        <v>23</v>
      </c>
      <c r="D1278" s="1" t="str">
        <f t="shared" si="136"/>
        <v>89177328</v>
      </c>
      <c r="E1278" s="1" t="s">
        <v>24</v>
      </c>
      <c r="F1278" s="1" t="str">
        <f t="shared" si="137"/>
        <v>0010</v>
      </c>
      <c r="G1278" s="1" t="str">
        <f>""</f>
        <v/>
      </c>
      <c r="H1278" s="1" t="str">
        <f>"0031"</f>
        <v>0031</v>
      </c>
      <c r="I1278" s="1" t="s">
        <v>95</v>
      </c>
      <c r="J1278" s="1" t="str">
        <f>"01043977565"</f>
        <v>01043977565</v>
      </c>
      <c r="K1278" s="1" t="str">
        <f>"2017-04-02 12:30:36"</f>
        <v>2017-04-02 12:30:36</v>
      </c>
      <c r="L1278" s="1" t="str">
        <f>"2017-04-02 12:30:45"</f>
        <v>2017-04-02 12:30:45</v>
      </c>
      <c r="M1278" s="2">
        <v>9.432870370370371E-3</v>
      </c>
      <c r="N1278" s="1" t="s">
        <v>26</v>
      </c>
      <c r="O1278" s="1" t="s">
        <v>27</v>
      </c>
      <c r="P1278" s="2">
        <v>9.5370370370370366E-3</v>
      </c>
      <c r="Q1278" s="1" t="s">
        <v>1000</v>
      </c>
      <c r="R1278" s="1">
        <v>0</v>
      </c>
      <c r="S1278" s="1" t="str">
        <f>""</f>
        <v/>
      </c>
      <c r="T1278" s="1" t="s">
        <v>29</v>
      </c>
      <c r="U1278" s="1" t="s">
        <v>30</v>
      </c>
      <c r="V1278" s="1">
        <v>0</v>
      </c>
    </row>
    <row r="1279" spans="2:22" x14ac:dyDescent="0.15">
      <c r="B1279" s="1" t="str">
        <f>"137****7982"</f>
        <v>137****7982</v>
      </c>
      <c r="C1279" s="1" t="s">
        <v>23</v>
      </c>
      <c r="D1279" s="1" t="str">
        <f t="shared" si="136"/>
        <v>89177328</v>
      </c>
      <c r="E1279" s="1" t="s">
        <v>24</v>
      </c>
      <c r="F1279" s="1" t="str">
        <f t="shared" si="137"/>
        <v>0010</v>
      </c>
      <c r="G1279" s="1" t="str">
        <f>""</f>
        <v/>
      </c>
      <c r="H1279" s="1" t="str">
        <f>"0034"</f>
        <v>0034</v>
      </c>
      <c r="I1279" s="1" t="s">
        <v>31</v>
      </c>
      <c r="J1279" s="1" t="str">
        <f>"01043977568"</f>
        <v>01043977568</v>
      </c>
      <c r="K1279" s="1" t="str">
        <f>"2017-04-02 12:26:30"</f>
        <v>2017-04-02 12:26:30</v>
      </c>
      <c r="L1279" s="1" t="str">
        <f>"2017-04-02 12:26:40"</f>
        <v>2017-04-02 12:26:40</v>
      </c>
      <c r="M1279" s="2">
        <v>9.6527777777777775E-3</v>
      </c>
      <c r="N1279" s="1" t="s">
        <v>26</v>
      </c>
      <c r="O1279" s="1" t="s">
        <v>27</v>
      </c>
      <c r="P1279" s="2">
        <v>9.7685185185185184E-3</v>
      </c>
      <c r="Q1279" s="1" t="s">
        <v>1001</v>
      </c>
      <c r="R1279" s="1">
        <v>0</v>
      </c>
      <c r="S1279" s="1" t="str">
        <f>""</f>
        <v/>
      </c>
      <c r="T1279" s="1" t="s">
        <v>29</v>
      </c>
      <c r="U1279" s="1" t="s">
        <v>30</v>
      </c>
      <c r="V1279" s="1">
        <v>0</v>
      </c>
    </row>
    <row r="1280" spans="2:22" x14ac:dyDescent="0.15">
      <c r="B1280" s="1" t="str">
        <f>"134****2135"</f>
        <v>134****2135</v>
      </c>
      <c r="C1280" s="1" t="s">
        <v>23</v>
      </c>
      <c r="D1280" s="1" t="str">
        <f t="shared" si="136"/>
        <v>89177328</v>
      </c>
      <c r="E1280" s="1" t="s">
        <v>24</v>
      </c>
      <c r="F1280" s="1" t="str">
        <f t="shared" si="137"/>
        <v>0010</v>
      </c>
      <c r="G1280" s="1" t="str">
        <f>""</f>
        <v/>
      </c>
      <c r="H1280" s="1" t="str">
        <f>"0032"</f>
        <v>0032</v>
      </c>
      <c r="I1280" s="1" t="s">
        <v>119</v>
      </c>
      <c r="J1280" s="1" t="str">
        <f>"01043977566"</f>
        <v>01043977566</v>
      </c>
      <c r="K1280" s="1" t="str">
        <f>"2017-04-02 12:05:10"</f>
        <v>2017-04-02 12:05:10</v>
      </c>
      <c r="L1280" s="1" t="str">
        <f>"2017-04-02 12:05:23"</f>
        <v>2017-04-02 12:05:23</v>
      </c>
      <c r="M1280" s="2">
        <v>9.4675925925925917E-3</v>
      </c>
      <c r="N1280" s="1" t="s">
        <v>26</v>
      </c>
      <c r="O1280" s="1" t="s">
        <v>34</v>
      </c>
      <c r="P1280" s="2">
        <v>9.618055555555555E-3</v>
      </c>
      <c r="Q1280" s="1" t="s">
        <v>1002</v>
      </c>
      <c r="R1280" s="1">
        <v>0</v>
      </c>
      <c r="S1280" s="1" t="str">
        <f>""</f>
        <v/>
      </c>
      <c r="T1280" s="1" t="s">
        <v>29</v>
      </c>
      <c r="U1280" s="1" t="s">
        <v>30</v>
      </c>
      <c r="V1280" s="1">
        <v>0</v>
      </c>
    </row>
    <row r="1281" spans="2:22" x14ac:dyDescent="0.15">
      <c r="B1281" s="1" t="str">
        <f>"187****0603"</f>
        <v>187****0603</v>
      </c>
      <c r="C1281" s="1" t="s">
        <v>23</v>
      </c>
      <c r="D1281" s="1" t="str">
        <f t="shared" si="136"/>
        <v>89177328</v>
      </c>
      <c r="E1281" s="1" t="s">
        <v>24</v>
      </c>
      <c r="F1281" s="1" t="str">
        <f t="shared" si="137"/>
        <v>0010</v>
      </c>
      <c r="G1281" s="1" t="str">
        <f>""</f>
        <v/>
      </c>
      <c r="H1281" s="1" t="str">
        <f>"0031"</f>
        <v>0031</v>
      </c>
      <c r="I1281" s="1" t="s">
        <v>95</v>
      </c>
      <c r="J1281" s="1" t="str">
        <f>"01043977565"</f>
        <v>01043977565</v>
      </c>
      <c r="K1281" s="1" t="str">
        <f>"2017-04-02 12:03:36"</f>
        <v>2017-04-02 12:03:36</v>
      </c>
      <c r="L1281" s="1" t="str">
        <f>"2017-04-02 12:03:46"</f>
        <v>2017-04-02 12:03:46</v>
      </c>
      <c r="M1281" s="2">
        <v>6.8171296296296287E-3</v>
      </c>
      <c r="N1281" s="1" t="s">
        <v>26</v>
      </c>
      <c r="O1281" s="1" t="s">
        <v>34</v>
      </c>
      <c r="P1281" s="2">
        <v>6.9328703703703696E-3</v>
      </c>
      <c r="Q1281" s="1" t="s">
        <v>1003</v>
      </c>
      <c r="R1281" s="1">
        <v>0</v>
      </c>
      <c r="S1281" s="1" t="str">
        <f>""</f>
        <v/>
      </c>
      <c r="T1281" s="1" t="s">
        <v>29</v>
      </c>
      <c r="U1281" s="1" t="s">
        <v>30</v>
      </c>
      <c r="V1281" s="1">
        <v>0</v>
      </c>
    </row>
    <row r="1282" spans="2:22" x14ac:dyDescent="0.15">
      <c r="B1282" s="1" t="str">
        <f>"133****9597"</f>
        <v>133****9597</v>
      </c>
      <c r="C1282" s="1" t="s">
        <v>23</v>
      </c>
      <c r="D1282" s="1" t="str">
        <f t="shared" si="136"/>
        <v>89177328</v>
      </c>
      <c r="E1282" s="1" t="s">
        <v>24</v>
      </c>
      <c r="F1282" s="1" t="str">
        <f t="shared" si="137"/>
        <v>0010</v>
      </c>
      <c r="G1282" s="1" t="str">
        <f>""</f>
        <v/>
      </c>
      <c r="H1282" s="1" t="str">
        <f>"0031"</f>
        <v>0031</v>
      </c>
      <c r="I1282" s="1" t="s">
        <v>95</v>
      </c>
      <c r="J1282" s="1" t="str">
        <f>"01043977565"</f>
        <v>01043977565</v>
      </c>
      <c r="K1282" s="1" t="str">
        <f>"2017-04-02 11:54:37"</f>
        <v>2017-04-02 11:54:37</v>
      </c>
      <c r="L1282" s="1" t="str">
        <f>"-"</f>
        <v>-</v>
      </c>
      <c r="M1282" s="2">
        <v>0</v>
      </c>
      <c r="N1282" s="1" t="s">
        <v>33</v>
      </c>
      <c r="O1282" s="1" t="s">
        <v>34</v>
      </c>
      <c r="P1282" s="2">
        <v>6.9444444444444444E-5</v>
      </c>
      <c r="Q1282" s="1" t="str">
        <f>""</f>
        <v/>
      </c>
      <c r="R1282" s="1">
        <v>0</v>
      </c>
      <c r="S1282" s="1" t="str">
        <f>""</f>
        <v/>
      </c>
      <c r="T1282" s="1" t="s">
        <v>29</v>
      </c>
      <c r="U1282" s="1" t="s">
        <v>30</v>
      </c>
      <c r="V1282" s="1">
        <v>0</v>
      </c>
    </row>
    <row r="1283" spans="2:22" x14ac:dyDescent="0.15">
      <c r="B1283" s="1" t="str">
        <f>"150****5318"</f>
        <v>150****5318</v>
      </c>
      <c r="C1283" s="1" t="s">
        <v>51</v>
      </c>
      <c r="D1283" s="1" t="str">
        <f t="shared" si="136"/>
        <v>89177328</v>
      </c>
      <c r="E1283" s="1" t="s">
        <v>24</v>
      </c>
      <c r="F1283" s="1" t="str">
        <f t="shared" si="137"/>
        <v>0010</v>
      </c>
      <c r="G1283" s="1" t="str">
        <f>""</f>
        <v/>
      </c>
      <c r="H1283" s="1" t="str">
        <f>"0012"</f>
        <v>0012</v>
      </c>
      <c r="I1283" s="1" t="s">
        <v>612</v>
      </c>
      <c r="J1283" s="1" t="str">
        <f>"01043989720"</f>
        <v>01043989720</v>
      </c>
      <c r="K1283" s="1" t="str">
        <f>"2017-04-02 11:53:46"</f>
        <v>2017-04-02 11:53:46</v>
      </c>
      <c r="L1283" s="1" t="str">
        <f>"2017-04-02 11:53:57"</f>
        <v>2017-04-02 11:53:57</v>
      </c>
      <c r="M1283" s="2">
        <v>1.3321759259259261E-2</v>
      </c>
      <c r="N1283" s="1" t="s">
        <v>26</v>
      </c>
      <c r="O1283" s="1" t="s">
        <v>34</v>
      </c>
      <c r="P1283" s="2">
        <v>1.3449074074074073E-2</v>
      </c>
      <c r="Q1283" s="1" t="s">
        <v>1004</v>
      </c>
      <c r="R1283" s="1">
        <v>0</v>
      </c>
      <c r="S1283" s="1" t="str">
        <f>""</f>
        <v/>
      </c>
      <c r="T1283" s="1" t="s">
        <v>29</v>
      </c>
      <c r="U1283" s="1" t="s">
        <v>30</v>
      </c>
      <c r="V1283" s="1">
        <v>0</v>
      </c>
    </row>
    <row r="1284" spans="2:22" x14ac:dyDescent="0.15">
      <c r="B1284" s="1" t="str">
        <f>"157****4678"</f>
        <v>157****4678</v>
      </c>
      <c r="C1284" s="1" t="s">
        <v>23</v>
      </c>
      <c r="D1284" s="1" t="str">
        <f t="shared" si="136"/>
        <v>89177328</v>
      </c>
      <c r="E1284" s="1" t="s">
        <v>24</v>
      </c>
      <c r="F1284" s="1" t="str">
        <f t="shared" si="137"/>
        <v>0010</v>
      </c>
      <c r="G1284" s="1" t="str">
        <f>""</f>
        <v/>
      </c>
      <c r="H1284" s="1" t="str">
        <f>"0034"</f>
        <v>0034</v>
      </c>
      <c r="I1284" s="1" t="s">
        <v>31</v>
      </c>
      <c r="J1284" s="1" t="str">
        <f>"01043977568"</f>
        <v>01043977568</v>
      </c>
      <c r="K1284" s="1" t="str">
        <f>"2017-04-02 11:50:58"</f>
        <v>2017-04-02 11:50:58</v>
      </c>
      <c r="L1284" s="1" t="str">
        <f t="shared" ref="L1284:L1291" si="139">"-"</f>
        <v>-</v>
      </c>
      <c r="M1284" s="2">
        <v>0</v>
      </c>
      <c r="N1284" s="1" t="s">
        <v>33</v>
      </c>
      <c r="O1284" s="1" t="s">
        <v>34</v>
      </c>
      <c r="P1284" s="2">
        <v>1.1574074074074073E-5</v>
      </c>
      <c r="Q1284" s="1" t="str">
        <f>""</f>
        <v/>
      </c>
      <c r="R1284" s="1">
        <v>0</v>
      </c>
      <c r="S1284" s="1" t="str">
        <f>""</f>
        <v/>
      </c>
      <c r="T1284" s="1" t="s">
        <v>29</v>
      </c>
      <c r="U1284" s="1" t="s">
        <v>30</v>
      </c>
      <c r="V1284" s="1">
        <v>0</v>
      </c>
    </row>
    <row r="1285" spans="2:22" x14ac:dyDescent="0.15">
      <c r="B1285" s="1" t="str">
        <f>"133****9597"</f>
        <v>133****9597</v>
      </c>
      <c r="C1285" s="1" t="s">
        <v>23</v>
      </c>
      <c r="D1285" s="1" t="str">
        <f t="shared" si="136"/>
        <v>89177328</v>
      </c>
      <c r="E1285" s="1" t="s">
        <v>24</v>
      </c>
      <c r="F1285" s="1" t="str">
        <f t="shared" si="137"/>
        <v>0010</v>
      </c>
      <c r="G1285" s="1" t="str">
        <f>""</f>
        <v/>
      </c>
      <c r="H1285" s="1" t="str">
        <f>"0012"</f>
        <v>0012</v>
      </c>
      <c r="I1285" s="1" t="s">
        <v>612</v>
      </c>
      <c r="J1285" s="1" t="str">
        <f>"01043989720"</f>
        <v>01043989720</v>
      </c>
      <c r="K1285" s="1" t="str">
        <f>"2017-04-02 11:50:56"</f>
        <v>2017-04-02 11:50:56</v>
      </c>
      <c r="L1285" s="1" t="str">
        <f t="shared" si="139"/>
        <v>-</v>
      </c>
      <c r="M1285" s="2">
        <v>0</v>
      </c>
      <c r="N1285" s="1" t="s">
        <v>33</v>
      </c>
      <c r="O1285" s="1" t="s">
        <v>34</v>
      </c>
      <c r="P1285" s="2">
        <v>5.7870370370370366E-5</v>
      </c>
      <c r="Q1285" s="1" t="str">
        <f>""</f>
        <v/>
      </c>
      <c r="R1285" s="1">
        <v>0</v>
      </c>
      <c r="S1285" s="1" t="str">
        <f>""</f>
        <v/>
      </c>
      <c r="T1285" s="1" t="s">
        <v>29</v>
      </c>
      <c r="U1285" s="1" t="s">
        <v>30</v>
      </c>
      <c r="V1285" s="1">
        <v>0</v>
      </c>
    </row>
    <row r="1286" spans="2:22" x14ac:dyDescent="0.15">
      <c r="B1286" s="1" t="str">
        <f>"177****0206"</f>
        <v>177****0206</v>
      </c>
      <c r="C1286" s="1" t="s">
        <v>23</v>
      </c>
      <c r="D1286" s="1" t="str">
        <f t="shared" si="136"/>
        <v>89177328</v>
      </c>
      <c r="E1286" s="1" t="s">
        <v>24</v>
      </c>
      <c r="F1286" s="1" t="str">
        <f t="shared" si="137"/>
        <v>0010</v>
      </c>
      <c r="G1286" s="1" t="str">
        <f>""</f>
        <v/>
      </c>
      <c r="H1286" s="1" t="str">
        <f>"0034"</f>
        <v>0034</v>
      </c>
      <c r="I1286" s="1" t="s">
        <v>31</v>
      </c>
      <c r="J1286" s="1" t="str">
        <f>"01043977568"</f>
        <v>01043977568</v>
      </c>
      <c r="K1286" s="1" t="str">
        <f>"2017-04-02 11:50:22"</f>
        <v>2017-04-02 11:50:22</v>
      </c>
      <c r="L1286" s="1" t="str">
        <f t="shared" si="139"/>
        <v>-</v>
      </c>
      <c r="M1286" s="2">
        <v>0</v>
      </c>
      <c r="N1286" s="1" t="s">
        <v>33</v>
      </c>
      <c r="O1286" s="1" t="s">
        <v>34</v>
      </c>
      <c r="P1286" s="2">
        <v>2.3148148148148147E-5</v>
      </c>
      <c r="Q1286" s="1" t="str">
        <f>""</f>
        <v/>
      </c>
      <c r="R1286" s="1">
        <v>0</v>
      </c>
      <c r="S1286" s="1" t="str">
        <f>""</f>
        <v/>
      </c>
      <c r="T1286" s="1" t="s">
        <v>29</v>
      </c>
      <c r="U1286" s="1" t="s">
        <v>30</v>
      </c>
      <c r="V1286" s="1">
        <v>0</v>
      </c>
    </row>
    <row r="1287" spans="2:22" x14ac:dyDescent="0.15">
      <c r="B1287" s="1" t="str">
        <f>"157****4678"</f>
        <v>157****4678</v>
      </c>
      <c r="C1287" s="1" t="s">
        <v>23</v>
      </c>
      <c r="D1287" s="1" t="str">
        <f t="shared" si="136"/>
        <v>89177328</v>
      </c>
      <c r="E1287" s="1" t="s">
        <v>24</v>
      </c>
      <c r="F1287" s="1" t="str">
        <f t="shared" si="137"/>
        <v>0010</v>
      </c>
      <c r="G1287" s="1" t="str">
        <f>""</f>
        <v/>
      </c>
      <c r="H1287" s="1" t="str">
        <f>"0012"</f>
        <v>0012</v>
      </c>
      <c r="I1287" s="1" t="s">
        <v>612</v>
      </c>
      <c r="J1287" s="1" t="str">
        <f>"01043989720"</f>
        <v>01043989720</v>
      </c>
      <c r="K1287" s="1" t="str">
        <f>"2017-04-02 11:48:41"</f>
        <v>2017-04-02 11:48:41</v>
      </c>
      <c r="L1287" s="1" t="str">
        <f t="shared" si="139"/>
        <v>-</v>
      </c>
      <c r="M1287" s="2">
        <v>0</v>
      </c>
      <c r="N1287" s="1" t="s">
        <v>33</v>
      </c>
      <c r="O1287" s="1" t="s">
        <v>34</v>
      </c>
      <c r="P1287" s="2">
        <v>1.1574074074074073E-4</v>
      </c>
      <c r="Q1287" s="1" t="str">
        <f>""</f>
        <v/>
      </c>
      <c r="R1287" s="1">
        <v>0</v>
      </c>
      <c r="S1287" s="1" t="str">
        <f>""</f>
        <v/>
      </c>
      <c r="T1287" s="1" t="s">
        <v>29</v>
      </c>
      <c r="U1287" s="1" t="s">
        <v>30</v>
      </c>
      <c r="V1287" s="1">
        <v>0</v>
      </c>
    </row>
    <row r="1288" spans="2:22" x14ac:dyDescent="0.15">
      <c r="B1288" s="1" t="str">
        <f>"177****0206"</f>
        <v>177****0206</v>
      </c>
      <c r="C1288" s="1" t="s">
        <v>23</v>
      </c>
      <c r="D1288" s="1" t="str">
        <f t="shared" si="136"/>
        <v>89177328</v>
      </c>
      <c r="E1288" s="1" t="s">
        <v>24</v>
      </c>
      <c r="F1288" s="1" t="str">
        <f t="shared" si="137"/>
        <v>0010</v>
      </c>
      <c r="G1288" s="1" t="str">
        <f>""</f>
        <v/>
      </c>
      <c r="H1288" s="1" t="str">
        <f>"0012"</f>
        <v>0012</v>
      </c>
      <c r="I1288" s="1" t="s">
        <v>612</v>
      </c>
      <c r="J1288" s="1" t="str">
        <f>"01043989720"</f>
        <v>01043989720</v>
      </c>
      <c r="K1288" s="1" t="str">
        <f>"2017-04-02 11:47:40"</f>
        <v>2017-04-02 11:47:40</v>
      </c>
      <c r="L1288" s="1" t="str">
        <f t="shared" si="139"/>
        <v>-</v>
      </c>
      <c r="M1288" s="2">
        <v>0</v>
      </c>
      <c r="N1288" s="1" t="s">
        <v>33</v>
      </c>
      <c r="O1288" s="1" t="s">
        <v>34</v>
      </c>
      <c r="P1288" s="2">
        <v>8.1018518518518516E-5</v>
      </c>
      <c r="Q1288" s="1" t="str">
        <f>""</f>
        <v/>
      </c>
      <c r="R1288" s="1">
        <v>0</v>
      </c>
      <c r="S1288" s="1" t="str">
        <f>""</f>
        <v/>
      </c>
      <c r="T1288" s="1" t="s">
        <v>29</v>
      </c>
      <c r="U1288" s="1" t="s">
        <v>30</v>
      </c>
      <c r="V1288" s="1">
        <v>0</v>
      </c>
    </row>
    <row r="1289" spans="2:22" x14ac:dyDescent="0.15">
      <c r="B1289" s="1" t="str">
        <f>"133****9597"</f>
        <v>133****9597</v>
      </c>
      <c r="C1289" s="1" t="s">
        <v>23</v>
      </c>
      <c r="D1289" s="1" t="str">
        <f t="shared" si="136"/>
        <v>89177328</v>
      </c>
      <c r="E1289" s="1" t="s">
        <v>24</v>
      </c>
      <c r="F1289" s="1" t="str">
        <f t="shared" si="137"/>
        <v>0010</v>
      </c>
      <c r="G1289" s="1" t="str">
        <f>""</f>
        <v/>
      </c>
      <c r="H1289" s="1" t="str">
        <f>"0012"</f>
        <v>0012</v>
      </c>
      <c r="I1289" s="1" t="s">
        <v>612</v>
      </c>
      <c r="J1289" s="1" t="str">
        <f>"01043989720"</f>
        <v>01043989720</v>
      </c>
      <c r="K1289" s="1" t="str">
        <f>"2017-04-02 11:47:15"</f>
        <v>2017-04-02 11:47:15</v>
      </c>
      <c r="L1289" s="1" t="str">
        <f t="shared" si="139"/>
        <v>-</v>
      </c>
      <c r="M1289" s="2">
        <v>0</v>
      </c>
      <c r="N1289" s="1" t="s">
        <v>33</v>
      </c>
      <c r="O1289" s="1" t="s">
        <v>34</v>
      </c>
      <c r="P1289" s="2">
        <v>6.9444444444444444E-5</v>
      </c>
      <c r="Q1289" s="1" t="str">
        <f>""</f>
        <v/>
      </c>
      <c r="R1289" s="1">
        <v>0</v>
      </c>
      <c r="S1289" s="1" t="str">
        <f>""</f>
        <v/>
      </c>
      <c r="T1289" s="1" t="s">
        <v>29</v>
      </c>
      <c r="U1289" s="1" t="s">
        <v>30</v>
      </c>
      <c r="V1289" s="1">
        <v>0</v>
      </c>
    </row>
    <row r="1290" spans="2:22" x14ac:dyDescent="0.15">
      <c r="B1290" s="1" t="str">
        <f>"177****0206"</f>
        <v>177****0206</v>
      </c>
      <c r="C1290" s="1" t="s">
        <v>23</v>
      </c>
      <c r="D1290" s="1" t="str">
        <f t="shared" si="136"/>
        <v>89177328</v>
      </c>
      <c r="E1290" s="1" t="s">
        <v>24</v>
      </c>
      <c r="F1290" s="1" t="str">
        <f t="shared" si="137"/>
        <v>0010</v>
      </c>
      <c r="G1290" s="1" t="str">
        <f>""</f>
        <v/>
      </c>
      <c r="H1290" s="1" t="str">
        <f>"0034"</f>
        <v>0034</v>
      </c>
      <c r="I1290" s="1" t="s">
        <v>31</v>
      </c>
      <c r="J1290" s="1" t="str">
        <f>"01043977568"</f>
        <v>01043977568</v>
      </c>
      <c r="K1290" s="1" t="str">
        <f>"2017-04-02 11:44:27"</f>
        <v>2017-04-02 11:44:27</v>
      </c>
      <c r="L1290" s="1" t="str">
        <f t="shared" si="139"/>
        <v>-</v>
      </c>
      <c r="M1290" s="2">
        <v>0</v>
      </c>
      <c r="N1290" s="1" t="s">
        <v>33</v>
      </c>
      <c r="O1290" s="1" t="s">
        <v>34</v>
      </c>
      <c r="P1290" s="2">
        <v>9.2592592592592588E-5</v>
      </c>
      <c r="Q1290" s="1" t="str">
        <f>""</f>
        <v/>
      </c>
      <c r="R1290" s="1">
        <v>0</v>
      </c>
      <c r="S1290" s="1" t="str">
        <f>""</f>
        <v/>
      </c>
      <c r="T1290" s="1" t="s">
        <v>29</v>
      </c>
      <c r="U1290" s="1" t="s">
        <v>30</v>
      </c>
      <c r="V1290" s="1">
        <v>0</v>
      </c>
    </row>
    <row r="1291" spans="2:22" x14ac:dyDescent="0.15">
      <c r="B1291" s="1" t="str">
        <f>"157****4678"</f>
        <v>157****4678</v>
      </c>
      <c r="C1291" s="1" t="s">
        <v>23</v>
      </c>
      <c r="D1291" s="1" t="str">
        <f t="shared" si="136"/>
        <v>89177328</v>
      </c>
      <c r="E1291" s="1" t="s">
        <v>24</v>
      </c>
      <c r="F1291" s="1" t="str">
        <f t="shared" si="137"/>
        <v>0010</v>
      </c>
      <c r="G1291" s="1" t="str">
        <f>""</f>
        <v/>
      </c>
      <c r="H1291" s="1" t="str">
        <f>"0034"</f>
        <v>0034</v>
      </c>
      <c r="I1291" s="1" t="s">
        <v>31</v>
      </c>
      <c r="J1291" s="1" t="str">
        <f>"01043977568"</f>
        <v>01043977568</v>
      </c>
      <c r="K1291" s="1" t="str">
        <f>"2017-04-02 11:43:34"</f>
        <v>2017-04-02 11:43:34</v>
      </c>
      <c r="L1291" s="1" t="str">
        <f t="shared" si="139"/>
        <v>-</v>
      </c>
      <c r="M1291" s="2">
        <v>0</v>
      </c>
      <c r="N1291" s="1" t="s">
        <v>33</v>
      </c>
      <c r="O1291" s="1" t="s">
        <v>34</v>
      </c>
      <c r="P1291" s="2">
        <v>3.4722222222222222E-5</v>
      </c>
      <c r="Q1291" s="1" t="str">
        <f>""</f>
        <v/>
      </c>
      <c r="R1291" s="1">
        <v>0</v>
      </c>
      <c r="S1291" s="1" t="str">
        <f>""</f>
        <v/>
      </c>
      <c r="T1291" s="1" t="s">
        <v>29</v>
      </c>
      <c r="U1291" s="1" t="s">
        <v>30</v>
      </c>
      <c r="V1291" s="1">
        <v>0</v>
      </c>
    </row>
    <row r="1292" spans="2:22" x14ac:dyDescent="0.15">
      <c r="B1292" s="1" t="str">
        <f>"131****5546"</f>
        <v>131****5546</v>
      </c>
      <c r="C1292" s="1" t="s">
        <v>244</v>
      </c>
      <c r="D1292" s="1" t="str">
        <f t="shared" si="136"/>
        <v>89177328</v>
      </c>
      <c r="E1292" s="1" t="s">
        <v>24</v>
      </c>
      <c r="F1292" s="1" t="str">
        <f t="shared" si="137"/>
        <v>0010</v>
      </c>
      <c r="G1292" s="1" t="str">
        <f>""</f>
        <v/>
      </c>
      <c r="H1292" s="1" t="str">
        <f>"0012"</f>
        <v>0012</v>
      </c>
      <c r="I1292" s="1" t="s">
        <v>612</v>
      </c>
      <c r="J1292" s="1" t="str">
        <f>"01043989720"</f>
        <v>01043989720</v>
      </c>
      <c r="K1292" s="1" t="str">
        <f>"2017-04-02 11:18:19"</f>
        <v>2017-04-02 11:18:19</v>
      </c>
      <c r="L1292" s="1" t="str">
        <f>"2017-04-02 11:18:32"</f>
        <v>2017-04-02 11:18:32</v>
      </c>
      <c r="M1292" s="2">
        <v>3.0671296296296297E-3</v>
      </c>
      <c r="N1292" s="1" t="s">
        <v>26</v>
      </c>
      <c r="O1292" s="1" t="s">
        <v>27</v>
      </c>
      <c r="P1292" s="2">
        <v>3.2175925925925926E-3</v>
      </c>
      <c r="Q1292" s="1" t="s">
        <v>1005</v>
      </c>
      <c r="R1292" s="1">
        <v>0</v>
      </c>
      <c r="S1292" s="1" t="str">
        <f>""</f>
        <v/>
      </c>
      <c r="T1292" s="1" t="s">
        <v>29</v>
      </c>
      <c r="U1292" s="1" t="s">
        <v>30</v>
      </c>
      <c r="V1292" s="1">
        <v>0</v>
      </c>
    </row>
    <row r="1293" spans="2:22" x14ac:dyDescent="0.15">
      <c r="B1293" s="1" t="str">
        <f>"150****1916"</f>
        <v>150****1916</v>
      </c>
      <c r="C1293" s="1" t="s">
        <v>38</v>
      </c>
      <c r="D1293" s="1" t="str">
        <f t="shared" si="136"/>
        <v>89177328</v>
      </c>
      <c r="E1293" s="1" t="s">
        <v>24</v>
      </c>
      <c r="F1293" s="1" t="str">
        <f t="shared" si="137"/>
        <v>0010</v>
      </c>
      <c r="G1293" s="1" t="str">
        <f>""</f>
        <v/>
      </c>
      <c r="H1293" s="1" t="str">
        <f>"0012"</f>
        <v>0012</v>
      </c>
      <c r="I1293" s="1" t="s">
        <v>612</v>
      </c>
      <c r="J1293" s="1" t="str">
        <f>"01043989720"</f>
        <v>01043989720</v>
      </c>
      <c r="K1293" s="1" t="str">
        <f>"2017-04-02 11:13:39"</f>
        <v>2017-04-02 11:13:39</v>
      </c>
      <c r="L1293" s="1" t="str">
        <f>"2017-04-02 11:13:49"</f>
        <v>2017-04-02 11:13:49</v>
      </c>
      <c r="M1293" s="2">
        <v>1.5046296296296294E-3</v>
      </c>
      <c r="N1293" s="1" t="s">
        <v>26</v>
      </c>
      <c r="O1293" s="1" t="s">
        <v>27</v>
      </c>
      <c r="P1293" s="2">
        <v>1.6203703703703703E-3</v>
      </c>
      <c r="Q1293" s="1" t="s">
        <v>1006</v>
      </c>
      <c r="R1293" s="1">
        <v>0</v>
      </c>
      <c r="S1293" s="1" t="str">
        <f>""</f>
        <v/>
      </c>
      <c r="T1293" s="1" t="s">
        <v>29</v>
      </c>
      <c r="U1293" s="1" t="s">
        <v>30</v>
      </c>
      <c r="V1293" s="1">
        <v>0</v>
      </c>
    </row>
    <row r="1294" spans="2:22" x14ac:dyDescent="0.15">
      <c r="B1294" s="1" t="str">
        <f>"010****2618"</f>
        <v>010****2618</v>
      </c>
      <c r="C1294" s="1" t="s">
        <v>23</v>
      </c>
      <c r="D1294" s="1" t="str">
        <f t="shared" si="136"/>
        <v>89177328</v>
      </c>
      <c r="E1294" s="1" t="s">
        <v>24</v>
      </c>
      <c r="F1294" s="1" t="str">
        <f t="shared" si="137"/>
        <v>0010</v>
      </c>
      <c r="G1294" s="1" t="str">
        <f>""</f>
        <v/>
      </c>
      <c r="H1294" s="1" t="str">
        <f>"0034"</f>
        <v>0034</v>
      </c>
      <c r="I1294" s="1" t="s">
        <v>31</v>
      </c>
      <c r="J1294" s="1" t="str">
        <f>"01043977568"</f>
        <v>01043977568</v>
      </c>
      <c r="K1294" s="1" t="str">
        <f>"2017-04-02 11:04:40"</f>
        <v>2017-04-02 11:04:40</v>
      </c>
      <c r="L1294" s="1" t="str">
        <f>"2017-04-02 11:04:59"</f>
        <v>2017-04-02 11:04:59</v>
      </c>
      <c r="M1294" s="2">
        <v>1.1828703703703704E-2</v>
      </c>
      <c r="N1294" s="1" t="s">
        <v>26</v>
      </c>
      <c r="O1294" s="1" t="s">
        <v>27</v>
      </c>
      <c r="P1294" s="2">
        <v>1.2048611111111112E-2</v>
      </c>
      <c r="Q1294" s="1" t="s">
        <v>1007</v>
      </c>
      <c r="R1294" s="1">
        <v>0</v>
      </c>
      <c r="S1294" s="1" t="str">
        <f>""</f>
        <v/>
      </c>
      <c r="T1294" s="1" t="s">
        <v>29</v>
      </c>
      <c r="U1294" s="1" t="s">
        <v>30</v>
      </c>
      <c r="V1294" s="1">
        <v>0</v>
      </c>
    </row>
    <row r="1295" spans="2:22" x14ac:dyDescent="0.15">
      <c r="B1295" s="1" t="str">
        <f>"157****3672"</f>
        <v>157****3672</v>
      </c>
      <c r="C1295" s="1" t="s">
        <v>23</v>
      </c>
      <c r="D1295" s="1" t="str">
        <f t="shared" si="136"/>
        <v>89177328</v>
      </c>
      <c r="E1295" s="1" t="s">
        <v>24</v>
      </c>
      <c r="F1295" s="1" t="str">
        <f t="shared" si="137"/>
        <v>0010</v>
      </c>
      <c r="G1295" s="1" t="str">
        <f>""</f>
        <v/>
      </c>
      <c r="H1295" s="1" t="str">
        <f>"0032"</f>
        <v>0032</v>
      </c>
      <c r="I1295" s="1" t="s">
        <v>119</v>
      </c>
      <c r="J1295" s="1" t="str">
        <f>"01043977566"</f>
        <v>01043977566</v>
      </c>
      <c r="K1295" s="1" t="str">
        <f>"2017-04-02 10:53:42"</f>
        <v>2017-04-02 10:53:42</v>
      </c>
      <c r="L1295" s="1" t="str">
        <f>"2017-04-02 10:53:53"</f>
        <v>2017-04-02 10:53:53</v>
      </c>
      <c r="M1295" s="2">
        <v>4.5833333333333334E-3</v>
      </c>
      <c r="N1295" s="1" t="s">
        <v>26</v>
      </c>
      <c r="O1295" s="1" t="s">
        <v>34</v>
      </c>
      <c r="P1295" s="2">
        <v>4.7106481481481478E-3</v>
      </c>
      <c r="Q1295" s="1" t="s">
        <v>1008</v>
      </c>
      <c r="R1295" s="1">
        <v>0</v>
      </c>
      <c r="S1295" s="1" t="str">
        <f>""</f>
        <v/>
      </c>
      <c r="T1295" s="1" t="s">
        <v>29</v>
      </c>
      <c r="U1295" s="1" t="s">
        <v>30</v>
      </c>
      <c r="V1295" s="1">
        <v>0</v>
      </c>
    </row>
    <row r="1296" spans="2:22" x14ac:dyDescent="0.15">
      <c r="B1296" s="1" t="str">
        <f>"187****2878"</f>
        <v>187****2878</v>
      </c>
      <c r="C1296" s="1" t="s">
        <v>23</v>
      </c>
      <c r="D1296" s="1" t="str">
        <f t="shared" si="136"/>
        <v>89177328</v>
      </c>
      <c r="E1296" s="1" t="s">
        <v>24</v>
      </c>
      <c r="F1296" s="1" t="str">
        <f t="shared" si="137"/>
        <v>0010</v>
      </c>
      <c r="G1296" s="1" t="str">
        <f>""</f>
        <v/>
      </c>
      <c r="H1296" s="1" t="str">
        <f>"0031"</f>
        <v>0031</v>
      </c>
      <c r="I1296" s="1" t="s">
        <v>95</v>
      </c>
      <c r="J1296" s="1" t="str">
        <f>"01043977565"</f>
        <v>01043977565</v>
      </c>
      <c r="K1296" s="1" t="str">
        <f>"2017-04-02 10:45:35"</f>
        <v>2017-04-02 10:45:35</v>
      </c>
      <c r="L1296" s="1" t="str">
        <f>"2017-04-02 10:45:42"</f>
        <v>2017-04-02 10:45:42</v>
      </c>
      <c r="M1296" s="2">
        <v>1.8113425925925925E-2</v>
      </c>
      <c r="N1296" s="1" t="s">
        <v>26</v>
      </c>
      <c r="O1296" s="1" t="s">
        <v>27</v>
      </c>
      <c r="P1296" s="2">
        <v>1.8194444444444444E-2</v>
      </c>
      <c r="Q1296" s="1" t="s">
        <v>1009</v>
      </c>
      <c r="R1296" s="1">
        <v>0</v>
      </c>
      <c r="S1296" s="1" t="str">
        <f>""</f>
        <v/>
      </c>
      <c r="T1296" s="1" t="s">
        <v>29</v>
      </c>
      <c r="U1296" s="1" t="s">
        <v>30</v>
      </c>
      <c r="V1296" s="1">
        <v>0</v>
      </c>
    </row>
    <row r="1297" spans="2:22" x14ac:dyDescent="0.15">
      <c r="B1297" s="1" t="str">
        <f>"187****2519"</f>
        <v>187****2519</v>
      </c>
      <c r="C1297" s="1" t="s">
        <v>959</v>
      </c>
      <c r="D1297" s="1" t="str">
        <f t="shared" si="136"/>
        <v>89177328</v>
      </c>
      <c r="E1297" s="1" t="s">
        <v>24</v>
      </c>
      <c r="F1297" s="1" t="str">
        <f t="shared" si="137"/>
        <v>0010</v>
      </c>
      <c r="G1297" s="1" t="str">
        <f>""</f>
        <v/>
      </c>
      <c r="H1297" s="1" t="str">
        <f>"0012"</f>
        <v>0012</v>
      </c>
      <c r="I1297" s="1" t="s">
        <v>612</v>
      </c>
      <c r="J1297" s="1" t="str">
        <f>"01043989720"</f>
        <v>01043989720</v>
      </c>
      <c r="K1297" s="1" t="str">
        <f>"2017-04-02 10:39:02"</f>
        <v>2017-04-02 10:39:02</v>
      </c>
      <c r="L1297" s="1" t="str">
        <f>"2017-04-02 10:39:12"</f>
        <v>2017-04-02 10:39:12</v>
      </c>
      <c r="M1297" s="2">
        <v>1.1863425925925925E-2</v>
      </c>
      <c r="N1297" s="1" t="s">
        <v>26</v>
      </c>
      <c r="O1297" s="1" t="s">
        <v>27</v>
      </c>
      <c r="P1297" s="2">
        <v>1.1979166666666666E-2</v>
      </c>
      <c r="Q1297" s="1" t="s">
        <v>1010</v>
      </c>
      <c r="R1297" s="1">
        <v>0</v>
      </c>
      <c r="S1297" s="1" t="str">
        <f>""</f>
        <v/>
      </c>
      <c r="T1297" s="1" t="s">
        <v>29</v>
      </c>
      <c r="U1297" s="1" t="s">
        <v>30</v>
      </c>
      <c r="V1297" s="1">
        <v>0</v>
      </c>
    </row>
    <row r="1298" spans="2:22" x14ac:dyDescent="0.15">
      <c r="B1298" s="1" t="str">
        <f>"135****6257"</f>
        <v>135****6257</v>
      </c>
      <c r="C1298" s="1" t="s">
        <v>23</v>
      </c>
      <c r="D1298" s="1" t="str">
        <f t="shared" si="136"/>
        <v>89177328</v>
      </c>
      <c r="E1298" s="1" t="s">
        <v>24</v>
      </c>
      <c r="F1298" s="1" t="str">
        <f t="shared" si="137"/>
        <v>0010</v>
      </c>
      <c r="G1298" s="1" t="str">
        <f>""</f>
        <v/>
      </c>
      <c r="H1298" s="1" t="str">
        <f>"0012"</f>
        <v>0012</v>
      </c>
      <c r="I1298" s="1" t="s">
        <v>612</v>
      </c>
      <c r="J1298" s="1" t="str">
        <f>"01043989720"</f>
        <v>01043989720</v>
      </c>
      <c r="K1298" s="1" t="str">
        <f>"2017-04-02 10:27:00"</f>
        <v>2017-04-02 10:27:00</v>
      </c>
      <c r="L1298" s="1" t="str">
        <f>"2017-04-02 10:27:12"</f>
        <v>2017-04-02 10:27:12</v>
      </c>
      <c r="M1298" s="2">
        <v>6.7708333333333336E-3</v>
      </c>
      <c r="N1298" s="1" t="s">
        <v>26</v>
      </c>
      <c r="O1298" s="1" t="s">
        <v>34</v>
      </c>
      <c r="P1298" s="2">
        <v>6.9097222222222225E-3</v>
      </c>
      <c r="Q1298" s="1" t="s">
        <v>1011</v>
      </c>
      <c r="R1298" s="1">
        <v>0</v>
      </c>
      <c r="S1298" s="1" t="str">
        <f>""</f>
        <v/>
      </c>
      <c r="T1298" s="1" t="s">
        <v>29</v>
      </c>
      <c r="U1298" s="1" t="s">
        <v>30</v>
      </c>
      <c r="V1298" s="1">
        <v>0</v>
      </c>
    </row>
    <row r="1299" spans="2:22" x14ac:dyDescent="0.15">
      <c r="B1299" s="1" t="str">
        <f>"189****7259"</f>
        <v>189****7259</v>
      </c>
      <c r="C1299" s="1" t="s">
        <v>137</v>
      </c>
      <c r="D1299" s="1" t="str">
        <f t="shared" si="136"/>
        <v>89177328</v>
      </c>
      <c r="E1299" s="1" t="s">
        <v>24</v>
      </c>
      <c r="F1299" s="1" t="str">
        <f t="shared" si="137"/>
        <v>0010</v>
      </c>
      <c r="G1299" s="1" t="str">
        <f>""</f>
        <v/>
      </c>
      <c r="H1299" s="1" t="str">
        <f>"0034"</f>
        <v>0034</v>
      </c>
      <c r="I1299" s="1" t="s">
        <v>31</v>
      </c>
      <c r="J1299" s="1" t="str">
        <f>"01043977568"</f>
        <v>01043977568</v>
      </c>
      <c r="K1299" s="1" t="str">
        <f>"2017-04-02 10:12:26"</f>
        <v>2017-04-02 10:12:26</v>
      </c>
      <c r="L1299" s="1" t="str">
        <f>"2017-04-02 10:12:36"</f>
        <v>2017-04-02 10:12:36</v>
      </c>
      <c r="M1299" s="2">
        <v>4.7569444444444447E-3</v>
      </c>
      <c r="N1299" s="1" t="s">
        <v>26</v>
      </c>
      <c r="O1299" s="1" t="s">
        <v>34</v>
      </c>
      <c r="P1299" s="2">
        <v>4.8726851851851856E-3</v>
      </c>
      <c r="Q1299" s="1" t="s">
        <v>1012</v>
      </c>
      <c r="R1299" s="1">
        <v>0</v>
      </c>
      <c r="S1299" s="1" t="str">
        <f>""</f>
        <v/>
      </c>
      <c r="T1299" s="1" t="s">
        <v>29</v>
      </c>
      <c r="U1299" s="1" t="s">
        <v>30</v>
      </c>
      <c r="V1299" s="1">
        <v>0</v>
      </c>
    </row>
    <row r="1300" spans="2:22" x14ac:dyDescent="0.15">
      <c r="B1300" s="1" t="str">
        <f>"010****4493"</f>
        <v>010****4493</v>
      </c>
      <c r="C1300" s="1" t="s">
        <v>23</v>
      </c>
      <c r="D1300" s="1" t="str">
        <f t="shared" si="136"/>
        <v>89177328</v>
      </c>
      <c r="E1300" s="1" t="s">
        <v>24</v>
      </c>
      <c r="F1300" s="1" t="str">
        <f t="shared" si="137"/>
        <v>0010</v>
      </c>
      <c r="G1300" s="1" t="str">
        <f>""</f>
        <v/>
      </c>
      <c r="H1300" s="1" t="str">
        <f>"0031"</f>
        <v>0031</v>
      </c>
      <c r="I1300" s="1" t="s">
        <v>95</v>
      </c>
      <c r="J1300" s="1" t="str">
        <f>"01043977565"</f>
        <v>01043977565</v>
      </c>
      <c r="K1300" s="1" t="str">
        <f>"2017-04-02 10:09:21"</f>
        <v>2017-04-02 10:09:21</v>
      </c>
      <c r="L1300" s="1" t="str">
        <f>"-"</f>
        <v>-</v>
      </c>
      <c r="M1300" s="2">
        <v>0</v>
      </c>
      <c r="N1300" s="1" t="s">
        <v>33</v>
      </c>
      <c r="O1300" s="1" t="s">
        <v>34</v>
      </c>
      <c r="P1300" s="2">
        <v>2.3148148148148147E-5</v>
      </c>
      <c r="Q1300" s="1" t="str">
        <f>""</f>
        <v/>
      </c>
      <c r="R1300" s="1">
        <v>0</v>
      </c>
      <c r="S1300" s="1" t="str">
        <f>""</f>
        <v/>
      </c>
      <c r="T1300" s="1" t="s">
        <v>29</v>
      </c>
      <c r="U1300" s="1" t="s">
        <v>30</v>
      </c>
      <c r="V1300" s="1">
        <v>0</v>
      </c>
    </row>
    <row r="1301" spans="2:22" x14ac:dyDescent="0.15">
      <c r="B1301" s="1" t="str">
        <f>"138****3120"</f>
        <v>138****3120</v>
      </c>
      <c r="C1301" s="1" t="s">
        <v>458</v>
      </c>
      <c r="D1301" s="1" t="str">
        <f t="shared" si="136"/>
        <v>89177328</v>
      </c>
      <c r="E1301" s="1" t="s">
        <v>24</v>
      </c>
      <c r="F1301" s="1" t="str">
        <f t="shared" si="137"/>
        <v>0010</v>
      </c>
      <c r="G1301" s="1" t="str">
        <f>""</f>
        <v/>
      </c>
      <c r="H1301" s="1" t="str">
        <f>"0031"</f>
        <v>0031</v>
      </c>
      <c r="I1301" s="1" t="s">
        <v>95</v>
      </c>
      <c r="J1301" s="1" t="str">
        <f>"01043977565"</f>
        <v>01043977565</v>
      </c>
      <c r="K1301" s="1" t="str">
        <f>"2017-04-02 09:57:41"</f>
        <v>2017-04-02 09:57:41</v>
      </c>
      <c r="L1301" s="1" t="str">
        <f>"2017-04-02 09:57:48"</f>
        <v>2017-04-02 09:57:48</v>
      </c>
      <c r="M1301" s="2">
        <v>2.7430555555555559E-3</v>
      </c>
      <c r="N1301" s="1" t="s">
        <v>26</v>
      </c>
      <c r="O1301" s="1" t="s">
        <v>27</v>
      </c>
      <c r="P1301" s="2">
        <v>2.8240740740740739E-3</v>
      </c>
      <c r="Q1301" s="1" t="s">
        <v>1013</v>
      </c>
      <c r="R1301" s="1">
        <v>0</v>
      </c>
      <c r="S1301" s="1" t="str">
        <f>""</f>
        <v/>
      </c>
      <c r="T1301" s="1" t="s">
        <v>29</v>
      </c>
      <c r="U1301" s="1" t="s">
        <v>30</v>
      </c>
      <c r="V1301" s="1">
        <v>0</v>
      </c>
    </row>
    <row r="1302" spans="2:22" x14ac:dyDescent="0.15">
      <c r="B1302" s="1" t="str">
        <f>"130****1705"</f>
        <v>130****1705</v>
      </c>
      <c r="C1302" s="1" t="s">
        <v>78</v>
      </c>
      <c r="D1302" s="1" t="str">
        <f t="shared" si="136"/>
        <v>89177328</v>
      </c>
      <c r="E1302" s="1" t="s">
        <v>24</v>
      </c>
      <c r="F1302" s="1" t="str">
        <f t="shared" si="137"/>
        <v>0010</v>
      </c>
      <c r="G1302" s="1" t="str">
        <f>""</f>
        <v/>
      </c>
      <c r="H1302" s="1" t="str">
        <f>"0034"</f>
        <v>0034</v>
      </c>
      <c r="I1302" s="1" t="s">
        <v>31</v>
      </c>
      <c r="J1302" s="1" t="str">
        <f>"01043977568"</f>
        <v>01043977568</v>
      </c>
      <c r="K1302" s="1" t="str">
        <f>"2017-04-02 09:30:34"</f>
        <v>2017-04-02 09:30:34</v>
      </c>
      <c r="L1302" s="1" t="str">
        <f>"2017-04-02 09:30:42"</f>
        <v>2017-04-02 09:30:42</v>
      </c>
      <c r="M1302" s="2">
        <v>2.6956018518518522E-2</v>
      </c>
      <c r="N1302" s="1" t="s">
        <v>26</v>
      </c>
      <c r="O1302" s="1" t="s">
        <v>34</v>
      </c>
      <c r="P1302" s="2">
        <v>2.704861111111111E-2</v>
      </c>
      <c r="Q1302" s="1" t="s">
        <v>1014</v>
      </c>
      <c r="R1302" s="1">
        <v>0</v>
      </c>
      <c r="S1302" s="1" t="str">
        <f>""</f>
        <v/>
      </c>
      <c r="T1302" s="1" t="s">
        <v>29</v>
      </c>
      <c r="U1302" s="1" t="s">
        <v>30</v>
      </c>
      <c r="V1302" s="1">
        <v>0</v>
      </c>
    </row>
    <row r="1303" spans="2:22" x14ac:dyDescent="0.15">
      <c r="B1303" s="1" t="str">
        <f>"186****6217"</f>
        <v>186****6217</v>
      </c>
      <c r="C1303" s="1" t="s">
        <v>132</v>
      </c>
      <c r="D1303" s="1" t="str">
        <f t="shared" si="136"/>
        <v>89177328</v>
      </c>
      <c r="E1303" s="1" t="s">
        <v>24</v>
      </c>
      <c r="F1303" s="1" t="str">
        <f t="shared" si="137"/>
        <v>0010</v>
      </c>
      <c r="G1303" s="1" t="str">
        <f>""</f>
        <v/>
      </c>
      <c r="H1303" s="1" t="str">
        <f>"0032"</f>
        <v>0032</v>
      </c>
      <c r="I1303" s="1" t="s">
        <v>119</v>
      </c>
      <c r="J1303" s="1" t="str">
        <f>"01043977566"</f>
        <v>01043977566</v>
      </c>
      <c r="K1303" s="1" t="str">
        <f>"2017-04-02 09:12:37"</f>
        <v>2017-04-02 09:12:37</v>
      </c>
      <c r="L1303" s="1" t="str">
        <f>"2017-04-02 09:12:52"</f>
        <v>2017-04-02 09:12:52</v>
      </c>
      <c r="M1303" s="2">
        <v>1.8819444444444448E-2</v>
      </c>
      <c r="N1303" s="1" t="s">
        <v>26</v>
      </c>
      <c r="O1303" s="1" t="s">
        <v>34</v>
      </c>
      <c r="P1303" s="2">
        <v>1.8993055555555558E-2</v>
      </c>
      <c r="Q1303" s="1" t="s">
        <v>1015</v>
      </c>
      <c r="R1303" s="1">
        <v>0</v>
      </c>
      <c r="S1303" s="1" t="str">
        <f>""</f>
        <v/>
      </c>
      <c r="T1303" s="1" t="s">
        <v>29</v>
      </c>
      <c r="U1303" s="1" t="s">
        <v>30</v>
      </c>
      <c r="V1303" s="1">
        <v>0</v>
      </c>
    </row>
    <row r="1304" spans="2:22" x14ac:dyDescent="0.15">
      <c r="B1304" s="1" t="str">
        <f>"185****2962"</f>
        <v>185****2962</v>
      </c>
      <c r="C1304" s="1" t="s">
        <v>23</v>
      </c>
      <c r="D1304" s="1" t="str">
        <f t="shared" si="136"/>
        <v>89177328</v>
      </c>
      <c r="E1304" s="1" t="s">
        <v>24</v>
      </c>
      <c r="F1304" s="1" t="str">
        <f t="shared" si="137"/>
        <v>0010</v>
      </c>
      <c r="G1304" s="1" t="str">
        <f>""</f>
        <v/>
      </c>
      <c r="H1304" s="1" t="str">
        <f>"0012"</f>
        <v>0012</v>
      </c>
      <c r="I1304" s="1" t="s">
        <v>612</v>
      </c>
      <c r="J1304" s="1" t="str">
        <f>"01043989720"</f>
        <v>01043989720</v>
      </c>
      <c r="K1304" s="1" t="str">
        <f>"2017-04-02 09:10:19"</f>
        <v>2017-04-02 09:10:19</v>
      </c>
      <c r="L1304" s="1" t="str">
        <f>"2017-04-02 09:10:30"</f>
        <v>2017-04-02 09:10:30</v>
      </c>
      <c r="M1304" s="2">
        <v>4.8611111111111112E-3</v>
      </c>
      <c r="N1304" s="1" t="s">
        <v>26</v>
      </c>
      <c r="O1304" s="1" t="s">
        <v>27</v>
      </c>
      <c r="P1304" s="2">
        <v>4.9884259259259265E-3</v>
      </c>
      <c r="Q1304" s="1" t="s">
        <v>1016</v>
      </c>
      <c r="R1304" s="1">
        <v>0</v>
      </c>
      <c r="S1304" s="1" t="str">
        <f>""</f>
        <v/>
      </c>
      <c r="T1304" s="1" t="s">
        <v>29</v>
      </c>
      <c r="U1304" s="1" t="s">
        <v>30</v>
      </c>
      <c r="V1304" s="1">
        <v>0</v>
      </c>
    </row>
    <row r="1305" spans="2:22" x14ac:dyDescent="0.15">
      <c r="B1305" s="1" t="str">
        <f>"185****8316"</f>
        <v>185****8316</v>
      </c>
      <c r="C1305" s="1" t="s">
        <v>23</v>
      </c>
      <c r="D1305" s="1" t="str">
        <f t="shared" si="136"/>
        <v>89177328</v>
      </c>
      <c r="E1305" s="1" t="s">
        <v>24</v>
      </c>
      <c r="F1305" s="1" t="str">
        <f t="shared" si="137"/>
        <v>0010</v>
      </c>
      <c r="G1305" s="1" t="str">
        <f>""</f>
        <v/>
      </c>
      <c r="H1305" s="1" t="str">
        <f>"0031"</f>
        <v>0031</v>
      </c>
      <c r="I1305" s="1" t="s">
        <v>95</v>
      </c>
      <c r="J1305" s="1" t="str">
        <f>"01043977565"</f>
        <v>01043977565</v>
      </c>
      <c r="K1305" s="1" t="str">
        <f>"2017-04-02 09:05:39"</f>
        <v>2017-04-02 09:05:39</v>
      </c>
      <c r="L1305" s="1" t="str">
        <f>"2017-04-02 09:05:47"</f>
        <v>2017-04-02 09:05:47</v>
      </c>
      <c r="M1305" s="2">
        <v>6.0648148148148145E-3</v>
      </c>
      <c r="N1305" s="1" t="s">
        <v>26</v>
      </c>
      <c r="O1305" s="1" t="s">
        <v>27</v>
      </c>
      <c r="P1305" s="2">
        <v>6.1574074074074074E-3</v>
      </c>
      <c r="Q1305" s="1" t="s">
        <v>1017</v>
      </c>
      <c r="R1305" s="1">
        <v>0</v>
      </c>
      <c r="S1305" s="1" t="str">
        <f>""</f>
        <v/>
      </c>
      <c r="T1305" s="1" t="s">
        <v>29</v>
      </c>
      <c r="U1305" s="1" t="s">
        <v>30</v>
      </c>
      <c r="V1305" s="1">
        <v>0</v>
      </c>
    </row>
    <row r="1306" spans="2:22" x14ac:dyDescent="0.15">
      <c r="B1306" s="1" t="str">
        <f>"010****3217"</f>
        <v>010****3217</v>
      </c>
      <c r="C1306" s="1" t="s">
        <v>23</v>
      </c>
      <c r="D1306" s="1" t="str">
        <f t="shared" si="136"/>
        <v>89177328</v>
      </c>
      <c r="E1306" s="1" t="s">
        <v>24</v>
      </c>
      <c r="F1306" s="1" t="str">
        <f t="shared" si="137"/>
        <v>0010</v>
      </c>
      <c r="G1306" s="1" t="str">
        <f>""</f>
        <v/>
      </c>
      <c r="H1306" s="1" t="str">
        <f>"0012"</f>
        <v>0012</v>
      </c>
      <c r="I1306" s="1" t="s">
        <v>612</v>
      </c>
      <c r="J1306" s="1" t="str">
        <f>"01043989720"</f>
        <v>01043989720</v>
      </c>
      <c r="K1306" s="1" t="str">
        <f>"2017-04-02 08:46:00"</f>
        <v>2017-04-02 08:46:00</v>
      </c>
      <c r="L1306" s="1" t="str">
        <f>"2017-04-02 08:46:09"</f>
        <v>2017-04-02 08:46:09</v>
      </c>
      <c r="M1306" s="2">
        <v>1.4895833333333332E-2</v>
      </c>
      <c r="N1306" s="1" t="s">
        <v>26</v>
      </c>
      <c r="O1306" s="1" t="s">
        <v>27</v>
      </c>
      <c r="P1306" s="2">
        <v>1.5000000000000001E-2</v>
      </c>
      <c r="Q1306" s="1" t="s">
        <v>1018</v>
      </c>
      <c r="R1306" s="1">
        <v>0</v>
      </c>
      <c r="S1306" s="1" t="str">
        <f>""</f>
        <v/>
      </c>
      <c r="T1306" s="1" t="s">
        <v>29</v>
      </c>
      <c r="U1306" s="1" t="s">
        <v>30</v>
      </c>
      <c r="V1306" s="1">
        <v>0</v>
      </c>
    </row>
    <row r="1307" spans="2:22" x14ac:dyDescent="0.15">
      <c r="B1307" s="1" t="str">
        <f>"134****7168"</f>
        <v>134****7168</v>
      </c>
      <c r="C1307" s="1" t="s">
        <v>23</v>
      </c>
      <c r="D1307" s="1" t="str">
        <f t="shared" si="136"/>
        <v>89177328</v>
      </c>
      <c r="E1307" s="1" t="s">
        <v>24</v>
      </c>
      <c r="F1307" s="1" t="str">
        <f t="shared" si="137"/>
        <v>0010</v>
      </c>
      <c r="G1307" s="1" t="str">
        <f>""</f>
        <v/>
      </c>
      <c r="H1307" s="1" t="str">
        <f>"0034"</f>
        <v>0034</v>
      </c>
      <c r="I1307" s="1" t="s">
        <v>31</v>
      </c>
      <c r="J1307" s="1" t="str">
        <f>"01043977568"</f>
        <v>01043977568</v>
      </c>
      <c r="K1307" s="1" t="str">
        <f>"2017-04-02 08:40:35"</f>
        <v>2017-04-02 08:40:35</v>
      </c>
      <c r="L1307" s="1" t="str">
        <f>"2017-04-02 08:40:48"</f>
        <v>2017-04-02 08:40:48</v>
      </c>
      <c r="M1307" s="2">
        <v>4.6296296296296293E-4</v>
      </c>
      <c r="N1307" s="1" t="s">
        <v>26</v>
      </c>
      <c r="O1307" s="1" t="s">
        <v>27</v>
      </c>
      <c r="P1307" s="2">
        <v>6.134259259259259E-4</v>
      </c>
      <c r="Q1307" s="1" t="s">
        <v>1019</v>
      </c>
      <c r="R1307" s="1">
        <v>0</v>
      </c>
      <c r="S1307" s="1" t="str">
        <f>""</f>
        <v/>
      </c>
      <c r="T1307" s="1" t="s">
        <v>29</v>
      </c>
      <c r="U1307" s="1" t="s">
        <v>30</v>
      </c>
      <c r="V1307" s="1">
        <v>0</v>
      </c>
    </row>
    <row r="1308" spans="2:22" x14ac:dyDescent="0.15">
      <c r="B1308" s="1" t="str">
        <f>"010****0584"</f>
        <v>010****0584</v>
      </c>
      <c r="C1308" s="1" t="s">
        <v>23</v>
      </c>
      <c r="D1308" s="1" t="str">
        <f t="shared" si="136"/>
        <v>89177328</v>
      </c>
      <c r="E1308" s="1" t="s">
        <v>24</v>
      </c>
      <c r="F1308" s="1" t="str">
        <f t="shared" si="137"/>
        <v>0010</v>
      </c>
      <c r="G1308" s="1" t="str">
        <f>""</f>
        <v/>
      </c>
      <c r="H1308" s="1" t="str">
        <f>"0032"</f>
        <v>0032</v>
      </c>
      <c r="I1308" s="1" t="s">
        <v>119</v>
      </c>
      <c r="J1308" s="1" t="str">
        <f>"01043977566"</f>
        <v>01043977566</v>
      </c>
      <c r="K1308" s="1" t="str">
        <f>"2017-04-02 08:31:10"</f>
        <v>2017-04-02 08:31:10</v>
      </c>
      <c r="L1308" s="1" t="str">
        <f>"2017-04-02 08:31:21"</f>
        <v>2017-04-02 08:31:21</v>
      </c>
      <c r="M1308" s="2">
        <v>5.7407407407407416E-3</v>
      </c>
      <c r="N1308" s="1" t="s">
        <v>26</v>
      </c>
      <c r="O1308" s="1" t="s">
        <v>34</v>
      </c>
      <c r="P1308" s="2">
        <v>5.8680555555555543E-3</v>
      </c>
      <c r="Q1308" s="1" t="s">
        <v>1020</v>
      </c>
      <c r="R1308" s="1">
        <v>0</v>
      </c>
      <c r="S1308" s="1" t="str">
        <f>""</f>
        <v/>
      </c>
      <c r="T1308" s="1" t="s">
        <v>29</v>
      </c>
      <c r="U1308" s="1" t="s">
        <v>30</v>
      </c>
      <c r="V1308" s="1">
        <v>0</v>
      </c>
    </row>
    <row r="1309" spans="2:22" x14ac:dyDescent="0.15">
      <c r="B1309" s="1" t="str">
        <f>"185****1207"</f>
        <v>185****1207</v>
      </c>
      <c r="C1309" s="1" t="s">
        <v>534</v>
      </c>
      <c r="D1309" s="1" t="str">
        <f t="shared" si="136"/>
        <v>89177328</v>
      </c>
      <c r="E1309" s="1" t="s">
        <v>24</v>
      </c>
      <c r="F1309" s="1" t="str">
        <f t="shared" si="137"/>
        <v>0010</v>
      </c>
      <c r="G1309" s="1" t="str">
        <f>""</f>
        <v/>
      </c>
      <c r="H1309" s="1" t="str">
        <f>"0032"</f>
        <v>0032</v>
      </c>
      <c r="I1309" s="1" t="s">
        <v>119</v>
      </c>
      <c r="J1309" s="1" t="str">
        <f>"01043977566"</f>
        <v>01043977566</v>
      </c>
      <c r="K1309" s="1" t="str">
        <f>"2017-04-02 08:30:11"</f>
        <v>2017-04-02 08:30:11</v>
      </c>
      <c r="L1309" s="1" t="str">
        <f>"-"</f>
        <v>-</v>
      </c>
      <c r="M1309" s="2">
        <v>0</v>
      </c>
      <c r="N1309" s="1" t="s">
        <v>33</v>
      </c>
      <c r="O1309" s="1" t="s">
        <v>34</v>
      </c>
      <c r="P1309" s="2">
        <v>1.1574074074074073E-5</v>
      </c>
      <c r="Q1309" s="1" t="str">
        <f>""</f>
        <v/>
      </c>
      <c r="R1309" s="1">
        <v>0</v>
      </c>
      <c r="S1309" s="1" t="str">
        <f>""</f>
        <v/>
      </c>
      <c r="T1309" s="1" t="s">
        <v>29</v>
      </c>
      <c r="U1309" s="1" t="s">
        <v>30</v>
      </c>
      <c r="V1309" s="1">
        <v>0</v>
      </c>
    </row>
    <row r="1310" spans="2:22" x14ac:dyDescent="0.15">
      <c r="B1310" s="1" t="str">
        <f>"182****8562"</f>
        <v>182****8562</v>
      </c>
      <c r="C1310" s="1" t="s">
        <v>1021</v>
      </c>
      <c r="D1310" s="1" t="str">
        <f t="shared" si="136"/>
        <v>89177328</v>
      </c>
      <c r="E1310" s="1" t="s">
        <v>24</v>
      </c>
      <c r="F1310" s="1" t="str">
        <f t="shared" si="137"/>
        <v>0010</v>
      </c>
      <c r="G1310" s="1" t="str">
        <f>""</f>
        <v/>
      </c>
      <c r="H1310" s="1" t="str">
        <f>"0031"</f>
        <v>0031</v>
      </c>
      <c r="I1310" s="1" t="s">
        <v>95</v>
      </c>
      <c r="J1310" s="1" t="str">
        <f>"01043977565"</f>
        <v>01043977565</v>
      </c>
      <c r="K1310" s="1" t="str">
        <f>"2017-04-02 08:27:05"</f>
        <v>2017-04-02 08:27:05</v>
      </c>
      <c r="L1310" s="1" t="str">
        <f>"2017-04-02 08:27:13"</f>
        <v>2017-04-02 08:27:13</v>
      </c>
      <c r="M1310" s="2">
        <v>7.9861111111111122E-3</v>
      </c>
      <c r="N1310" s="1" t="s">
        <v>26</v>
      </c>
      <c r="O1310" s="1" t="s">
        <v>27</v>
      </c>
      <c r="P1310" s="2">
        <v>8.0787037037037043E-3</v>
      </c>
      <c r="Q1310" s="1" t="s">
        <v>1022</v>
      </c>
      <c r="R1310" s="1">
        <v>0</v>
      </c>
      <c r="S1310" s="1" t="str">
        <f>""</f>
        <v/>
      </c>
      <c r="T1310" s="1" t="s">
        <v>29</v>
      </c>
      <c r="U1310" s="1" t="s">
        <v>30</v>
      </c>
      <c r="V1310" s="1">
        <v>0</v>
      </c>
    </row>
    <row r="1311" spans="2:22" x14ac:dyDescent="0.15">
      <c r="B1311" s="1" t="str">
        <f>"139****1772"</f>
        <v>139****1772</v>
      </c>
      <c r="C1311" s="1" t="s">
        <v>594</v>
      </c>
      <c r="D1311" s="1" t="str">
        <f t="shared" ref="D1311:D1335" si="140">"89177328"</f>
        <v>89177328</v>
      </c>
      <c r="E1311" s="1" t="s">
        <v>24</v>
      </c>
      <c r="F1311" s="1" t="str">
        <f t="shared" ref="F1311:F1314" si="141">"0010"</f>
        <v>0010</v>
      </c>
      <c r="G1311" s="1" t="str">
        <f>""</f>
        <v/>
      </c>
      <c r="H1311" s="1" t="str">
        <f>"0012"</f>
        <v>0012</v>
      </c>
      <c r="I1311" s="1" t="s">
        <v>612</v>
      </c>
      <c r="J1311" s="1" t="str">
        <f>"01043989720"</f>
        <v>01043989720</v>
      </c>
      <c r="K1311" s="1" t="str">
        <f>"2017-04-02 08:23:23"</f>
        <v>2017-04-02 08:23:23</v>
      </c>
      <c r="L1311" s="1" t="str">
        <f>"2017-04-02 08:23:30"</f>
        <v>2017-04-02 08:23:30</v>
      </c>
      <c r="M1311" s="2">
        <v>7.5810185185185182E-3</v>
      </c>
      <c r="N1311" s="1" t="s">
        <v>26</v>
      </c>
      <c r="O1311" s="1" t="s">
        <v>34</v>
      </c>
      <c r="P1311" s="2">
        <v>7.6620370370370366E-3</v>
      </c>
      <c r="Q1311" s="1" t="s">
        <v>1023</v>
      </c>
      <c r="R1311" s="1">
        <v>0</v>
      </c>
      <c r="S1311" s="1" t="str">
        <f>""</f>
        <v/>
      </c>
      <c r="T1311" s="1" t="s">
        <v>29</v>
      </c>
      <c r="U1311" s="1" t="s">
        <v>30</v>
      </c>
      <c r="V1311" s="1">
        <v>0</v>
      </c>
    </row>
    <row r="1312" spans="2:22" x14ac:dyDescent="0.15">
      <c r="B1312" s="1" t="str">
        <f>"181****0099"</f>
        <v>181****0099</v>
      </c>
      <c r="C1312" s="1" t="s">
        <v>126</v>
      </c>
      <c r="D1312" s="1" t="str">
        <f t="shared" si="140"/>
        <v>89177328</v>
      </c>
      <c r="E1312" s="1" t="s">
        <v>24</v>
      </c>
      <c r="F1312" s="1" t="str">
        <f t="shared" si="141"/>
        <v>0010</v>
      </c>
      <c r="G1312" s="1" t="str">
        <f>""</f>
        <v/>
      </c>
      <c r="H1312" s="1" t="str">
        <f>"0012"</f>
        <v>0012</v>
      </c>
      <c r="I1312" s="1" t="s">
        <v>612</v>
      </c>
      <c r="J1312" s="1" t="str">
        <f>"01043989720"</f>
        <v>01043989720</v>
      </c>
      <c r="K1312" s="1" t="str">
        <f>"2017-04-02 08:22:41"</f>
        <v>2017-04-02 08:22:41</v>
      </c>
      <c r="L1312" s="1" t="str">
        <f>"-"</f>
        <v>-</v>
      </c>
      <c r="M1312" s="2">
        <v>0</v>
      </c>
      <c r="N1312" s="1" t="s">
        <v>33</v>
      </c>
      <c r="O1312" s="1" t="s">
        <v>34</v>
      </c>
      <c r="P1312" s="2">
        <v>1.1574074074074073E-5</v>
      </c>
      <c r="Q1312" s="1" t="str">
        <f>""</f>
        <v/>
      </c>
      <c r="R1312" s="1">
        <v>0</v>
      </c>
      <c r="S1312" s="1" t="str">
        <f>""</f>
        <v/>
      </c>
      <c r="T1312" s="1" t="s">
        <v>29</v>
      </c>
      <c r="U1312" s="1" t="s">
        <v>30</v>
      </c>
      <c r="V1312" s="1">
        <v>0</v>
      </c>
    </row>
    <row r="1313" spans="2:22" x14ac:dyDescent="0.15">
      <c r="B1313" s="1" t="str">
        <f>"186****0335"</f>
        <v>186****0335</v>
      </c>
      <c r="C1313" s="1" t="s">
        <v>23</v>
      </c>
      <c r="D1313" s="1" t="str">
        <f t="shared" si="140"/>
        <v>89177328</v>
      </c>
      <c r="E1313" s="1" t="s">
        <v>24</v>
      </c>
      <c r="F1313" s="1" t="str">
        <f t="shared" si="141"/>
        <v>0010</v>
      </c>
      <c r="G1313" s="1" t="str">
        <f>""</f>
        <v/>
      </c>
      <c r="H1313" s="1" t="str">
        <f>"0012"</f>
        <v>0012</v>
      </c>
      <c r="I1313" s="1" t="s">
        <v>612</v>
      </c>
      <c r="J1313" s="1" t="str">
        <f>"01043989720"</f>
        <v>01043989720</v>
      </c>
      <c r="K1313" s="1" t="str">
        <f>"2017-04-02 08:11:52"</f>
        <v>2017-04-02 08:11:52</v>
      </c>
      <c r="L1313" s="1" t="str">
        <f>"-"</f>
        <v>-</v>
      </c>
      <c r="M1313" s="2">
        <v>0</v>
      </c>
      <c r="N1313" s="1" t="s">
        <v>33</v>
      </c>
      <c r="O1313" s="1" t="s">
        <v>34</v>
      </c>
      <c r="P1313" s="2">
        <v>1.1574074074074073E-4</v>
      </c>
      <c r="Q1313" s="1" t="str">
        <f>""</f>
        <v/>
      </c>
      <c r="R1313" s="1">
        <v>0</v>
      </c>
      <c r="S1313" s="1" t="str">
        <f>""</f>
        <v/>
      </c>
      <c r="T1313" s="1" t="s">
        <v>29</v>
      </c>
      <c r="U1313" s="1" t="s">
        <v>30</v>
      </c>
      <c r="V1313" s="1">
        <v>0</v>
      </c>
    </row>
    <row r="1314" spans="2:22" x14ac:dyDescent="0.15">
      <c r="B1314" s="1" t="str">
        <f>"010****3217"</f>
        <v>010****3217</v>
      </c>
      <c r="C1314" s="1" t="s">
        <v>23</v>
      </c>
      <c r="D1314" s="1" t="str">
        <f t="shared" si="140"/>
        <v>89177328</v>
      </c>
      <c r="E1314" s="1" t="s">
        <v>24</v>
      </c>
      <c r="F1314" s="1" t="str">
        <f t="shared" si="141"/>
        <v>0010</v>
      </c>
      <c r="G1314" s="1" t="str">
        <f>""</f>
        <v/>
      </c>
      <c r="H1314" s="1" t="str">
        <f>"0034"</f>
        <v>0034</v>
      </c>
      <c r="I1314" s="1" t="s">
        <v>31</v>
      </c>
      <c r="J1314" s="1" t="str">
        <f>"01043977568"</f>
        <v>01043977568</v>
      </c>
      <c r="K1314" s="1" t="str">
        <f>"2017-04-02 08:11:44"</f>
        <v>2017-04-02 08:11:44</v>
      </c>
      <c r="L1314" s="1" t="str">
        <f>"2017-04-02 08:11:57"</f>
        <v>2017-04-02 08:11:57</v>
      </c>
      <c r="M1314" s="2">
        <v>1.238425925925926E-2</v>
      </c>
      <c r="N1314" s="1" t="s">
        <v>26</v>
      </c>
      <c r="O1314" s="1" t="s">
        <v>34</v>
      </c>
      <c r="P1314" s="2">
        <v>1.2534722222222223E-2</v>
      </c>
      <c r="Q1314" s="1" t="s">
        <v>1024</v>
      </c>
      <c r="R1314" s="1">
        <v>0</v>
      </c>
      <c r="S1314" s="1" t="str">
        <f>""</f>
        <v/>
      </c>
      <c r="T1314" s="1" t="s">
        <v>29</v>
      </c>
      <c r="U1314" s="1" t="s">
        <v>30</v>
      </c>
      <c r="V1314" s="1">
        <v>0</v>
      </c>
    </row>
    <row r="1315" spans="2:22" x14ac:dyDescent="0.15">
      <c r="B1315" s="1" t="str">
        <f>"133****2102"</f>
        <v>133****2102</v>
      </c>
      <c r="C1315" s="1" t="s">
        <v>645</v>
      </c>
      <c r="D1315" s="1" t="str">
        <f t="shared" si="140"/>
        <v>89177328</v>
      </c>
      <c r="E1315" s="1" t="s">
        <v>181</v>
      </c>
      <c r="F1315" s="1" t="str">
        <f>""</f>
        <v/>
      </c>
      <c r="G1315" s="1" t="str">
        <f>""</f>
        <v/>
      </c>
      <c r="H1315" s="1" t="str">
        <f>""</f>
        <v/>
      </c>
      <c r="I1315" s="1" t="str">
        <f>""</f>
        <v/>
      </c>
      <c r="J1315" s="1" t="str">
        <f>""</f>
        <v/>
      </c>
      <c r="K1315" s="1" t="str">
        <f>"2017-04-02 07:48:25"</f>
        <v>2017-04-02 07:48:25</v>
      </c>
      <c r="L1315" s="1" t="str">
        <f>"2017-04-02 07:48:36"</f>
        <v>2017-04-02 07:48:36</v>
      </c>
      <c r="M1315" s="2">
        <v>1.7361111111111112E-4</v>
      </c>
      <c r="N1315" s="1" t="s">
        <v>55</v>
      </c>
      <c r="O1315" s="1" t="s">
        <v>34</v>
      </c>
      <c r="P1315" s="2">
        <v>3.0092592592592595E-4</v>
      </c>
      <c r="Q1315" s="1" t="s">
        <v>1025</v>
      </c>
      <c r="R1315" s="1">
        <v>0</v>
      </c>
      <c r="S1315" s="1" t="str">
        <f>""</f>
        <v/>
      </c>
      <c r="T1315" s="1" t="s">
        <v>183</v>
      </c>
      <c r="U1315" s="1" t="s">
        <v>30</v>
      </c>
      <c r="V1315" s="1">
        <v>0</v>
      </c>
    </row>
    <row r="1316" spans="2:22" x14ac:dyDescent="0.15">
      <c r="B1316" s="1" t="str">
        <f>"132****3909"</f>
        <v>132****3909</v>
      </c>
      <c r="C1316" s="1" t="s">
        <v>23</v>
      </c>
      <c r="D1316" s="1" t="str">
        <f t="shared" si="140"/>
        <v>89177328</v>
      </c>
      <c r="E1316" s="1" t="s">
        <v>181</v>
      </c>
      <c r="F1316" s="1" t="str">
        <f>""</f>
        <v/>
      </c>
      <c r="G1316" s="1" t="str">
        <f>""</f>
        <v/>
      </c>
      <c r="H1316" s="1" t="str">
        <f>""</f>
        <v/>
      </c>
      <c r="I1316" s="1" t="str">
        <f>""</f>
        <v/>
      </c>
      <c r="J1316" s="1" t="str">
        <f>""</f>
        <v/>
      </c>
      <c r="K1316" s="1" t="str">
        <f>"2017-04-02 06:57:49"</f>
        <v>2017-04-02 06:57:49</v>
      </c>
      <c r="L1316" s="1" t="str">
        <f>"2017-04-02 06:58:00"</f>
        <v>2017-04-02 06:58:00</v>
      </c>
      <c r="M1316" s="2">
        <v>0</v>
      </c>
      <c r="N1316" s="1" t="s">
        <v>55</v>
      </c>
      <c r="O1316" s="1" t="s">
        <v>34</v>
      </c>
      <c r="P1316" s="2">
        <v>1.8518518518518518E-4</v>
      </c>
      <c r="Q1316" s="1" t="str">
        <f>""</f>
        <v/>
      </c>
      <c r="R1316" s="1">
        <v>0</v>
      </c>
      <c r="S1316" s="1" t="str">
        <f>""</f>
        <v/>
      </c>
      <c r="T1316" s="1" t="s">
        <v>183</v>
      </c>
      <c r="U1316" s="1" t="s">
        <v>30</v>
      </c>
      <c r="V1316" s="1">
        <v>0</v>
      </c>
    </row>
    <row r="1317" spans="2:22" x14ac:dyDescent="0.15">
      <c r="B1317" s="1" t="str">
        <f>"185****3144"</f>
        <v>185****3144</v>
      </c>
      <c r="C1317" s="1" t="s">
        <v>126</v>
      </c>
      <c r="D1317" s="1" t="str">
        <f t="shared" si="140"/>
        <v>89177328</v>
      </c>
      <c r="E1317" s="1" t="s">
        <v>181</v>
      </c>
      <c r="F1317" s="1" t="str">
        <f>""</f>
        <v/>
      </c>
      <c r="G1317" s="1" t="str">
        <f>""</f>
        <v/>
      </c>
      <c r="H1317" s="1" t="str">
        <f>""</f>
        <v/>
      </c>
      <c r="I1317" s="1" t="str">
        <f>""</f>
        <v/>
      </c>
      <c r="J1317" s="1" t="str">
        <f>""</f>
        <v/>
      </c>
      <c r="K1317" s="1" t="str">
        <f>"2017-04-01 21:24:40"</f>
        <v>2017-04-01 21:24:40</v>
      </c>
      <c r="L1317" s="1" t="str">
        <f>"2017-04-01 21:24:51"</f>
        <v>2017-04-01 21:24:51</v>
      </c>
      <c r="M1317" s="2">
        <v>1.273148148148148E-4</v>
      </c>
      <c r="N1317" s="1" t="s">
        <v>55</v>
      </c>
      <c r="O1317" s="1" t="s">
        <v>34</v>
      </c>
      <c r="P1317" s="2">
        <v>2.5462962962962961E-4</v>
      </c>
      <c r="Q1317" s="1" t="s">
        <v>1026</v>
      </c>
      <c r="R1317" s="1">
        <v>0</v>
      </c>
      <c r="S1317" s="1" t="str">
        <f>""</f>
        <v/>
      </c>
      <c r="T1317" s="1" t="s">
        <v>183</v>
      </c>
      <c r="U1317" s="1" t="s">
        <v>30</v>
      </c>
      <c r="V1317" s="1">
        <v>0</v>
      </c>
    </row>
    <row r="1318" spans="2:22" x14ac:dyDescent="0.15">
      <c r="B1318" s="1" t="str">
        <f>"116114"</f>
        <v>116114</v>
      </c>
      <c r="C1318" s="1" t="s">
        <v>159</v>
      </c>
      <c r="D1318" s="1" t="str">
        <f t="shared" si="140"/>
        <v>89177328</v>
      </c>
      <c r="E1318" s="1" t="s">
        <v>24</v>
      </c>
      <c r="F1318" s="1" t="str">
        <f t="shared" ref="F1318:F1335" si="142">"0010"</f>
        <v>0010</v>
      </c>
      <c r="G1318" s="1" t="str">
        <f>""</f>
        <v/>
      </c>
      <c r="H1318" s="1" t="str">
        <f>"0035"</f>
        <v>0035</v>
      </c>
      <c r="I1318" s="1" t="s">
        <v>25</v>
      </c>
      <c r="J1318" s="1" t="str">
        <f>"01043977569"</f>
        <v>01043977569</v>
      </c>
      <c r="K1318" s="1" t="str">
        <f>"2017-04-01 20:48:04"</f>
        <v>2017-04-01 20:48:04</v>
      </c>
      <c r="L1318" s="1" t="str">
        <f>"2017-04-01 20:48:15"</f>
        <v>2017-04-01 20:48:15</v>
      </c>
      <c r="M1318" s="2">
        <v>1.3229166666666667E-2</v>
      </c>
      <c r="N1318" s="1" t="s">
        <v>26</v>
      </c>
      <c r="O1318" s="1" t="s">
        <v>27</v>
      </c>
      <c r="P1318" s="2">
        <v>1.3356481481481483E-2</v>
      </c>
      <c r="Q1318" s="1" t="s">
        <v>1027</v>
      </c>
      <c r="R1318" s="1">
        <v>0</v>
      </c>
      <c r="S1318" s="1" t="str">
        <f>""</f>
        <v/>
      </c>
      <c r="T1318" s="1" t="s">
        <v>29</v>
      </c>
      <c r="U1318" s="1" t="s">
        <v>30</v>
      </c>
      <c r="V1318" s="1">
        <v>0</v>
      </c>
    </row>
    <row r="1319" spans="2:22" x14ac:dyDescent="0.15">
      <c r="B1319" s="1" t="str">
        <f>"137****6969"</f>
        <v>137****6969</v>
      </c>
      <c r="C1319" s="1" t="s">
        <v>911</v>
      </c>
      <c r="D1319" s="1" t="str">
        <f t="shared" si="140"/>
        <v>89177328</v>
      </c>
      <c r="E1319" s="1" t="s">
        <v>24</v>
      </c>
      <c r="F1319" s="1" t="str">
        <f t="shared" si="142"/>
        <v>0010</v>
      </c>
      <c r="G1319" s="1" t="str">
        <f>""</f>
        <v/>
      </c>
      <c r="H1319" s="1" t="str">
        <f>"0035"</f>
        <v>0035</v>
      </c>
      <c r="I1319" s="1" t="s">
        <v>25</v>
      </c>
      <c r="J1319" s="1" t="str">
        <f>"01043977569"</f>
        <v>01043977569</v>
      </c>
      <c r="K1319" s="1" t="str">
        <f>"2017-04-01 20:34:37"</f>
        <v>2017-04-01 20:34:37</v>
      </c>
      <c r="L1319" s="1" t="str">
        <f>"2017-04-01 20:34:46"</f>
        <v>2017-04-01 20:34:46</v>
      </c>
      <c r="M1319" s="2">
        <v>8.5069444444444437E-3</v>
      </c>
      <c r="N1319" s="1" t="s">
        <v>26</v>
      </c>
      <c r="O1319" s="1" t="s">
        <v>27</v>
      </c>
      <c r="P1319" s="2">
        <v>8.611111111111111E-3</v>
      </c>
      <c r="Q1319" s="1" t="s">
        <v>1028</v>
      </c>
      <c r="R1319" s="1">
        <v>0</v>
      </c>
      <c r="S1319" s="1" t="str">
        <f>""</f>
        <v/>
      </c>
      <c r="T1319" s="1" t="s">
        <v>29</v>
      </c>
      <c r="U1319" s="1" t="s">
        <v>30</v>
      </c>
      <c r="V1319" s="1">
        <v>0</v>
      </c>
    </row>
    <row r="1320" spans="2:22" x14ac:dyDescent="0.15">
      <c r="B1320" s="1" t="str">
        <f>"0312136****9482"</f>
        <v>0312136****9482</v>
      </c>
      <c r="C1320" s="1" t="s">
        <v>99</v>
      </c>
      <c r="D1320" s="1" t="str">
        <f t="shared" si="140"/>
        <v>89177328</v>
      </c>
      <c r="E1320" s="1" t="s">
        <v>24</v>
      </c>
      <c r="F1320" s="1" t="str">
        <f t="shared" si="142"/>
        <v>0010</v>
      </c>
      <c r="G1320" s="1" t="str">
        <f>""</f>
        <v/>
      </c>
      <c r="H1320" s="1" t="str">
        <f>"0010"</f>
        <v>0010</v>
      </c>
      <c r="I1320" s="1" t="s">
        <v>71</v>
      </c>
      <c r="J1320" s="1" t="str">
        <f>"01043977571"</f>
        <v>01043977571</v>
      </c>
      <c r="K1320" s="1" t="str">
        <f>"2017-04-01 19:44:46"</f>
        <v>2017-04-01 19:44:46</v>
      </c>
      <c r="L1320" s="1" t="str">
        <f>"2017-04-01 19:44:55"</f>
        <v>2017-04-01 19:44:55</v>
      </c>
      <c r="M1320" s="2">
        <v>1.8541666666666668E-2</v>
      </c>
      <c r="N1320" s="1" t="s">
        <v>26</v>
      </c>
      <c r="O1320" s="1" t="s">
        <v>27</v>
      </c>
      <c r="P1320" s="2">
        <v>1.8645833333333334E-2</v>
      </c>
      <c r="Q1320" s="1" t="s">
        <v>1029</v>
      </c>
      <c r="R1320" s="1">
        <v>0</v>
      </c>
      <c r="S1320" s="1" t="str">
        <f>""</f>
        <v/>
      </c>
      <c r="T1320" s="1" t="s">
        <v>29</v>
      </c>
      <c r="U1320" s="1" t="s">
        <v>30</v>
      </c>
      <c r="V1320" s="1">
        <v>0</v>
      </c>
    </row>
    <row r="1321" spans="2:22" x14ac:dyDescent="0.15">
      <c r="B1321" s="1" t="str">
        <f>"137****9506"</f>
        <v>137****9506</v>
      </c>
      <c r="C1321" s="1" t="s">
        <v>51</v>
      </c>
      <c r="D1321" s="1" t="str">
        <f t="shared" si="140"/>
        <v>89177328</v>
      </c>
      <c r="E1321" s="1" t="s">
        <v>24</v>
      </c>
      <c r="F1321" s="1" t="str">
        <f t="shared" si="142"/>
        <v>0010</v>
      </c>
      <c r="G1321" s="1" t="str">
        <f>""</f>
        <v/>
      </c>
      <c r="H1321" s="1" t="str">
        <f>"0018"</f>
        <v>0018</v>
      </c>
      <c r="I1321" s="1" t="s">
        <v>36</v>
      </c>
      <c r="J1321" s="1" t="str">
        <f>"01043977572"</f>
        <v>01043977572</v>
      </c>
      <c r="K1321" s="1" t="str">
        <f>"2017-04-01 19:31:32"</f>
        <v>2017-04-01 19:31:32</v>
      </c>
      <c r="L1321" s="1" t="str">
        <f>"2017-04-01 19:31:48"</f>
        <v>2017-04-01 19:31:48</v>
      </c>
      <c r="M1321" s="2">
        <v>1.0729166666666666E-2</v>
      </c>
      <c r="N1321" s="1" t="s">
        <v>26</v>
      </c>
      <c r="O1321" s="1" t="s">
        <v>34</v>
      </c>
      <c r="P1321" s="2">
        <v>1.091435185185185E-2</v>
      </c>
      <c r="Q1321" s="1" t="s">
        <v>1030</v>
      </c>
      <c r="R1321" s="1">
        <v>0</v>
      </c>
      <c r="S1321" s="1" t="str">
        <f>""</f>
        <v/>
      </c>
      <c r="T1321" s="1" t="s">
        <v>29</v>
      </c>
      <c r="U1321" s="1" t="s">
        <v>30</v>
      </c>
      <c r="V1321" s="1">
        <v>0</v>
      </c>
    </row>
    <row r="1322" spans="2:22" x14ac:dyDescent="0.15">
      <c r="B1322" s="1" t="str">
        <f>"133****8988"</f>
        <v>133****8988</v>
      </c>
      <c r="C1322" s="1" t="s">
        <v>237</v>
      </c>
      <c r="D1322" s="1" t="str">
        <f t="shared" si="140"/>
        <v>89177328</v>
      </c>
      <c r="E1322" s="1" t="s">
        <v>24</v>
      </c>
      <c r="F1322" s="1" t="str">
        <f t="shared" si="142"/>
        <v>0010</v>
      </c>
      <c r="G1322" s="1" t="str">
        <f>""</f>
        <v/>
      </c>
      <c r="H1322" s="1" t="str">
        <f>"0018"</f>
        <v>0018</v>
      </c>
      <c r="I1322" s="1" t="s">
        <v>36</v>
      </c>
      <c r="J1322" s="1" t="str">
        <f>"01043977572"</f>
        <v>01043977572</v>
      </c>
      <c r="K1322" s="1" t="str">
        <f>"2017-04-01 19:28:29"</f>
        <v>2017-04-01 19:28:29</v>
      </c>
      <c r="L1322" s="1" t="str">
        <f>"2017-04-01 19:28:40"</f>
        <v>2017-04-01 19:28:40</v>
      </c>
      <c r="M1322" s="2">
        <v>1.9560185185185184E-3</v>
      </c>
      <c r="N1322" s="1" t="s">
        <v>26</v>
      </c>
      <c r="O1322" s="1" t="s">
        <v>34</v>
      </c>
      <c r="P1322" s="2">
        <v>2.0833333333333333E-3</v>
      </c>
      <c r="Q1322" s="1" t="s">
        <v>1031</v>
      </c>
      <c r="R1322" s="1">
        <v>0</v>
      </c>
      <c r="S1322" s="1" t="str">
        <f>""</f>
        <v/>
      </c>
      <c r="T1322" s="1" t="s">
        <v>29</v>
      </c>
      <c r="U1322" s="1" t="s">
        <v>30</v>
      </c>
      <c r="V1322" s="1">
        <v>0</v>
      </c>
    </row>
    <row r="1323" spans="2:22" x14ac:dyDescent="0.15">
      <c r="B1323" s="1" t="str">
        <f>"137****8039"</f>
        <v>137****8039</v>
      </c>
      <c r="C1323" s="1" t="s">
        <v>23</v>
      </c>
      <c r="D1323" s="1" t="str">
        <f t="shared" si="140"/>
        <v>89177328</v>
      </c>
      <c r="E1323" s="1" t="s">
        <v>24</v>
      </c>
      <c r="F1323" s="1" t="str">
        <f t="shared" si="142"/>
        <v>0010</v>
      </c>
      <c r="G1323" s="1" t="str">
        <f>""</f>
        <v/>
      </c>
      <c r="H1323" s="1" t="str">
        <f>"0017"</f>
        <v>0017</v>
      </c>
      <c r="I1323" s="1" t="s">
        <v>135</v>
      </c>
      <c r="J1323" s="1" t="str">
        <f>"01043989717"</f>
        <v>01043989717</v>
      </c>
      <c r="K1323" s="1" t="str">
        <f>"2017-04-01 19:10:31"</f>
        <v>2017-04-01 19:10:31</v>
      </c>
      <c r="L1323" s="1" t="str">
        <f>"2017-04-01 19:10:39"</f>
        <v>2017-04-01 19:10:39</v>
      </c>
      <c r="M1323" s="2">
        <v>1.4953703703703705E-2</v>
      </c>
      <c r="N1323" s="1" t="s">
        <v>26</v>
      </c>
      <c r="O1323" s="1" t="s">
        <v>27</v>
      </c>
      <c r="P1323" s="2">
        <v>1.5046296296296295E-2</v>
      </c>
      <c r="Q1323" s="1" t="s">
        <v>1032</v>
      </c>
      <c r="R1323" s="1">
        <v>0</v>
      </c>
      <c r="S1323" s="1" t="str">
        <f>""</f>
        <v/>
      </c>
      <c r="T1323" s="1" t="s">
        <v>29</v>
      </c>
      <c r="U1323" s="1" t="s">
        <v>30</v>
      </c>
      <c r="V1323" s="1">
        <v>0</v>
      </c>
    </row>
    <row r="1324" spans="2:22" x14ac:dyDescent="0.15">
      <c r="B1324" s="1" t="str">
        <f>"156****4212"</f>
        <v>156****4212</v>
      </c>
      <c r="C1324" s="1" t="s">
        <v>23</v>
      </c>
      <c r="D1324" s="1" t="str">
        <f t="shared" si="140"/>
        <v>89177328</v>
      </c>
      <c r="E1324" s="1" t="s">
        <v>24</v>
      </c>
      <c r="F1324" s="1" t="str">
        <f t="shared" si="142"/>
        <v>0010</v>
      </c>
      <c r="G1324" s="1" t="str">
        <f>""</f>
        <v/>
      </c>
      <c r="H1324" s="1" t="str">
        <f>"0035"</f>
        <v>0035</v>
      </c>
      <c r="I1324" s="1" t="s">
        <v>25</v>
      </c>
      <c r="J1324" s="1" t="str">
        <f>"01043977569"</f>
        <v>01043977569</v>
      </c>
      <c r="K1324" s="1" t="str">
        <f>"2017-04-01 19:03:19"</f>
        <v>2017-04-01 19:03:19</v>
      </c>
      <c r="L1324" s="1" t="str">
        <f>"2017-04-01 19:03:30"</f>
        <v>2017-04-01 19:03:30</v>
      </c>
      <c r="M1324" s="2">
        <v>5.115740740740741E-3</v>
      </c>
      <c r="N1324" s="1" t="s">
        <v>26</v>
      </c>
      <c r="O1324" s="1" t="s">
        <v>27</v>
      </c>
      <c r="P1324" s="2">
        <v>5.2430555555555555E-3</v>
      </c>
      <c r="Q1324" s="1" t="s">
        <v>1033</v>
      </c>
      <c r="R1324" s="1">
        <v>0</v>
      </c>
      <c r="S1324" s="1" t="str">
        <f>""</f>
        <v/>
      </c>
      <c r="T1324" s="1" t="s">
        <v>29</v>
      </c>
      <c r="U1324" s="1" t="s">
        <v>30</v>
      </c>
      <c r="V1324" s="1">
        <v>0</v>
      </c>
    </row>
    <row r="1325" spans="2:22" x14ac:dyDescent="0.15">
      <c r="B1325" s="1" t="str">
        <f>"188****2012"</f>
        <v>188****2012</v>
      </c>
      <c r="C1325" s="1" t="s">
        <v>703</v>
      </c>
      <c r="D1325" s="1" t="str">
        <f t="shared" si="140"/>
        <v>89177328</v>
      </c>
      <c r="E1325" s="1" t="s">
        <v>24</v>
      </c>
      <c r="F1325" s="1" t="str">
        <f t="shared" si="142"/>
        <v>0010</v>
      </c>
      <c r="G1325" s="1" t="str">
        <f>""</f>
        <v/>
      </c>
      <c r="H1325" s="1" t="str">
        <f>"0018"</f>
        <v>0018</v>
      </c>
      <c r="I1325" s="1" t="s">
        <v>36</v>
      </c>
      <c r="J1325" s="1" t="str">
        <f>"01043977572"</f>
        <v>01043977572</v>
      </c>
      <c r="K1325" s="1" t="str">
        <f>"2017-04-01 19:02:54"</f>
        <v>2017-04-01 19:02:54</v>
      </c>
      <c r="L1325" s="1" t="str">
        <f>"2017-04-01 19:03:03"</f>
        <v>2017-04-01 19:03:03</v>
      </c>
      <c r="M1325" s="2">
        <v>1.2488425925925925E-2</v>
      </c>
      <c r="N1325" s="1" t="s">
        <v>26</v>
      </c>
      <c r="O1325" s="1" t="s">
        <v>34</v>
      </c>
      <c r="P1325" s="2">
        <v>1.2592592592592593E-2</v>
      </c>
      <c r="Q1325" s="1" t="s">
        <v>1034</v>
      </c>
      <c r="R1325" s="1">
        <v>0</v>
      </c>
      <c r="S1325" s="1" t="str">
        <f>""</f>
        <v/>
      </c>
      <c r="T1325" s="1" t="s">
        <v>29</v>
      </c>
      <c r="U1325" s="1" t="s">
        <v>30</v>
      </c>
      <c r="V1325" s="1">
        <v>0</v>
      </c>
    </row>
    <row r="1326" spans="2:22" x14ac:dyDescent="0.15">
      <c r="B1326" s="1" t="str">
        <f>"159****8000"</f>
        <v>159****8000</v>
      </c>
      <c r="C1326" s="1" t="s">
        <v>112</v>
      </c>
      <c r="D1326" s="1" t="str">
        <f t="shared" si="140"/>
        <v>89177328</v>
      </c>
      <c r="E1326" s="1" t="s">
        <v>24</v>
      </c>
      <c r="F1326" s="1" t="str">
        <f t="shared" si="142"/>
        <v>0010</v>
      </c>
      <c r="G1326" s="1" t="str">
        <f>""</f>
        <v/>
      </c>
      <c r="H1326" s="1" t="str">
        <f>"0017"</f>
        <v>0017</v>
      </c>
      <c r="I1326" s="1" t="s">
        <v>135</v>
      </c>
      <c r="J1326" s="1" t="str">
        <f>"01043989717"</f>
        <v>01043989717</v>
      </c>
      <c r="K1326" s="1" t="str">
        <f>"2017-04-01 18:51:35"</f>
        <v>2017-04-01 18:51:35</v>
      </c>
      <c r="L1326" s="1" t="str">
        <f>"2017-04-01 18:51:44"</f>
        <v>2017-04-01 18:51:44</v>
      </c>
      <c r="M1326" s="2">
        <v>5.3356481481481484E-3</v>
      </c>
      <c r="N1326" s="1" t="s">
        <v>26</v>
      </c>
      <c r="O1326" s="1" t="s">
        <v>27</v>
      </c>
      <c r="P1326" s="2">
        <v>5.4398148148148149E-3</v>
      </c>
      <c r="Q1326" s="1" t="s">
        <v>1035</v>
      </c>
      <c r="R1326" s="1">
        <v>0</v>
      </c>
      <c r="S1326" s="1" t="str">
        <f>""</f>
        <v/>
      </c>
      <c r="T1326" s="1" t="s">
        <v>29</v>
      </c>
      <c r="U1326" s="1" t="s">
        <v>30</v>
      </c>
      <c r="V1326" s="1">
        <v>0</v>
      </c>
    </row>
    <row r="1327" spans="2:22" x14ac:dyDescent="0.15">
      <c r="B1327" s="1" t="str">
        <f>"189****1650"</f>
        <v>189****1650</v>
      </c>
      <c r="C1327" s="1" t="s">
        <v>23</v>
      </c>
      <c r="D1327" s="1" t="str">
        <f t="shared" si="140"/>
        <v>89177328</v>
      </c>
      <c r="E1327" s="1" t="s">
        <v>24</v>
      </c>
      <c r="F1327" s="1" t="str">
        <f t="shared" si="142"/>
        <v>0010</v>
      </c>
      <c r="G1327" s="1" t="str">
        <f>""</f>
        <v/>
      </c>
      <c r="H1327" s="1" t="str">
        <f>"0017"</f>
        <v>0017</v>
      </c>
      <c r="I1327" s="1" t="s">
        <v>135</v>
      </c>
      <c r="J1327" s="1" t="str">
        <f>"01043989717"</f>
        <v>01043989717</v>
      </c>
      <c r="K1327" s="1" t="str">
        <f>"2017-04-01 18:29:43"</f>
        <v>2017-04-01 18:29:43</v>
      </c>
      <c r="L1327" s="1" t="str">
        <f>"2017-04-01 18:29:54"</f>
        <v>2017-04-01 18:29:54</v>
      </c>
      <c r="M1327" s="2">
        <v>1.2708333333333334E-2</v>
      </c>
      <c r="N1327" s="1" t="s">
        <v>26</v>
      </c>
      <c r="O1327" s="1" t="s">
        <v>27</v>
      </c>
      <c r="P1327" s="2">
        <v>1.283564814814815E-2</v>
      </c>
      <c r="Q1327" s="1" t="s">
        <v>1036</v>
      </c>
      <c r="R1327" s="1">
        <v>0</v>
      </c>
      <c r="S1327" s="1" t="str">
        <f>""</f>
        <v/>
      </c>
      <c r="T1327" s="1" t="s">
        <v>29</v>
      </c>
      <c r="U1327" s="1" t="s">
        <v>30</v>
      </c>
      <c r="V1327" s="1">
        <v>0</v>
      </c>
    </row>
    <row r="1328" spans="2:22" x14ac:dyDescent="0.15">
      <c r="B1328" s="1" t="str">
        <f>"136****1465"</f>
        <v>136****1465</v>
      </c>
      <c r="C1328" s="1" t="s">
        <v>23</v>
      </c>
      <c r="D1328" s="1" t="str">
        <f t="shared" si="140"/>
        <v>89177328</v>
      </c>
      <c r="E1328" s="1" t="s">
        <v>24</v>
      </c>
      <c r="F1328" s="1" t="str">
        <f t="shared" si="142"/>
        <v>0010</v>
      </c>
      <c r="G1328" s="1" t="str">
        <f>""</f>
        <v/>
      </c>
      <c r="H1328" s="1" t="str">
        <f>"0017"</f>
        <v>0017</v>
      </c>
      <c r="I1328" s="1" t="s">
        <v>135</v>
      </c>
      <c r="J1328" s="1" t="str">
        <f>"01043989717"</f>
        <v>01043989717</v>
      </c>
      <c r="K1328" s="1" t="str">
        <f>"2017-04-01 18:12:28"</f>
        <v>2017-04-01 18:12:28</v>
      </c>
      <c r="L1328" s="1" t="str">
        <f>"2017-04-01 18:12:36"</f>
        <v>2017-04-01 18:12:36</v>
      </c>
      <c r="M1328" s="2">
        <v>1.0960648148148148E-2</v>
      </c>
      <c r="N1328" s="1" t="s">
        <v>26</v>
      </c>
      <c r="O1328" s="1" t="s">
        <v>34</v>
      </c>
      <c r="P1328" s="2">
        <v>1.105324074074074E-2</v>
      </c>
      <c r="Q1328" s="1" t="s">
        <v>1037</v>
      </c>
      <c r="R1328" s="1">
        <v>0</v>
      </c>
      <c r="S1328" s="1" t="str">
        <f>""</f>
        <v/>
      </c>
      <c r="T1328" s="1" t="s">
        <v>29</v>
      </c>
      <c r="U1328" s="1" t="s">
        <v>30</v>
      </c>
      <c r="V1328" s="1">
        <v>0</v>
      </c>
    </row>
    <row r="1329" spans="2:22" x14ac:dyDescent="0.15">
      <c r="B1329" s="1" t="str">
        <f>"186****5886"</f>
        <v>186****5886</v>
      </c>
      <c r="C1329" s="1" t="s">
        <v>51</v>
      </c>
      <c r="D1329" s="1" t="str">
        <f t="shared" si="140"/>
        <v>89177328</v>
      </c>
      <c r="E1329" s="1" t="s">
        <v>24</v>
      </c>
      <c r="F1329" s="1" t="str">
        <f t="shared" si="142"/>
        <v>0010</v>
      </c>
      <c r="G1329" s="1" t="str">
        <f>""</f>
        <v/>
      </c>
      <c r="H1329" s="1" t="str">
        <f>"0036"</f>
        <v>0036</v>
      </c>
      <c r="I1329" s="1" t="s">
        <v>143</v>
      </c>
      <c r="J1329" s="1" t="str">
        <f>"01043977573"</f>
        <v>01043977573</v>
      </c>
      <c r="K1329" s="1" t="str">
        <f>"2017-04-01 17:57:47"</f>
        <v>2017-04-01 17:57:47</v>
      </c>
      <c r="L1329" s="1" t="str">
        <f>"2017-04-01 17:57:52"</f>
        <v>2017-04-01 17:57:52</v>
      </c>
      <c r="M1329" s="2">
        <v>1.3310185185185187E-2</v>
      </c>
      <c r="N1329" s="1" t="s">
        <v>26</v>
      </c>
      <c r="O1329" s="1" t="s">
        <v>34</v>
      </c>
      <c r="P1329" s="2">
        <v>1.3368055555555557E-2</v>
      </c>
      <c r="Q1329" s="1" t="s">
        <v>1038</v>
      </c>
      <c r="R1329" s="1">
        <v>0</v>
      </c>
      <c r="S1329" s="1" t="str">
        <f>""</f>
        <v/>
      </c>
      <c r="T1329" s="1" t="s">
        <v>29</v>
      </c>
      <c r="U1329" s="1" t="s">
        <v>30</v>
      </c>
      <c r="V1329" s="1">
        <v>0</v>
      </c>
    </row>
    <row r="1330" spans="2:22" x14ac:dyDescent="0.15">
      <c r="B1330" s="1" t="str">
        <f>"0316138****9960"</f>
        <v>0316138****9960</v>
      </c>
      <c r="C1330" s="1" t="s">
        <v>51</v>
      </c>
      <c r="D1330" s="1" t="str">
        <f t="shared" si="140"/>
        <v>89177328</v>
      </c>
      <c r="E1330" s="1" t="s">
        <v>24</v>
      </c>
      <c r="F1330" s="1" t="str">
        <f t="shared" si="142"/>
        <v>0010</v>
      </c>
      <c r="G1330" s="1" t="str">
        <f>""</f>
        <v/>
      </c>
      <c r="H1330" s="1" t="str">
        <f>"0018"</f>
        <v>0018</v>
      </c>
      <c r="I1330" s="1" t="s">
        <v>36</v>
      </c>
      <c r="J1330" s="1" t="str">
        <f>"01043977572"</f>
        <v>01043977572</v>
      </c>
      <c r="K1330" s="1" t="str">
        <f>"2017-04-01 17:41:36"</f>
        <v>2017-04-01 17:41:36</v>
      </c>
      <c r="L1330" s="1" t="str">
        <f>"2017-04-01 17:41:46"</f>
        <v>2017-04-01 17:41:46</v>
      </c>
      <c r="M1330" s="2">
        <v>1.2858796296296297E-2</v>
      </c>
      <c r="N1330" s="1" t="s">
        <v>26</v>
      </c>
      <c r="O1330" s="1" t="s">
        <v>34</v>
      </c>
      <c r="P1330" s="2">
        <v>1.2974537037037036E-2</v>
      </c>
      <c r="Q1330" s="1" t="s">
        <v>1039</v>
      </c>
      <c r="R1330" s="1">
        <v>0</v>
      </c>
      <c r="S1330" s="1" t="str">
        <f>""</f>
        <v/>
      </c>
      <c r="T1330" s="1" t="s">
        <v>29</v>
      </c>
      <c r="U1330" s="1" t="s">
        <v>30</v>
      </c>
      <c r="V1330" s="1">
        <v>0</v>
      </c>
    </row>
    <row r="1331" spans="2:22" x14ac:dyDescent="0.15">
      <c r="B1331" s="1" t="str">
        <f>"155****5702"</f>
        <v>155****5702</v>
      </c>
      <c r="C1331" s="1" t="s">
        <v>51</v>
      </c>
      <c r="D1331" s="1" t="str">
        <f t="shared" si="140"/>
        <v>89177328</v>
      </c>
      <c r="E1331" s="1" t="s">
        <v>24</v>
      </c>
      <c r="F1331" s="1" t="str">
        <f t="shared" si="142"/>
        <v>0010</v>
      </c>
      <c r="G1331" s="1" t="str">
        <f>""</f>
        <v/>
      </c>
      <c r="H1331" s="1" t="str">
        <f>"0036"</f>
        <v>0036</v>
      </c>
      <c r="I1331" s="1" t="s">
        <v>143</v>
      </c>
      <c r="J1331" s="1" t="str">
        <f>"01043977573"</f>
        <v>01043977573</v>
      </c>
      <c r="K1331" s="1" t="str">
        <f>"2017-04-01 17:39:13"</f>
        <v>2017-04-01 17:39:13</v>
      </c>
      <c r="L1331" s="1" t="str">
        <f>"2017-04-01 17:39:19"</f>
        <v>2017-04-01 17:39:19</v>
      </c>
      <c r="M1331" s="2">
        <v>1.0254629629629629E-2</v>
      </c>
      <c r="N1331" s="1" t="s">
        <v>26</v>
      </c>
      <c r="O1331" s="1" t="s">
        <v>34</v>
      </c>
      <c r="P1331" s="2">
        <v>1.0324074074074074E-2</v>
      </c>
      <c r="Q1331" s="1" t="s">
        <v>1040</v>
      </c>
      <c r="R1331" s="1">
        <v>0</v>
      </c>
      <c r="S1331" s="1" t="str">
        <f>""</f>
        <v/>
      </c>
      <c r="T1331" s="1" t="s">
        <v>29</v>
      </c>
      <c r="U1331" s="1" t="s">
        <v>30</v>
      </c>
      <c r="V1331" s="1">
        <v>0</v>
      </c>
    </row>
    <row r="1332" spans="2:22" x14ac:dyDescent="0.15">
      <c r="B1332" s="1" t="str">
        <f>"133****0287"</f>
        <v>133****0287</v>
      </c>
      <c r="C1332" s="1" t="s">
        <v>23</v>
      </c>
      <c r="D1332" s="1" t="str">
        <f t="shared" si="140"/>
        <v>89177328</v>
      </c>
      <c r="E1332" s="1" t="s">
        <v>24</v>
      </c>
      <c r="F1332" s="1" t="str">
        <f t="shared" si="142"/>
        <v>0010</v>
      </c>
      <c r="G1332" s="1" t="str">
        <f>""</f>
        <v/>
      </c>
      <c r="H1332" s="1" t="str">
        <f>"0036"</f>
        <v>0036</v>
      </c>
      <c r="I1332" s="1" t="s">
        <v>143</v>
      </c>
      <c r="J1332" s="1" t="str">
        <f>"01043977573"</f>
        <v>01043977573</v>
      </c>
      <c r="K1332" s="1" t="str">
        <f>"2017-04-01 17:16:26"</f>
        <v>2017-04-01 17:16:26</v>
      </c>
      <c r="L1332" s="1" t="str">
        <f>"2017-04-01 17:16:32"</f>
        <v>2017-04-01 17:16:32</v>
      </c>
      <c r="M1332" s="2">
        <v>6.5393518518518517E-3</v>
      </c>
      <c r="N1332" s="1" t="s">
        <v>26</v>
      </c>
      <c r="O1332" s="1" t="s">
        <v>34</v>
      </c>
      <c r="P1332" s="2">
        <v>6.6087962962962966E-3</v>
      </c>
      <c r="Q1332" s="1" t="s">
        <v>1041</v>
      </c>
      <c r="R1332" s="1">
        <v>0</v>
      </c>
      <c r="S1332" s="1" t="str">
        <f>""</f>
        <v/>
      </c>
      <c r="T1332" s="1" t="s">
        <v>29</v>
      </c>
      <c r="U1332" s="1" t="s">
        <v>30</v>
      </c>
      <c r="V1332" s="1">
        <v>0</v>
      </c>
    </row>
    <row r="1333" spans="2:22" x14ac:dyDescent="0.15">
      <c r="B1333" s="1" t="str">
        <f>"133****9597"</f>
        <v>133****9597</v>
      </c>
      <c r="C1333" s="1" t="s">
        <v>23</v>
      </c>
      <c r="D1333" s="1" t="str">
        <f t="shared" si="140"/>
        <v>89177328</v>
      </c>
      <c r="E1333" s="1" t="s">
        <v>24</v>
      </c>
      <c r="F1333" s="1" t="str">
        <f t="shared" si="142"/>
        <v>0010</v>
      </c>
      <c r="G1333" s="1" t="str">
        <f>""</f>
        <v/>
      </c>
      <c r="H1333" s="1" t="str">
        <f>"0036"</f>
        <v>0036</v>
      </c>
      <c r="I1333" s="1" t="s">
        <v>143</v>
      </c>
      <c r="J1333" s="1" t="str">
        <f>"01043977573"</f>
        <v>01043977573</v>
      </c>
      <c r="K1333" s="1" t="str">
        <f>"2017-04-01 17:01:08"</f>
        <v>2017-04-01 17:01:08</v>
      </c>
      <c r="L1333" s="1" t="str">
        <f>"2017-04-01 17:01:12"</f>
        <v>2017-04-01 17:01:12</v>
      </c>
      <c r="M1333" s="2">
        <v>3.4722222222222222E-5</v>
      </c>
      <c r="N1333" s="1" t="s">
        <v>26</v>
      </c>
      <c r="O1333" s="1" t="s">
        <v>34</v>
      </c>
      <c r="P1333" s="2">
        <v>8.1018518518518516E-5</v>
      </c>
      <c r="Q1333" s="1" t="str">
        <f>""</f>
        <v/>
      </c>
      <c r="R1333" s="1">
        <v>0</v>
      </c>
      <c r="S1333" s="1" t="str">
        <f>""</f>
        <v/>
      </c>
      <c r="T1333" s="1" t="s">
        <v>29</v>
      </c>
      <c r="U1333" s="1" t="s">
        <v>30</v>
      </c>
      <c r="V1333" s="1">
        <v>0</v>
      </c>
    </row>
    <row r="1334" spans="2:22" x14ac:dyDescent="0.15">
      <c r="B1334" s="1" t="str">
        <f>"136****0764"</f>
        <v>136****0764</v>
      </c>
      <c r="C1334" s="1" t="s">
        <v>23</v>
      </c>
      <c r="D1334" s="1" t="str">
        <f t="shared" si="140"/>
        <v>89177328</v>
      </c>
      <c r="E1334" s="1" t="s">
        <v>24</v>
      </c>
      <c r="F1334" s="1" t="str">
        <f t="shared" si="142"/>
        <v>0010</v>
      </c>
      <c r="G1334" s="1" t="str">
        <f>""</f>
        <v/>
      </c>
      <c r="H1334" s="1" t="str">
        <f>"0036"</f>
        <v>0036</v>
      </c>
      <c r="I1334" s="1" t="s">
        <v>143</v>
      </c>
      <c r="J1334" s="1" t="str">
        <f>"01043977573"</f>
        <v>01043977573</v>
      </c>
      <c r="K1334" s="1" t="str">
        <f>"2017-04-01 16:59:08"</f>
        <v>2017-04-01 16:59:08</v>
      </c>
      <c r="L1334" s="1" t="str">
        <f>"2017-04-01 16:59:11"</f>
        <v>2017-04-01 16:59:11</v>
      </c>
      <c r="M1334" s="2">
        <v>3.1250000000000001E-4</v>
      </c>
      <c r="N1334" s="1" t="s">
        <v>26</v>
      </c>
      <c r="O1334" s="1" t="s">
        <v>27</v>
      </c>
      <c r="P1334" s="2">
        <v>3.4722222222222224E-4</v>
      </c>
      <c r="Q1334" s="1" t="s">
        <v>1042</v>
      </c>
      <c r="R1334" s="1">
        <v>0</v>
      </c>
      <c r="S1334" s="1" t="str">
        <f>""</f>
        <v/>
      </c>
      <c r="T1334" s="1" t="s">
        <v>29</v>
      </c>
      <c r="U1334" s="1" t="s">
        <v>30</v>
      </c>
      <c r="V1334" s="1">
        <v>0</v>
      </c>
    </row>
    <row r="1335" spans="2:22" x14ac:dyDescent="0.15">
      <c r="B1335" s="1" t="str">
        <f>"133****9597"</f>
        <v>133****9597</v>
      </c>
      <c r="C1335" s="1" t="s">
        <v>23</v>
      </c>
      <c r="D1335" s="1" t="str">
        <f t="shared" si="140"/>
        <v>89177328</v>
      </c>
      <c r="E1335" s="1" t="s">
        <v>24</v>
      </c>
      <c r="F1335" s="1" t="str">
        <f t="shared" si="142"/>
        <v>0010</v>
      </c>
      <c r="G1335" s="1" t="str">
        <f>""</f>
        <v/>
      </c>
      <c r="H1335" s="1" t="str">
        <f>"0036"</f>
        <v>0036</v>
      </c>
      <c r="I1335" s="1" t="s">
        <v>143</v>
      </c>
      <c r="J1335" s="1" t="str">
        <f>"01043977573"</f>
        <v>01043977573</v>
      </c>
      <c r="K1335" s="1" t="str">
        <f>"2017-04-01 16:56:33"</f>
        <v>2017-04-01 16:56:33</v>
      </c>
      <c r="L1335" s="1" t="str">
        <f>"-"</f>
        <v>-</v>
      </c>
      <c r="M1335" s="2">
        <v>0</v>
      </c>
      <c r="N1335" s="1" t="s">
        <v>33</v>
      </c>
      <c r="O1335" s="1" t="s">
        <v>34</v>
      </c>
      <c r="P1335" s="2">
        <v>8.1018518518518516E-5</v>
      </c>
      <c r="Q1335" s="1" t="str">
        <f>""</f>
        <v/>
      </c>
      <c r="R1335" s="1">
        <v>0</v>
      </c>
      <c r="S1335" s="1" t="str">
        <f>""</f>
        <v/>
      </c>
      <c r="T1335" s="1" t="s">
        <v>29</v>
      </c>
      <c r="U1335" s="1" t="s">
        <v>30</v>
      </c>
      <c r="V1335" s="1">
        <v>0</v>
      </c>
    </row>
    <row r="1336" spans="2:22" x14ac:dyDescent="0.15">
      <c r="B1336" s="1" t="str">
        <f>"010****4390"</f>
        <v>010****4390</v>
      </c>
      <c r="C1336" s="1" t="s">
        <v>23</v>
      </c>
      <c r="D1336" s="1" t="str">
        <f>"4000108333"</f>
        <v>4000108333</v>
      </c>
      <c r="E1336" s="1" t="s">
        <v>53</v>
      </c>
      <c r="F1336" s="1" t="str">
        <f>""</f>
        <v/>
      </c>
      <c r="G1336" s="1" t="str">
        <f>""</f>
        <v/>
      </c>
      <c r="H1336" s="1" t="str">
        <f>""</f>
        <v/>
      </c>
      <c r="I1336" s="1" t="str">
        <f>""</f>
        <v/>
      </c>
      <c r="J1336" s="1" t="str">
        <f>""</f>
        <v/>
      </c>
      <c r="K1336" s="1" t="str">
        <f>"2017-04-01 16:55:57"</f>
        <v>2017-04-01 16:55:57</v>
      </c>
      <c r="L1336" s="1" t="str">
        <f>"-"</f>
        <v>-</v>
      </c>
      <c r="M1336" s="2">
        <v>0</v>
      </c>
      <c r="N1336" s="1" t="s">
        <v>33</v>
      </c>
      <c r="O1336" s="1" t="s">
        <v>27</v>
      </c>
      <c r="P1336" s="2">
        <v>1.273148148148148E-4</v>
      </c>
      <c r="Q1336" s="1" t="str">
        <f>""</f>
        <v/>
      </c>
      <c r="R1336" s="1">
        <v>0.12</v>
      </c>
      <c r="S1336" s="1" t="str">
        <f>""</f>
        <v/>
      </c>
      <c r="T1336" s="1" t="s">
        <v>29</v>
      </c>
      <c r="U1336" s="1" t="s">
        <v>30</v>
      </c>
      <c r="V1336" s="1">
        <v>0</v>
      </c>
    </row>
    <row r="1337" spans="2:22" x14ac:dyDescent="0.15">
      <c r="B1337" s="1" t="str">
        <f>"136****0764"</f>
        <v>136****0764</v>
      </c>
      <c r="C1337" s="1" t="s">
        <v>23</v>
      </c>
      <c r="D1337" s="1" t="str">
        <f t="shared" ref="D1337:D1371" si="143">"89177328"</f>
        <v>89177328</v>
      </c>
      <c r="E1337" s="1" t="s">
        <v>24</v>
      </c>
      <c r="F1337" s="1" t="str">
        <f t="shared" ref="F1337:F1371" si="144">"0010"</f>
        <v>0010</v>
      </c>
      <c r="G1337" s="1" t="str">
        <f>""</f>
        <v/>
      </c>
      <c r="H1337" s="1" t="str">
        <f>"0036"</f>
        <v>0036</v>
      </c>
      <c r="I1337" s="1" t="s">
        <v>143</v>
      </c>
      <c r="J1337" s="1" t="str">
        <f>"01043977573"</f>
        <v>01043977573</v>
      </c>
      <c r="K1337" s="1" t="str">
        <f>"2017-04-01 16:54:29"</f>
        <v>2017-04-01 16:54:29</v>
      </c>
      <c r="L1337" s="1" t="str">
        <f>"-"</f>
        <v>-</v>
      </c>
      <c r="M1337" s="2">
        <v>0</v>
      </c>
      <c r="N1337" s="1" t="s">
        <v>33</v>
      </c>
      <c r="O1337" s="1" t="s">
        <v>34</v>
      </c>
      <c r="P1337" s="2">
        <v>1.1574074074074073E-4</v>
      </c>
      <c r="Q1337" s="1" t="str">
        <f>""</f>
        <v/>
      </c>
      <c r="R1337" s="1">
        <v>0</v>
      </c>
      <c r="S1337" s="1" t="str">
        <f>""</f>
        <v/>
      </c>
      <c r="T1337" s="1" t="s">
        <v>29</v>
      </c>
      <c r="U1337" s="1" t="s">
        <v>30</v>
      </c>
      <c r="V1337" s="1">
        <v>0</v>
      </c>
    </row>
    <row r="1338" spans="2:22" x14ac:dyDescent="0.15">
      <c r="B1338" s="1" t="str">
        <f>"133****9597"</f>
        <v>133****9597</v>
      </c>
      <c r="C1338" s="1" t="s">
        <v>23</v>
      </c>
      <c r="D1338" s="1" t="str">
        <f t="shared" si="143"/>
        <v>89177328</v>
      </c>
      <c r="E1338" s="1" t="s">
        <v>24</v>
      </c>
      <c r="F1338" s="1" t="str">
        <f t="shared" si="144"/>
        <v>0010</v>
      </c>
      <c r="G1338" s="1" t="str">
        <f>""</f>
        <v/>
      </c>
      <c r="H1338" s="1" t="str">
        <f>"0036"</f>
        <v>0036</v>
      </c>
      <c r="I1338" s="1" t="s">
        <v>143</v>
      </c>
      <c r="J1338" s="1" t="str">
        <f>"01043977573"</f>
        <v>01043977573</v>
      </c>
      <c r="K1338" s="1" t="str">
        <f>"2017-04-01 16:53:00"</f>
        <v>2017-04-01 16:53:00</v>
      </c>
      <c r="L1338" s="1" t="str">
        <f>"2017-04-01 16:53:05"</f>
        <v>2017-04-01 16:53:05</v>
      </c>
      <c r="M1338" s="2">
        <v>0</v>
      </c>
      <c r="N1338" s="1" t="s">
        <v>26</v>
      </c>
      <c r="O1338" s="1" t="s">
        <v>34</v>
      </c>
      <c r="P1338" s="2">
        <v>5.7870370370370366E-5</v>
      </c>
      <c r="Q1338" s="1" t="str">
        <f>""</f>
        <v/>
      </c>
      <c r="R1338" s="1">
        <v>0</v>
      </c>
      <c r="S1338" s="1" t="str">
        <f>""</f>
        <v/>
      </c>
      <c r="T1338" s="1" t="s">
        <v>29</v>
      </c>
      <c r="U1338" s="1" t="s">
        <v>30</v>
      </c>
      <c r="V1338" s="1">
        <v>0</v>
      </c>
    </row>
    <row r="1339" spans="2:22" x14ac:dyDescent="0.15">
      <c r="B1339" s="1" t="str">
        <f>"134****6253"</f>
        <v>134****6253</v>
      </c>
      <c r="C1339" s="1" t="s">
        <v>23</v>
      </c>
      <c r="D1339" s="1" t="str">
        <f t="shared" si="143"/>
        <v>89177328</v>
      </c>
      <c r="E1339" s="1" t="s">
        <v>24</v>
      </c>
      <c r="F1339" s="1" t="str">
        <f t="shared" si="144"/>
        <v>0010</v>
      </c>
      <c r="G1339" s="1" t="str">
        <f>""</f>
        <v/>
      </c>
      <c r="H1339" s="1" t="str">
        <f>"0035"</f>
        <v>0035</v>
      </c>
      <c r="I1339" s="1" t="s">
        <v>25</v>
      </c>
      <c r="J1339" s="1" t="str">
        <f>"01043977569"</f>
        <v>01043977569</v>
      </c>
      <c r="K1339" s="1" t="str">
        <f>"2017-04-01 16:49:48"</f>
        <v>2017-04-01 16:49:48</v>
      </c>
      <c r="L1339" s="1" t="str">
        <f>"2017-04-01 16:50:22"</f>
        <v>2017-04-01 16:50:22</v>
      </c>
      <c r="M1339" s="2">
        <v>8.8425925925925911E-3</v>
      </c>
      <c r="N1339" s="1" t="s">
        <v>26</v>
      </c>
      <c r="O1339" s="1" t="s">
        <v>27</v>
      </c>
      <c r="P1339" s="2">
        <v>9.2361111111111116E-3</v>
      </c>
      <c r="Q1339" s="1" t="s">
        <v>1043</v>
      </c>
      <c r="R1339" s="1">
        <v>0</v>
      </c>
      <c r="S1339" s="1" t="str">
        <f>""</f>
        <v/>
      </c>
      <c r="T1339" s="1" t="s">
        <v>29</v>
      </c>
      <c r="U1339" s="1" t="s">
        <v>30</v>
      </c>
      <c r="V1339" s="1">
        <v>0</v>
      </c>
    </row>
    <row r="1340" spans="2:22" x14ac:dyDescent="0.15">
      <c r="B1340" s="1" t="str">
        <f>"136****0764"</f>
        <v>136****0764</v>
      </c>
      <c r="C1340" s="1" t="s">
        <v>23</v>
      </c>
      <c r="D1340" s="1" t="str">
        <f t="shared" si="143"/>
        <v>89177328</v>
      </c>
      <c r="E1340" s="1" t="s">
        <v>24</v>
      </c>
      <c r="F1340" s="1" t="str">
        <f t="shared" si="144"/>
        <v>0010</v>
      </c>
      <c r="G1340" s="1" t="str">
        <f>""</f>
        <v/>
      </c>
      <c r="H1340" s="1" t="str">
        <f>"0036"</f>
        <v>0036</v>
      </c>
      <c r="I1340" s="1" t="s">
        <v>143</v>
      </c>
      <c r="J1340" s="1" t="str">
        <f>"01043977573"</f>
        <v>01043977573</v>
      </c>
      <c r="K1340" s="1" t="str">
        <f>"2017-04-01 16:47:57"</f>
        <v>2017-04-01 16:47:57</v>
      </c>
      <c r="L1340" s="1" t="str">
        <f>"-"</f>
        <v>-</v>
      </c>
      <c r="M1340" s="2">
        <v>0</v>
      </c>
      <c r="N1340" s="1" t="s">
        <v>33</v>
      </c>
      <c r="O1340" s="1" t="s">
        <v>34</v>
      </c>
      <c r="P1340" s="2">
        <v>1.0416666666666667E-4</v>
      </c>
      <c r="Q1340" s="1" t="str">
        <f>""</f>
        <v/>
      </c>
      <c r="R1340" s="1">
        <v>0</v>
      </c>
      <c r="S1340" s="1" t="str">
        <f>""</f>
        <v/>
      </c>
      <c r="T1340" s="1" t="s">
        <v>29</v>
      </c>
      <c r="U1340" s="1" t="s">
        <v>30</v>
      </c>
      <c r="V1340" s="1">
        <v>0</v>
      </c>
    </row>
    <row r="1341" spans="2:22" x14ac:dyDescent="0.15">
      <c r="B1341" s="1" t="str">
        <f>"010****3585"</f>
        <v>010****3585</v>
      </c>
      <c r="C1341" s="1" t="s">
        <v>23</v>
      </c>
      <c r="D1341" s="1" t="str">
        <f t="shared" si="143"/>
        <v>89177328</v>
      </c>
      <c r="E1341" s="1" t="s">
        <v>24</v>
      </c>
      <c r="F1341" s="1" t="str">
        <f t="shared" si="144"/>
        <v>0010</v>
      </c>
      <c r="G1341" s="1" t="str">
        <f>""</f>
        <v/>
      </c>
      <c r="H1341" s="1" t="str">
        <f>"0033"</f>
        <v>0033</v>
      </c>
      <c r="I1341" s="1" t="s">
        <v>106</v>
      </c>
      <c r="J1341" s="1" t="str">
        <f>"01043977567"</f>
        <v>01043977567</v>
      </c>
      <c r="K1341" s="1" t="str">
        <f>"2017-04-01 16:47:12"</f>
        <v>2017-04-01 16:47:12</v>
      </c>
      <c r="L1341" s="1" t="str">
        <f>"2017-04-01 16:47:24"</f>
        <v>2017-04-01 16:47:24</v>
      </c>
      <c r="M1341" s="2">
        <v>1.5173611111111112E-2</v>
      </c>
      <c r="N1341" s="1" t="s">
        <v>26</v>
      </c>
      <c r="O1341" s="1" t="s">
        <v>27</v>
      </c>
      <c r="P1341" s="2">
        <v>1.53125E-2</v>
      </c>
      <c r="Q1341" s="1" t="s">
        <v>1044</v>
      </c>
      <c r="R1341" s="1">
        <v>0</v>
      </c>
      <c r="S1341" s="1" t="str">
        <f>""</f>
        <v/>
      </c>
      <c r="T1341" s="1" t="s">
        <v>29</v>
      </c>
      <c r="U1341" s="1" t="s">
        <v>30</v>
      </c>
      <c r="V1341" s="1">
        <v>0</v>
      </c>
    </row>
    <row r="1342" spans="2:22" x14ac:dyDescent="0.15">
      <c r="B1342" s="1" t="str">
        <f>"189****2395"</f>
        <v>189****2395</v>
      </c>
      <c r="C1342" s="1" t="s">
        <v>23</v>
      </c>
      <c r="D1342" s="1" t="str">
        <f t="shared" si="143"/>
        <v>89177328</v>
      </c>
      <c r="E1342" s="1" t="s">
        <v>24</v>
      </c>
      <c r="F1342" s="1" t="str">
        <f t="shared" si="144"/>
        <v>0010</v>
      </c>
      <c r="G1342" s="1" t="str">
        <f>""</f>
        <v/>
      </c>
      <c r="H1342" s="1" t="str">
        <f>"0017"</f>
        <v>0017</v>
      </c>
      <c r="I1342" s="1" t="s">
        <v>135</v>
      </c>
      <c r="J1342" s="1" t="str">
        <f>"01043989717"</f>
        <v>01043989717</v>
      </c>
      <c r="K1342" s="1" t="str">
        <f>"2017-04-01 16:33:42"</f>
        <v>2017-04-01 16:33:42</v>
      </c>
      <c r="L1342" s="1" t="str">
        <f>"2017-04-01 16:33:52"</f>
        <v>2017-04-01 16:33:52</v>
      </c>
      <c r="M1342" s="2">
        <v>4.3784722222222218E-2</v>
      </c>
      <c r="N1342" s="1" t="s">
        <v>26</v>
      </c>
      <c r="O1342" s="1" t="s">
        <v>34</v>
      </c>
      <c r="P1342" s="2">
        <v>4.3900462962962961E-2</v>
      </c>
      <c r="Q1342" s="1" t="s">
        <v>1045</v>
      </c>
      <c r="R1342" s="1">
        <v>0</v>
      </c>
      <c r="S1342" s="1" t="str">
        <f>""</f>
        <v/>
      </c>
      <c r="T1342" s="1" t="s">
        <v>29</v>
      </c>
      <c r="U1342" s="1" t="s">
        <v>30</v>
      </c>
      <c r="V1342" s="1">
        <v>0</v>
      </c>
    </row>
    <row r="1343" spans="2:22" x14ac:dyDescent="0.15">
      <c r="B1343" s="1" t="str">
        <f>"136****7356"</f>
        <v>136****7356</v>
      </c>
      <c r="C1343" s="1" t="s">
        <v>23</v>
      </c>
      <c r="D1343" s="1" t="str">
        <f t="shared" si="143"/>
        <v>89177328</v>
      </c>
      <c r="E1343" s="1" t="s">
        <v>24</v>
      </c>
      <c r="F1343" s="1" t="str">
        <f t="shared" si="144"/>
        <v>0010</v>
      </c>
      <c r="G1343" s="1" t="str">
        <f>""</f>
        <v/>
      </c>
      <c r="H1343" s="1" t="str">
        <f>"0012"</f>
        <v>0012</v>
      </c>
      <c r="I1343" s="1" t="s">
        <v>612</v>
      </c>
      <c r="J1343" s="1" t="str">
        <f>"01043989720"</f>
        <v>01043989720</v>
      </c>
      <c r="K1343" s="1" t="str">
        <f>"2017-04-01 16:30:39"</f>
        <v>2017-04-01 16:30:39</v>
      </c>
      <c r="L1343" s="1" t="str">
        <f>"2017-04-01 16:30:55"</f>
        <v>2017-04-01 16:30:55</v>
      </c>
      <c r="M1343" s="2">
        <v>4.5949074074074078E-3</v>
      </c>
      <c r="N1343" s="1" t="s">
        <v>26</v>
      </c>
      <c r="O1343" s="1" t="s">
        <v>34</v>
      </c>
      <c r="P1343" s="2">
        <v>4.7800925925925919E-3</v>
      </c>
      <c r="Q1343" s="1" t="s">
        <v>1046</v>
      </c>
      <c r="R1343" s="1">
        <v>0</v>
      </c>
      <c r="S1343" s="1" t="str">
        <f>""</f>
        <v/>
      </c>
      <c r="T1343" s="1" t="s">
        <v>29</v>
      </c>
      <c r="U1343" s="1" t="s">
        <v>30</v>
      </c>
      <c r="V1343" s="1">
        <v>0</v>
      </c>
    </row>
    <row r="1344" spans="2:22" x14ac:dyDescent="0.15">
      <c r="B1344" s="1" t="str">
        <f>"183****4280"</f>
        <v>183****4280</v>
      </c>
      <c r="C1344" s="1" t="s">
        <v>23</v>
      </c>
      <c r="D1344" s="1" t="str">
        <f t="shared" si="143"/>
        <v>89177328</v>
      </c>
      <c r="E1344" s="1" t="s">
        <v>24</v>
      </c>
      <c r="F1344" s="1" t="str">
        <f t="shared" si="144"/>
        <v>0010</v>
      </c>
      <c r="G1344" s="1" t="str">
        <f>""</f>
        <v/>
      </c>
      <c r="H1344" s="1" t="str">
        <f>"0032"</f>
        <v>0032</v>
      </c>
      <c r="I1344" s="1" t="s">
        <v>119</v>
      </c>
      <c r="J1344" s="1" t="str">
        <f>"01043977566"</f>
        <v>01043977566</v>
      </c>
      <c r="K1344" s="1" t="str">
        <f>"2017-04-01 16:29:48"</f>
        <v>2017-04-01 16:29:48</v>
      </c>
      <c r="L1344" s="1" t="str">
        <f>"-"</f>
        <v>-</v>
      </c>
      <c r="M1344" s="2">
        <v>0</v>
      </c>
      <c r="N1344" s="1" t="s">
        <v>33</v>
      </c>
      <c r="O1344" s="1" t="s">
        <v>34</v>
      </c>
      <c r="P1344" s="2">
        <v>1.0416666666666667E-4</v>
      </c>
      <c r="Q1344" s="1" t="str">
        <f>""</f>
        <v/>
      </c>
      <c r="R1344" s="1">
        <v>0</v>
      </c>
      <c r="S1344" s="1" t="str">
        <f>""</f>
        <v/>
      </c>
      <c r="T1344" s="1" t="s">
        <v>29</v>
      </c>
      <c r="U1344" s="1" t="s">
        <v>30</v>
      </c>
      <c r="V1344" s="1">
        <v>0</v>
      </c>
    </row>
    <row r="1345" spans="2:22" x14ac:dyDescent="0.15">
      <c r="B1345" s="1" t="str">
        <f>"186****7893"</f>
        <v>186****7893</v>
      </c>
      <c r="C1345" s="1" t="s">
        <v>23</v>
      </c>
      <c r="D1345" s="1" t="str">
        <f t="shared" si="143"/>
        <v>89177328</v>
      </c>
      <c r="E1345" s="1" t="s">
        <v>24</v>
      </c>
      <c r="F1345" s="1" t="str">
        <f t="shared" si="144"/>
        <v>0010</v>
      </c>
      <c r="G1345" s="1" t="str">
        <f>""</f>
        <v/>
      </c>
      <c r="H1345" s="1" t="str">
        <f>"0036"</f>
        <v>0036</v>
      </c>
      <c r="I1345" s="1" t="s">
        <v>143</v>
      </c>
      <c r="J1345" s="1" t="str">
        <f>"01043977573"</f>
        <v>01043977573</v>
      </c>
      <c r="K1345" s="1" t="str">
        <f>"2017-04-01 16:28:48"</f>
        <v>2017-04-01 16:28:48</v>
      </c>
      <c r="L1345" s="1" t="str">
        <f>"2017-04-01 16:28:52"</f>
        <v>2017-04-01 16:28:52</v>
      </c>
      <c r="M1345" s="2">
        <v>5.208333333333333E-3</v>
      </c>
      <c r="N1345" s="1" t="s">
        <v>26</v>
      </c>
      <c r="O1345" s="1" t="s">
        <v>34</v>
      </c>
      <c r="P1345" s="2">
        <v>5.2546296296296299E-3</v>
      </c>
      <c r="Q1345" s="1" t="s">
        <v>1047</v>
      </c>
      <c r="R1345" s="1">
        <v>0</v>
      </c>
      <c r="S1345" s="1" t="str">
        <f>""</f>
        <v/>
      </c>
      <c r="T1345" s="1" t="s">
        <v>29</v>
      </c>
      <c r="U1345" s="1" t="s">
        <v>30</v>
      </c>
      <c r="V1345" s="1">
        <v>0</v>
      </c>
    </row>
    <row r="1346" spans="2:22" x14ac:dyDescent="0.15">
      <c r="B1346" s="1" t="str">
        <f>"183****4280"</f>
        <v>183****4280</v>
      </c>
      <c r="C1346" s="1" t="s">
        <v>23</v>
      </c>
      <c r="D1346" s="1" t="str">
        <f t="shared" si="143"/>
        <v>89177328</v>
      </c>
      <c r="E1346" s="1" t="s">
        <v>24</v>
      </c>
      <c r="F1346" s="1" t="str">
        <f t="shared" si="144"/>
        <v>0010</v>
      </c>
      <c r="G1346" s="1" t="str">
        <f>""</f>
        <v/>
      </c>
      <c r="H1346" s="1" t="str">
        <f>"0036"</f>
        <v>0036</v>
      </c>
      <c r="I1346" s="1" t="s">
        <v>143</v>
      </c>
      <c r="J1346" s="1" t="str">
        <f>"01043977573"</f>
        <v>01043977573</v>
      </c>
      <c r="K1346" s="1" t="str">
        <f>"2017-04-01 16:27:06"</f>
        <v>2017-04-01 16:27:06</v>
      </c>
      <c r="L1346" s="1" t="str">
        <f>"2017-04-01 16:27:10"</f>
        <v>2017-04-01 16:27:10</v>
      </c>
      <c r="M1346" s="2">
        <v>2.3148148148148147E-5</v>
      </c>
      <c r="N1346" s="1" t="s">
        <v>26</v>
      </c>
      <c r="O1346" s="1" t="s">
        <v>34</v>
      </c>
      <c r="P1346" s="2">
        <v>6.9444444444444444E-5</v>
      </c>
      <c r="Q1346" s="1" t="str">
        <f>""</f>
        <v/>
      </c>
      <c r="R1346" s="1">
        <v>0</v>
      </c>
      <c r="S1346" s="1" t="str">
        <f>""</f>
        <v/>
      </c>
      <c r="T1346" s="1" t="s">
        <v>29</v>
      </c>
      <c r="U1346" s="1" t="s">
        <v>30</v>
      </c>
      <c r="V1346" s="1">
        <v>0</v>
      </c>
    </row>
    <row r="1347" spans="2:22" x14ac:dyDescent="0.15">
      <c r="B1347" s="1" t="str">
        <f>"157****4678"</f>
        <v>157****4678</v>
      </c>
      <c r="C1347" s="1" t="s">
        <v>23</v>
      </c>
      <c r="D1347" s="1" t="str">
        <f t="shared" si="143"/>
        <v>89177328</v>
      </c>
      <c r="E1347" s="1" t="s">
        <v>24</v>
      </c>
      <c r="F1347" s="1" t="str">
        <f t="shared" si="144"/>
        <v>0010</v>
      </c>
      <c r="G1347" s="1" t="str">
        <f>""</f>
        <v/>
      </c>
      <c r="H1347" s="1" t="str">
        <f>"0036"</f>
        <v>0036</v>
      </c>
      <c r="I1347" s="1" t="s">
        <v>143</v>
      </c>
      <c r="J1347" s="1" t="str">
        <f>"01043977573"</f>
        <v>01043977573</v>
      </c>
      <c r="K1347" s="1" t="str">
        <f>"2017-04-01 16:23:12"</f>
        <v>2017-04-01 16:23:12</v>
      </c>
      <c r="L1347" s="1" t="str">
        <f>"2017-04-01 16:23:17"</f>
        <v>2017-04-01 16:23:17</v>
      </c>
      <c r="M1347" s="2">
        <v>2.3148148148148147E-5</v>
      </c>
      <c r="N1347" s="1" t="s">
        <v>26</v>
      </c>
      <c r="O1347" s="1" t="s">
        <v>34</v>
      </c>
      <c r="P1347" s="2">
        <v>8.1018518518518516E-5</v>
      </c>
      <c r="Q1347" s="1" t="str">
        <f>""</f>
        <v/>
      </c>
      <c r="R1347" s="1">
        <v>0</v>
      </c>
      <c r="S1347" s="1" t="str">
        <f>""</f>
        <v/>
      </c>
      <c r="T1347" s="1" t="s">
        <v>29</v>
      </c>
      <c r="U1347" s="1" t="s">
        <v>30</v>
      </c>
      <c r="V1347" s="1">
        <v>0</v>
      </c>
    </row>
    <row r="1348" spans="2:22" x14ac:dyDescent="0.15">
      <c r="B1348" s="1" t="str">
        <f>"157****4678"</f>
        <v>157****4678</v>
      </c>
      <c r="C1348" s="1" t="s">
        <v>23</v>
      </c>
      <c r="D1348" s="1" t="str">
        <f t="shared" si="143"/>
        <v>89177328</v>
      </c>
      <c r="E1348" s="1" t="s">
        <v>24</v>
      </c>
      <c r="F1348" s="1" t="str">
        <f t="shared" si="144"/>
        <v>0010</v>
      </c>
      <c r="G1348" s="1" t="str">
        <f>""</f>
        <v/>
      </c>
      <c r="H1348" s="1" t="str">
        <f>"0017"</f>
        <v>0017</v>
      </c>
      <c r="I1348" s="1" t="s">
        <v>135</v>
      </c>
      <c r="J1348" s="1" t="str">
        <f>"01043989717"</f>
        <v>01043989717</v>
      </c>
      <c r="K1348" s="1" t="str">
        <f>"2017-04-01 16:18:45"</f>
        <v>2017-04-01 16:18:45</v>
      </c>
      <c r="L1348" s="1" t="str">
        <f>"-"</f>
        <v>-</v>
      </c>
      <c r="M1348" s="2">
        <v>0</v>
      </c>
      <c r="N1348" s="1" t="s">
        <v>33</v>
      </c>
      <c r="O1348" s="1" t="s">
        <v>34</v>
      </c>
      <c r="P1348" s="2">
        <v>6.9444444444444444E-5</v>
      </c>
      <c r="Q1348" s="1" t="str">
        <f>""</f>
        <v/>
      </c>
      <c r="R1348" s="1">
        <v>0</v>
      </c>
      <c r="S1348" s="1" t="str">
        <f>""</f>
        <v/>
      </c>
      <c r="T1348" s="1" t="s">
        <v>29</v>
      </c>
      <c r="U1348" s="1" t="s">
        <v>30</v>
      </c>
      <c r="V1348" s="1">
        <v>0</v>
      </c>
    </row>
    <row r="1349" spans="2:22" x14ac:dyDescent="0.15">
      <c r="B1349" s="1" t="str">
        <f>"177****0206"</f>
        <v>177****0206</v>
      </c>
      <c r="C1349" s="1" t="s">
        <v>23</v>
      </c>
      <c r="D1349" s="1" t="str">
        <f t="shared" si="143"/>
        <v>89177328</v>
      </c>
      <c r="E1349" s="1" t="s">
        <v>24</v>
      </c>
      <c r="F1349" s="1" t="str">
        <f t="shared" si="144"/>
        <v>0010</v>
      </c>
      <c r="G1349" s="1" t="str">
        <f>""</f>
        <v/>
      </c>
      <c r="H1349" s="1" t="str">
        <f>"0035"</f>
        <v>0035</v>
      </c>
      <c r="I1349" s="1" t="s">
        <v>25</v>
      </c>
      <c r="J1349" s="1" t="str">
        <f>"01043977569"</f>
        <v>01043977569</v>
      </c>
      <c r="K1349" s="1" t="str">
        <f>"2017-04-01 16:17:20"</f>
        <v>2017-04-01 16:17:20</v>
      </c>
      <c r="L1349" s="1" t="str">
        <f>"-"</f>
        <v>-</v>
      </c>
      <c r="M1349" s="2">
        <v>0</v>
      </c>
      <c r="N1349" s="1" t="s">
        <v>33</v>
      </c>
      <c r="O1349" s="1" t="s">
        <v>34</v>
      </c>
      <c r="P1349" s="2">
        <v>6.9444444444444444E-5</v>
      </c>
      <c r="Q1349" s="1" t="str">
        <f>""</f>
        <v/>
      </c>
      <c r="R1349" s="1">
        <v>0</v>
      </c>
      <c r="S1349" s="1" t="str">
        <f>""</f>
        <v/>
      </c>
      <c r="T1349" s="1" t="s">
        <v>29</v>
      </c>
      <c r="U1349" s="1" t="s">
        <v>30</v>
      </c>
      <c r="V1349" s="1">
        <v>0</v>
      </c>
    </row>
    <row r="1350" spans="2:22" x14ac:dyDescent="0.15">
      <c r="B1350" s="1" t="str">
        <f>"135****4319"</f>
        <v>135****4319</v>
      </c>
      <c r="C1350" s="1" t="s">
        <v>23</v>
      </c>
      <c r="D1350" s="1" t="str">
        <f t="shared" si="143"/>
        <v>89177328</v>
      </c>
      <c r="E1350" s="1" t="s">
        <v>24</v>
      </c>
      <c r="F1350" s="1" t="str">
        <f t="shared" si="144"/>
        <v>0010</v>
      </c>
      <c r="G1350" s="1" t="str">
        <f>""</f>
        <v/>
      </c>
      <c r="H1350" s="1" t="str">
        <f>"0034"</f>
        <v>0034</v>
      </c>
      <c r="I1350" s="1" t="s">
        <v>31</v>
      </c>
      <c r="J1350" s="1" t="str">
        <f>"01043977568"</f>
        <v>01043977568</v>
      </c>
      <c r="K1350" s="1" t="str">
        <f>"2017-04-01 16:17:04"</f>
        <v>2017-04-01 16:17:04</v>
      </c>
      <c r="L1350" s="1" t="str">
        <f>"2017-04-01 16:17:17"</f>
        <v>2017-04-01 16:17:17</v>
      </c>
      <c r="M1350" s="2">
        <v>1.9328703703703702E-2</v>
      </c>
      <c r="N1350" s="1" t="s">
        <v>26</v>
      </c>
      <c r="O1350" s="1" t="s">
        <v>27</v>
      </c>
      <c r="P1350" s="2">
        <v>1.9479166666666669E-2</v>
      </c>
      <c r="Q1350" s="1" t="s">
        <v>1048</v>
      </c>
      <c r="R1350" s="1">
        <v>0</v>
      </c>
      <c r="S1350" s="1" t="str">
        <f>""</f>
        <v/>
      </c>
      <c r="T1350" s="1" t="s">
        <v>29</v>
      </c>
      <c r="U1350" s="1" t="s">
        <v>30</v>
      </c>
      <c r="V1350" s="1">
        <v>0</v>
      </c>
    </row>
    <row r="1351" spans="2:22" x14ac:dyDescent="0.15">
      <c r="B1351" s="1" t="str">
        <f>"157****4678"</f>
        <v>157****4678</v>
      </c>
      <c r="C1351" s="1" t="s">
        <v>23</v>
      </c>
      <c r="D1351" s="1" t="str">
        <f t="shared" si="143"/>
        <v>89177328</v>
      </c>
      <c r="E1351" s="1" t="s">
        <v>24</v>
      </c>
      <c r="F1351" s="1" t="str">
        <f t="shared" si="144"/>
        <v>0010</v>
      </c>
      <c r="G1351" s="1" t="str">
        <f>""</f>
        <v/>
      </c>
      <c r="H1351" s="1" t="str">
        <f>"0034"</f>
        <v>0034</v>
      </c>
      <c r="I1351" s="1" t="s">
        <v>31</v>
      </c>
      <c r="J1351" s="1" t="str">
        <f>"01043977568"</f>
        <v>01043977568</v>
      </c>
      <c r="K1351" s="1" t="str">
        <f>"2017-04-01 16:14:01"</f>
        <v>2017-04-01 16:14:01</v>
      </c>
      <c r="L1351" s="1" t="str">
        <f>"-"</f>
        <v>-</v>
      </c>
      <c r="M1351" s="2">
        <v>0</v>
      </c>
      <c r="N1351" s="1" t="s">
        <v>33</v>
      </c>
      <c r="O1351" s="1" t="s">
        <v>34</v>
      </c>
      <c r="P1351" s="2">
        <v>6.9444444444444444E-5</v>
      </c>
      <c r="Q1351" s="1" t="str">
        <f>""</f>
        <v/>
      </c>
      <c r="R1351" s="1">
        <v>0</v>
      </c>
      <c r="S1351" s="1" t="str">
        <f>""</f>
        <v/>
      </c>
      <c r="T1351" s="1" t="s">
        <v>29</v>
      </c>
      <c r="U1351" s="1" t="s">
        <v>30</v>
      </c>
      <c r="V1351" s="1">
        <v>0</v>
      </c>
    </row>
    <row r="1352" spans="2:22" x14ac:dyDescent="0.15">
      <c r="B1352" s="1" t="str">
        <f>"010****8166"</f>
        <v>010****8166</v>
      </c>
      <c r="C1352" s="1" t="s">
        <v>23</v>
      </c>
      <c r="D1352" s="1" t="str">
        <f t="shared" si="143"/>
        <v>89177328</v>
      </c>
      <c r="E1352" s="1" t="s">
        <v>24</v>
      </c>
      <c r="F1352" s="1" t="str">
        <f t="shared" si="144"/>
        <v>0010</v>
      </c>
      <c r="G1352" s="1" t="str">
        <f>""</f>
        <v/>
      </c>
      <c r="H1352" s="1" t="str">
        <f>"0036"</f>
        <v>0036</v>
      </c>
      <c r="I1352" s="1" t="s">
        <v>143</v>
      </c>
      <c r="J1352" s="1" t="str">
        <f>"01043977573"</f>
        <v>01043977573</v>
      </c>
      <c r="K1352" s="1" t="str">
        <f>"2017-04-01 16:09:32"</f>
        <v>2017-04-01 16:09:32</v>
      </c>
      <c r="L1352" s="1" t="str">
        <f>"-"</f>
        <v>-</v>
      </c>
      <c r="M1352" s="2">
        <v>0</v>
      </c>
      <c r="N1352" s="1" t="s">
        <v>33</v>
      </c>
      <c r="O1352" s="1" t="s">
        <v>34</v>
      </c>
      <c r="P1352" s="2">
        <v>2.3148148148148147E-5</v>
      </c>
      <c r="Q1352" s="1" t="str">
        <f>""</f>
        <v/>
      </c>
      <c r="R1352" s="1">
        <v>0</v>
      </c>
      <c r="S1352" s="1" t="str">
        <f>""</f>
        <v/>
      </c>
      <c r="T1352" s="1" t="s">
        <v>29</v>
      </c>
      <c r="U1352" s="1" t="s">
        <v>30</v>
      </c>
      <c r="V1352" s="1">
        <v>0</v>
      </c>
    </row>
    <row r="1353" spans="2:22" x14ac:dyDescent="0.15">
      <c r="B1353" s="1" t="str">
        <f>"188****1100"</f>
        <v>188****1100</v>
      </c>
      <c r="C1353" s="1" t="s">
        <v>23</v>
      </c>
      <c r="D1353" s="1" t="str">
        <f t="shared" si="143"/>
        <v>89177328</v>
      </c>
      <c r="E1353" s="1" t="s">
        <v>24</v>
      </c>
      <c r="F1353" s="1" t="str">
        <f t="shared" si="144"/>
        <v>0010</v>
      </c>
      <c r="G1353" s="1" t="str">
        <f>""</f>
        <v/>
      </c>
      <c r="H1353" s="1" t="str">
        <f>"0036"</f>
        <v>0036</v>
      </c>
      <c r="I1353" s="1" t="s">
        <v>143</v>
      </c>
      <c r="J1353" s="1" t="str">
        <f>"01043977573"</f>
        <v>01043977573</v>
      </c>
      <c r="K1353" s="1" t="str">
        <f>"2017-04-01 16:05:27"</f>
        <v>2017-04-01 16:05:27</v>
      </c>
      <c r="L1353" s="1" t="str">
        <f>"-"</f>
        <v>-</v>
      </c>
      <c r="M1353" s="2">
        <v>0</v>
      </c>
      <c r="N1353" s="1" t="s">
        <v>33</v>
      </c>
      <c r="O1353" s="1" t="s">
        <v>34</v>
      </c>
      <c r="P1353" s="2">
        <v>9.2592592592592588E-5</v>
      </c>
      <c r="Q1353" s="1" t="str">
        <f>""</f>
        <v/>
      </c>
      <c r="R1353" s="1">
        <v>0</v>
      </c>
      <c r="S1353" s="1" t="str">
        <f>""</f>
        <v/>
      </c>
      <c r="T1353" s="1" t="s">
        <v>29</v>
      </c>
      <c r="U1353" s="1" t="s">
        <v>30</v>
      </c>
      <c r="V1353" s="1">
        <v>0</v>
      </c>
    </row>
    <row r="1354" spans="2:22" x14ac:dyDescent="0.15">
      <c r="B1354" s="1" t="str">
        <f>"188****1100"</f>
        <v>188****1100</v>
      </c>
      <c r="C1354" s="1" t="s">
        <v>23</v>
      </c>
      <c r="D1354" s="1" t="str">
        <f t="shared" si="143"/>
        <v>89177328</v>
      </c>
      <c r="E1354" s="1" t="s">
        <v>24</v>
      </c>
      <c r="F1354" s="1" t="str">
        <f t="shared" si="144"/>
        <v>0010</v>
      </c>
      <c r="G1354" s="1" t="str">
        <f>""</f>
        <v/>
      </c>
      <c r="H1354" s="1" t="str">
        <f>"0036"</f>
        <v>0036</v>
      </c>
      <c r="I1354" s="1" t="s">
        <v>143</v>
      </c>
      <c r="J1354" s="1" t="str">
        <f>"01043977573"</f>
        <v>01043977573</v>
      </c>
      <c r="K1354" s="1" t="str">
        <f>"2017-04-01 16:01:19"</f>
        <v>2017-04-01 16:01:19</v>
      </c>
      <c r="L1354" s="1" t="str">
        <f>"2017-04-01 16:01:23"</f>
        <v>2017-04-01 16:01:23</v>
      </c>
      <c r="M1354" s="2">
        <v>1.1574074074074073E-5</v>
      </c>
      <c r="N1354" s="1" t="s">
        <v>26</v>
      </c>
      <c r="O1354" s="1" t="s">
        <v>34</v>
      </c>
      <c r="P1354" s="2">
        <v>5.7870370370370366E-5</v>
      </c>
      <c r="Q1354" s="1" t="str">
        <f>""</f>
        <v/>
      </c>
      <c r="R1354" s="1">
        <v>0</v>
      </c>
      <c r="S1354" s="1" t="str">
        <f>""</f>
        <v/>
      </c>
      <c r="T1354" s="1" t="s">
        <v>29</v>
      </c>
      <c r="U1354" s="1" t="s">
        <v>30</v>
      </c>
      <c r="V1354" s="1">
        <v>0</v>
      </c>
    </row>
    <row r="1355" spans="2:22" x14ac:dyDescent="0.15">
      <c r="B1355" s="1" t="str">
        <f>"188****1100"</f>
        <v>188****1100</v>
      </c>
      <c r="C1355" s="1" t="s">
        <v>23</v>
      </c>
      <c r="D1355" s="1" t="str">
        <f t="shared" si="143"/>
        <v>89177328</v>
      </c>
      <c r="E1355" s="1" t="s">
        <v>24</v>
      </c>
      <c r="F1355" s="1" t="str">
        <f t="shared" si="144"/>
        <v>0010</v>
      </c>
      <c r="G1355" s="1" t="str">
        <f>""</f>
        <v/>
      </c>
      <c r="H1355" s="1" t="str">
        <f>"0036"</f>
        <v>0036</v>
      </c>
      <c r="I1355" s="1" t="s">
        <v>143</v>
      </c>
      <c r="J1355" s="1" t="str">
        <f>"01043977573"</f>
        <v>01043977573</v>
      </c>
      <c r="K1355" s="1" t="str">
        <f>"2017-04-01 15:59:18"</f>
        <v>2017-04-01 15:59:18</v>
      </c>
      <c r="L1355" s="1" t="str">
        <f>"2017-04-01 15:59:23"</f>
        <v>2017-04-01 15:59:23</v>
      </c>
      <c r="M1355" s="2">
        <v>0</v>
      </c>
      <c r="N1355" s="1" t="s">
        <v>26</v>
      </c>
      <c r="O1355" s="1" t="s">
        <v>34</v>
      </c>
      <c r="P1355" s="2">
        <v>5.7870370370370366E-5</v>
      </c>
      <c r="Q1355" s="1" t="str">
        <f>""</f>
        <v/>
      </c>
      <c r="R1355" s="1">
        <v>0</v>
      </c>
      <c r="S1355" s="1" t="str">
        <f>""</f>
        <v/>
      </c>
      <c r="T1355" s="1" t="s">
        <v>29</v>
      </c>
      <c r="U1355" s="1" t="s">
        <v>30</v>
      </c>
      <c r="V1355" s="1">
        <v>0</v>
      </c>
    </row>
    <row r="1356" spans="2:22" x14ac:dyDescent="0.15">
      <c r="B1356" s="1" t="str">
        <f>"177****1583"</f>
        <v>177****1583</v>
      </c>
      <c r="C1356" s="1" t="s">
        <v>23</v>
      </c>
      <c r="D1356" s="1" t="str">
        <f t="shared" si="143"/>
        <v>89177328</v>
      </c>
      <c r="E1356" s="1" t="s">
        <v>24</v>
      </c>
      <c r="F1356" s="1" t="str">
        <f t="shared" si="144"/>
        <v>0010</v>
      </c>
      <c r="G1356" s="1" t="str">
        <f>""</f>
        <v/>
      </c>
      <c r="H1356" s="1" t="str">
        <f>"0018"</f>
        <v>0018</v>
      </c>
      <c r="I1356" s="1" t="s">
        <v>36</v>
      </c>
      <c r="J1356" s="1" t="str">
        <f>"01043977572"</f>
        <v>01043977572</v>
      </c>
      <c r="K1356" s="1" t="str">
        <f>"2017-04-01 15:58:27"</f>
        <v>2017-04-01 15:58:27</v>
      </c>
      <c r="L1356" s="1" t="str">
        <f>"2017-04-01 15:58:36"</f>
        <v>2017-04-01 15:58:36</v>
      </c>
      <c r="M1356" s="2">
        <v>2.3958333333333336E-3</v>
      </c>
      <c r="N1356" s="1" t="s">
        <v>26</v>
      </c>
      <c r="O1356" s="1" t="s">
        <v>34</v>
      </c>
      <c r="P1356" s="2">
        <v>2.5000000000000001E-3</v>
      </c>
      <c r="Q1356" s="1" t="s">
        <v>1049</v>
      </c>
      <c r="R1356" s="1">
        <v>0</v>
      </c>
      <c r="S1356" s="1" t="str">
        <f>""</f>
        <v/>
      </c>
      <c r="T1356" s="1" t="s">
        <v>29</v>
      </c>
      <c r="U1356" s="1" t="s">
        <v>30</v>
      </c>
      <c r="V1356" s="1">
        <v>0</v>
      </c>
    </row>
    <row r="1357" spans="2:22" x14ac:dyDescent="0.15">
      <c r="B1357" s="1" t="str">
        <f>"186****0604"</f>
        <v>186****0604</v>
      </c>
      <c r="C1357" s="1" t="s">
        <v>23</v>
      </c>
      <c r="D1357" s="1" t="str">
        <f t="shared" si="143"/>
        <v>89177328</v>
      </c>
      <c r="E1357" s="1" t="s">
        <v>24</v>
      </c>
      <c r="F1357" s="1" t="str">
        <f t="shared" si="144"/>
        <v>0010</v>
      </c>
      <c r="G1357" s="1" t="str">
        <f>""</f>
        <v/>
      </c>
      <c r="H1357" s="1" t="str">
        <f>"0018"</f>
        <v>0018</v>
      </c>
      <c r="I1357" s="1" t="s">
        <v>36</v>
      </c>
      <c r="J1357" s="1" t="str">
        <f>"01043977572"</f>
        <v>01043977572</v>
      </c>
      <c r="K1357" s="1" t="str">
        <f>"2017-04-01 15:58:09"</f>
        <v>2017-04-01 15:58:09</v>
      </c>
      <c r="L1357" s="1" t="str">
        <f t="shared" ref="L1357:L1366" si="145">"-"</f>
        <v>-</v>
      </c>
      <c r="M1357" s="2">
        <v>0</v>
      </c>
      <c r="N1357" s="1" t="s">
        <v>33</v>
      </c>
      <c r="O1357" s="1" t="s">
        <v>34</v>
      </c>
      <c r="P1357" s="2">
        <v>5.7870370370370366E-5</v>
      </c>
      <c r="Q1357" s="1" t="str">
        <f>""</f>
        <v/>
      </c>
      <c r="R1357" s="1">
        <v>0</v>
      </c>
      <c r="S1357" s="1" t="str">
        <f>""</f>
        <v/>
      </c>
      <c r="T1357" s="1" t="s">
        <v>29</v>
      </c>
      <c r="U1357" s="1" t="s">
        <v>30</v>
      </c>
      <c r="V1357" s="1">
        <v>0</v>
      </c>
    </row>
    <row r="1358" spans="2:22" x14ac:dyDescent="0.15">
      <c r="B1358" s="1" t="str">
        <f>"130****5656"</f>
        <v>130****5656</v>
      </c>
      <c r="C1358" s="1" t="s">
        <v>112</v>
      </c>
      <c r="D1358" s="1" t="str">
        <f t="shared" si="143"/>
        <v>89177328</v>
      </c>
      <c r="E1358" s="1" t="s">
        <v>24</v>
      </c>
      <c r="F1358" s="1" t="str">
        <f t="shared" si="144"/>
        <v>0010</v>
      </c>
      <c r="G1358" s="1" t="str">
        <f>""</f>
        <v/>
      </c>
      <c r="H1358" s="1" t="str">
        <f>"0017"</f>
        <v>0017</v>
      </c>
      <c r="I1358" s="1" t="s">
        <v>135</v>
      </c>
      <c r="J1358" s="1" t="str">
        <f>"01043989717"</f>
        <v>01043989717</v>
      </c>
      <c r="K1358" s="1" t="str">
        <f>"2017-04-01 15:55:59"</f>
        <v>2017-04-01 15:55:59</v>
      </c>
      <c r="L1358" s="1" t="str">
        <f t="shared" si="145"/>
        <v>-</v>
      </c>
      <c r="M1358" s="2">
        <v>0</v>
      </c>
      <c r="N1358" s="1" t="s">
        <v>33</v>
      </c>
      <c r="O1358" s="1" t="s">
        <v>34</v>
      </c>
      <c r="P1358" s="2">
        <v>5.7870370370370366E-5</v>
      </c>
      <c r="Q1358" s="1" t="str">
        <f>""</f>
        <v/>
      </c>
      <c r="R1358" s="1">
        <v>0</v>
      </c>
      <c r="S1358" s="1" t="str">
        <f>""</f>
        <v/>
      </c>
      <c r="T1358" s="1" t="s">
        <v>29</v>
      </c>
      <c r="U1358" s="1" t="s">
        <v>30</v>
      </c>
      <c r="V1358" s="1">
        <v>0</v>
      </c>
    </row>
    <row r="1359" spans="2:22" x14ac:dyDescent="0.15">
      <c r="B1359" s="1" t="str">
        <f>"186****0604"</f>
        <v>186****0604</v>
      </c>
      <c r="C1359" s="1" t="s">
        <v>23</v>
      </c>
      <c r="D1359" s="1" t="str">
        <f t="shared" si="143"/>
        <v>89177328</v>
      </c>
      <c r="E1359" s="1" t="s">
        <v>24</v>
      </c>
      <c r="F1359" s="1" t="str">
        <f t="shared" si="144"/>
        <v>0010</v>
      </c>
      <c r="G1359" s="1" t="str">
        <f>""</f>
        <v/>
      </c>
      <c r="H1359" s="1" t="str">
        <f>"0017"</f>
        <v>0017</v>
      </c>
      <c r="I1359" s="1" t="s">
        <v>135</v>
      </c>
      <c r="J1359" s="1" t="str">
        <f>"01043989717"</f>
        <v>01043989717</v>
      </c>
      <c r="K1359" s="1" t="str">
        <f>"2017-04-01 15:54:20"</f>
        <v>2017-04-01 15:54:20</v>
      </c>
      <c r="L1359" s="1" t="str">
        <f t="shared" si="145"/>
        <v>-</v>
      </c>
      <c r="M1359" s="2">
        <v>0</v>
      </c>
      <c r="N1359" s="1" t="s">
        <v>33</v>
      </c>
      <c r="O1359" s="1" t="s">
        <v>34</v>
      </c>
      <c r="P1359" s="2">
        <v>4.6296296296296294E-5</v>
      </c>
      <c r="Q1359" s="1" t="str">
        <f>""</f>
        <v/>
      </c>
      <c r="R1359" s="1">
        <v>0</v>
      </c>
      <c r="S1359" s="1" t="str">
        <f>""</f>
        <v/>
      </c>
      <c r="T1359" s="1" t="s">
        <v>29</v>
      </c>
      <c r="U1359" s="1" t="s">
        <v>30</v>
      </c>
      <c r="V1359" s="1">
        <v>0</v>
      </c>
    </row>
    <row r="1360" spans="2:22" x14ac:dyDescent="0.15">
      <c r="B1360" s="1" t="str">
        <f>"130****5656"</f>
        <v>130****5656</v>
      </c>
      <c r="C1360" s="1" t="s">
        <v>112</v>
      </c>
      <c r="D1360" s="1" t="str">
        <f t="shared" si="143"/>
        <v>89177328</v>
      </c>
      <c r="E1360" s="1" t="s">
        <v>24</v>
      </c>
      <c r="F1360" s="1" t="str">
        <f t="shared" si="144"/>
        <v>0010</v>
      </c>
      <c r="G1360" s="1" t="str">
        <f>""</f>
        <v/>
      </c>
      <c r="H1360" s="1" t="str">
        <f>"0017"</f>
        <v>0017</v>
      </c>
      <c r="I1360" s="1" t="s">
        <v>135</v>
      </c>
      <c r="J1360" s="1" t="str">
        <f>"01043989717"</f>
        <v>01043989717</v>
      </c>
      <c r="K1360" s="1" t="str">
        <f>"2017-04-01 15:53:50"</f>
        <v>2017-04-01 15:53:50</v>
      </c>
      <c r="L1360" s="1" t="str">
        <f t="shared" si="145"/>
        <v>-</v>
      </c>
      <c r="M1360" s="2">
        <v>0</v>
      </c>
      <c r="N1360" s="1" t="s">
        <v>33</v>
      </c>
      <c r="O1360" s="1" t="s">
        <v>34</v>
      </c>
      <c r="P1360" s="2">
        <v>2.3148148148148147E-5</v>
      </c>
      <c r="Q1360" s="1" t="str">
        <f>""</f>
        <v/>
      </c>
      <c r="R1360" s="1">
        <v>0</v>
      </c>
      <c r="S1360" s="1" t="str">
        <f>""</f>
        <v/>
      </c>
      <c r="T1360" s="1" t="s">
        <v>29</v>
      </c>
      <c r="U1360" s="1" t="s">
        <v>30</v>
      </c>
      <c r="V1360" s="1">
        <v>0</v>
      </c>
    </row>
    <row r="1361" spans="2:22" x14ac:dyDescent="0.15">
      <c r="B1361" s="1" t="str">
        <f>"186****0604"</f>
        <v>186****0604</v>
      </c>
      <c r="C1361" s="1" t="s">
        <v>23</v>
      </c>
      <c r="D1361" s="1" t="str">
        <f t="shared" si="143"/>
        <v>89177328</v>
      </c>
      <c r="E1361" s="1" t="s">
        <v>24</v>
      </c>
      <c r="F1361" s="1" t="str">
        <f t="shared" si="144"/>
        <v>0010</v>
      </c>
      <c r="G1361" s="1" t="str">
        <f>""</f>
        <v/>
      </c>
      <c r="H1361" s="1" t="str">
        <f>"0032"</f>
        <v>0032</v>
      </c>
      <c r="I1361" s="1" t="s">
        <v>119</v>
      </c>
      <c r="J1361" s="1" t="str">
        <f>"01043977566"</f>
        <v>01043977566</v>
      </c>
      <c r="K1361" s="1" t="str">
        <f>"2017-04-01 15:51:07"</f>
        <v>2017-04-01 15:51:07</v>
      </c>
      <c r="L1361" s="1" t="str">
        <f t="shared" si="145"/>
        <v>-</v>
      </c>
      <c r="M1361" s="2">
        <v>0</v>
      </c>
      <c r="N1361" s="1" t="s">
        <v>33</v>
      </c>
      <c r="O1361" s="1" t="s">
        <v>34</v>
      </c>
      <c r="P1361" s="2">
        <v>1.1574074074074073E-5</v>
      </c>
      <c r="Q1361" s="1" t="str">
        <f>""</f>
        <v/>
      </c>
      <c r="R1361" s="1">
        <v>0</v>
      </c>
      <c r="S1361" s="1" t="str">
        <f>""</f>
        <v/>
      </c>
      <c r="T1361" s="1" t="s">
        <v>29</v>
      </c>
      <c r="U1361" s="1" t="s">
        <v>30</v>
      </c>
      <c r="V1361" s="1">
        <v>0</v>
      </c>
    </row>
    <row r="1362" spans="2:22" x14ac:dyDescent="0.15">
      <c r="B1362" s="1" t="str">
        <f>"130****5656"</f>
        <v>130****5656</v>
      </c>
      <c r="C1362" s="1" t="s">
        <v>112</v>
      </c>
      <c r="D1362" s="1" t="str">
        <f t="shared" si="143"/>
        <v>89177328</v>
      </c>
      <c r="E1362" s="1" t="s">
        <v>24</v>
      </c>
      <c r="F1362" s="1" t="str">
        <f t="shared" si="144"/>
        <v>0010</v>
      </c>
      <c r="G1362" s="1" t="str">
        <f>""</f>
        <v/>
      </c>
      <c r="H1362" s="1" t="str">
        <f>"0017"</f>
        <v>0017</v>
      </c>
      <c r="I1362" s="1" t="s">
        <v>135</v>
      </c>
      <c r="J1362" s="1" t="str">
        <f>"01043989717"</f>
        <v>01043989717</v>
      </c>
      <c r="K1362" s="1" t="str">
        <f>"2017-04-01 15:51:06"</f>
        <v>2017-04-01 15:51:06</v>
      </c>
      <c r="L1362" s="1" t="str">
        <f t="shared" si="145"/>
        <v>-</v>
      </c>
      <c r="M1362" s="2">
        <v>0</v>
      </c>
      <c r="N1362" s="1" t="s">
        <v>33</v>
      </c>
      <c r="O1362" s="1" t="s">
        <v>34</v>
      </c>
      <c r="P1362" s="2">
        <v>3.4722222222222222E-5</v>
      </c>
      <c r="Q1362" s="1" t="str">
        <f>""</f>
        <v/>
      </c>
      <c r="R1362" s="1">
        <v>0</v>
      </c>
      <c r="S1362" s="1" t="str">
        <f>""</f>
        <v/>
      </c>
      <c r="T1362" s="1" t="s">
        <v>29</v>
      </c>
      <c r="U1362" s="1" t="s">
        <v>30</v>
      </c>
      <c r="V1362" s="1">
        <v>0</v>
      </c>
    </row>
    <row r="1363" spans="2:22" x14ac:dyDescent="0.15">
      <c r="B1363" s="1" t="str">
        <f>"176****5270"</f>
        <v>176****5270</v>
      </c>
      <c r="C1363" s="1" t="s">
        <v>23</v>
      </c>
      <c r="D1363" s="1" t="str">
        <f t="shared" si="143"/>
        <v>89177328</v>
      </c>
      <c r="E1363" s="1" t="s">
        <v>24</v>
      </c>
      <c r="F1363" s="1" t="str">
        <f t="shared" si="144"/>
        <v>0010</v>
      </c>
      <c r="G1363" s="1" t="str">
        <f>""</f>
        <v/>
      </c>
      <c r="H1363" s="1" t="str">
        <f>"0031"</f>
        <v>0031</v>
      </c>
      <c r="I1363" s="1" t="s">
        <v>95</v>
      </c>
      <c r="J1363" s="1" t="str">
        <f>"01043977565"</f>
        <v>01043977565</v>
      </c>
      <c r="K1363" s="1" t="str">
        <f>"2017-04-01 15:47:53"</f>
        <v>2017-04-01 15:47:53</v>
      </c>
      <c r="L1363" s="1" t="str">
        <f t="shared" si="145"/>
        <v>-</v>
      </c>
      <c r="M1363" s="2">
        <v>0</v>
      </c>
      <c r="N1363" s="1" t="s">
        <v>33</v>
      </c>
      <c r="O1363" s="1" t="s">
        <v>34</v>
      </c>
      <c r="P1363" s="2">
        <v>2.3148148148148147E-5</v>
      </c>
      <c r="Q1363" s="1" t="str">
        <f>""</f>
        <v/>
      </c>
      <c r="R1363" s="1">
        <v>0</v>
      </c>
      <c r="S1363" s="1" t="str">
        <f>""</f>
        <v/>
      </c>
      <c r="T1363" s="1" t="s">
        <v>29</v>
      </c>
      <c r="U1363" s="1" t="s">
        <v>30</v>
      </c>
      <c r="V1363" s="1">
        <v>0</v>
      </c>
    </row>
    <row r="1364" spans="2:22" x14ac:dyDescent="0.15">
      <c r="B1364" s="1" t="str">
        <f>"187****8895"</f>
        <v>187****8895</v>
      </c>
      <c r="C1364" s="1" t="s">
        <v>23</v>
      </c>
      <c r="D1364" s="1" t="str">
        <f t="shared" si="143"/>
        <v>89177328</v>
      </c>
      <c r="E1364" s="1" t="s">
        <v>24</v>
      </c>
      <c r="F1364" s="1" t="str">
        <f t="shared" si="144"/>
        <v>0010</v>
      </c>
      <c r="G1364" s="1" t="str">
        <f>""</f>
        <v/>
      </c>
      <c r="H1364" s="1" t="str">
        <f>"0031"</f>
        <v>0031</v>
      </c>
      <c r="I1364" s="1" t="s">
        <v>95</v>
      </c>
      <c r="J1364" s="1" t="str">
        <f>"01043977565"</f>
        <v>01043977565</v>
      </c>
      <c r="K1364" s="1" t="str">
        <f>"2017-04-01 15:46:48"</f>
        <v>2017-04-01 15:46:48</v>
      </c>
      <c r="L1364" s="1" t="str">
        <f t="shared" si="145"/>
        <v>-</v>
      </c>
      <c r="M1364" s="2">
        <v>0</v>
      </c>
      <c r="N1364" s="1" t="s">
        <v>33</v>
      </c>
      <c r="O1364" s="1" t="s">
        <v>34</v>
      </c>
      <c r="P1364" s="2">
        <v>4.6296296296296294E-5</v>
      </c>
      <c r="Q1364" s="1" t="str">
        <f>""</f>
        <v/>
      </c>
      <c r="R1364" s="1">
        <v>0</v>
      </c>
      <c r="S1364" s="1" t="str">
        <f>""</f>
        <v/>
      </c>
      <c r="T1364" s="1" t="s">
        <v>29</v>
      </c>
      <c r="U1364" s="1" t="s">
        <v>30</v>
      </c>
      <c r="V1364" s="1">
        <v>0</v>
      </c>
    </row>
    <row r="1365" spans="2:22" x14ac:dyDescent="0.15">
      <c r="B1365" s="1" t="str">
        <f>"176****5270"</f>
        <v>176****5270</v>
      </c>
      <c r="C1365" s="1" t="s">
        <v>23</v>
      </c>
      <c r="D1365" s="1" t="str">
        <f t="shared" si="143"/>
        <v>89177328</v>
      </c>
      <c r="E1365" s="1" t="s">
        <v>24</v>
      </c>
      <c r="F1365" s="1" t="str">
        <f t="shared" si="144"/>
        <v>0010</v>
      </c>
      <c r="G1365" s="1" t="str">
        <f>""</f>
        <v/>
      </c>
      <c r="H1365" s="1" t="str">
        <f>"0031"</f>
        <v>0031</v>
      </c>
      <c r="I1365" s="1" t="s">
        <v>95</v>
      </c>
      <c r="J1365" s="1" t="str">
        <f>"01043977565"</f>
        <v>01043977565</v>
      </c>
      <c r="K1365" s="1" t="str">
        <f>"2017-04-01 15:43:54"</f>
        <v>2017-04-01 15:43:54</v>
      </c>
      <c r="L1365" s="1" t="str">
        <f t="shared" si="145"/>
        <v>-</v>
      </c>
      <c r="M1365" s="2">
        <v>0</v>
      </c>
      <c r="N1365" s="1" t="s">
        <v>33</v>
      </c>
      <c r="O1365" s="1" t="s">
        <v>34</v>
      </c>
      <c r="P1365" s="2">
        <v>5.7870370370370366E-5</v>
      </c>
      <c r="Q1365" s="1" t="str">
        <f>""</f>
        <v/>
      </c>
      <c r="R1365" s="1">
        <v>0</v>
      </c>
      <c r="S1365" s="1" t="str">
        <f>""</f>
        <v/>
      </c>
      <c r="T1365" s="1" t="s">
        <v>29</v>
      </c>
      <c r="U1365" s="1" t="s">
        <v>30</v>
      </c>
      <c r="V1365" s="1">
        <v>0</v>
      </c>
    </row>
    <row r="1366" spans="2:22" x14ac:dyDescent="0.15">
      <c r="B1366" s="1" t="str">
        <f>"187****8895"</f>
        <v>187****8895</v>
      </c>
      <c r="C1366" s="1" t="s">
        <v>23</v>
      </c>
      <c r="D1366" s="1" t="str">
        <f t="shared" si="143"/>
        <v>89177328</v>
      </c>
      <c r="E1366" s="1" t="s">
        <v>24</v>
      </c>
      <c r="F1366" s="1" t="str">
        <f t="shared" si="144"/>
        <v>0010</v>
      </c>
      <c r="G1366" s="1" t="str">
        <f>""</f>
        <v/>
      </c>
      <c r="H1366" s="1" t="str">
        <f>"0035"</f>
        <v>0035</v>
      </c>
      <c r="I1366" s="1" t="s">
        <v>25</v>
      </c>
      <c r="J1366" s="1" t="str">
        <f>"01043977569"</f>
        <v>01043977569</v>
      </c>
      <c r="K1366" s="1" t="str">
        <f>"2017-04-01 15:43:34"</f>
        <v>2017-04-01 15:43:34</v>
      </c>
      <c r="L1366" s="1" t="str">
        <f t="shared" si="145"/>
        <v>-</v>
      </c>
      <c r="M1366" s="2">
        <v>0</v>
      </c>
      <c r="N1366" s="1" t="s">
        <v>33</v>
      </c>
      <c r="O1366" s="1" t="s">
        <v>34</v>
      </c>
      <c r="P1366" s="2">
        <v>4.6296296296296294E-5</v>
      </c>
      <c r="Q1366" s="1" t="str">
        <f>""</f>
        <v/>
      </c>
      <c r="R1366" s="1">
        <v>0</v>
      </c>
      <c r="S1366" s="1" t="str">
        <f>""</f>
        <v/>
      </c>
      <c r="T1366" s="1" t="s">
        <v>29</v>
      </c>
      <c r="U1366" s="1" t="s">
        <v>30</v>
      </c>
      <c r="V1366" s="1">
        <v>0</v>
      </c>
    </row>
    <row r="1367" spans="2:22" x14ac:dyDescent="0.15">
      <c r="B1367" s="1" t="str">
        <f>"151****3112"</f>
        <v>151****3112</v>
      </c>
      <c r="C1367" s="1" t="s">
        <v>283</v>
      </c>
      <c r="D1367" s="1" t="str">
        <f t="shared" si="143"/>
        <v>89177328</v>
      </c>
      <c r="E1367" s="1" t="s">
        <v>24</v>
      </c>
      <c r="F1367" s="1" t="str">
        <f t="shared" si="144"/>
        <v>0010</v>
      </c>
      <c r="G1367" s="1" t="str">
        <f>""</f>
        <v/>
      </c>
      <c r="H1367" s="1" t="str">
        <f>"0031"</f>
        <v>0031</v>
      </c>
      <c r="I1367" s="1" t="s">
        <v>95</v>
      </c>
      <c r="J1367" s="1" t="str">
        <f>"01043977565"</f>
        <v>01043977565</v>
      </c>
      <c r="K1367" s="1" t="str">
        <f>"2017-04-01 15:43:14"</f>
        <v>2017-04-01 15:43:14</v>
      </c>
      <c r="L1367" s="1" t="str">
        <f>"2017-04-01 15:43:23"</f>
        <v>2017-04-01 15:43:23</v>
      </c>
      <c r="M1367" s="2">
        <v>8.1018518518518516E-5</v>
      </c>
      <c r="N1367" s="1" t="s">
        <v>26</v>
      </c>
      <c r="O1367" s="1" t="s">
        <v>34</v>
      </c>
      <c r="P1367" s="2">
        <v>1.8518518518518518E-4</v>
      </c>
      <c r="Q1367" s="1" t="s">
        <v>1050</v>
      </c>
      <c r="R1367" s="1">
        <v>0</v>
      </c>
      <c r="S1367" s="1" t="str">
        <f>""</f>
        <v/>
      </c>
      <c r="T1367" s="1" t="s">
        <v>29</v>
      </c>
      <c r="U1367" s="1" t="s">
        <v>30</v>
      </c>
      <c r="V1367" s="1">
        <v>0</v>
      </c>
    </row>
    <row r="1368" spans="2:22" x14ac:dyDescent="0.15">
      <c r="B1368" s="1" t="str">
        <f>"0313015933364947"</f>
        <v>0313015933364947</v>
      </c>
      <c r="C1368" s="1" t="s">
        <v>44</v>
      </c>
      <c r="D1368" s="1" t="str">
        <f t="shared" si="143"/>
        <v>89177328</v>
      </c>
      <c r="E1368" s="1" t="s">
        <v>24</v>
      </c>
      <c r="F1368" s="1" t="str">
        <f t="shared" si="144"/>
        <v>0010</v>
      </c>
      <c r="G1368" s="1" t="str">
        <f>""</f>
        <v/>
      </c>
      <c r="H1368" s="1" t="str">
        <f>"0036"</f>
        <v>0036</v>
      </c>
      <c r="I1368" s="1" t="s">
        <v>143</v>
      </c>
      <c r="J1368" s="1" t="str">
        <f>"01043977573"</f>
        <v>01043977573</v>
      </c>
      <c r="K1368" s="1" t="str">
        <f>"2017-04-01 15:43:13"</f>
        <v>2017-04-01 15:43:13</v>
      </c>
      <c r="L1368" s="1" t="str">
        <f>"2017-04-01 15:43:19"</f>
        <v>2017-04-01 15:43:19</v>
      </c>
      <c r="M1368" s="2">
        <v>1.0069444444444445E-2</v>
      </c>
      <c r="N1368" s="1" t="s">
        <v>26</v>
      </c>
      <c r="O1368" s="1" t="s">
        <v>34</v>
      </c>
      <c r="P1368" s="2">
        <v>1.0138888888888888E-2</v>
      </c>
      <c r="Q1368" s="1" t="s">
        <v>1051</v>
      </c>
      <c r="R1368" s="1">
        <v>0</v>
      </c>
      <c r="S1368" s="1" t="str">
        <f>""</f>
        <v/>
      </c>
      <c r="T1368" s="1" t="s">
        <v>29</v>
      </c>
      <c r="U1368" s="1" t="s">
        <v>30</v>
      </c>
      <c r="V1368" s="1">
        <v>0</v>
      </c>
    </row>
    <row r="1369" spans="2:22" x14ac:dyDescent="0.15">
      <c r="B1369" s="1" t="str">
        <f>"176****5270"</f>
        <v>176****5270</v>
      </c>
      <c r="C1369" s="1" t="s">
        <v>23</v>
      </c>
      <c r="D1369" s="1" t="str">
        <f t="shared" si="143"/>
        <v>89177328</v>
      </c>
      <c r="E1369" s="1" t="s">
        <v>24</v>
      </c>
      <c r="F1369" s="1" t="str">
        <f t="shared" si="144"/>
        <v>0010</v>
      </c>
      <c r="G1369" s="1" t="str">
        <f>""</f>
        <v/>
      </c>
      <c r="H1369" s="1" t="str">
        <f>"0036"</f>
        <v>0036</v>
      </c>
      <c r="I1369" s="1" t="s">
        <v>143</v>
      </c>
      <c r="J1369" s="1" t="str">
        <f>"01043977573"</f>
        <v>01043977573</v>
      </c>
      <c r="K1369" s="1" t="str">
        <f>"2017-04-01 15:41:48"</f>
        <v>2017-04-01 15:41:48</v>
      </c>
      <c r="L1369" s="1" t="str">
        <f>"-"</f>
        <v>-</v>
      </c>
      <c r="M1369" s="2">
        <v>0</v>
      </c>
      <c r="N1369" s="1" t="s">
        <v>33</v>
      </c>
      <c r="O1369" s="1" t="s">
        <v>34</v>
      </c>
      <c r="P1369" s="2">
        <v>3.4722222222222222E-5</v>
      </c>
      <c r="Q1369" s="1" t="str">
        <f>""</f>
        <v/>
      </c>
      <c r="R1369" s="1">
        <v>0</v>
      </c>
      <c r="S1369" s="1" t="str">
        <f>""</f>
        <v/>
      </c>
      <c r="T1369" s="1" t="s">
        <v>29</v>
      </c>
      <c r="U1369" s="1" t="s">
        <v>30</v>
      </c>
      <c r="V1369" s="1">
        <v>0</v>
      </c>
    </row>
    <row r="1370" spans="2:22" x14ac:dyDescent="0.15">
      <c r="B1370" s="1" t="str">
        <f>"151****3112"</f>
        <v>151****3112</v>
      </c>
      <c r="C1370" s="1" t="s">
        <v>283</v>
      </c>
      <c r="D1370" s="1" t="str">
        <f t="shared" si="143"/>
        <v>89177328</v>
      </c>
      <c r="E1370" s="1" t="s">
        <v>24</v>
      </c>
      <c r="F1370" s="1" t="str">
        <f t="shared" si="144"/>
        <v>0010</v>
      </c>
      <c r="G1370" s="1" t="str">
        <f>""</f>
        <v/>
      </c>
      <c r="H1370" s="1" t="str">
        <f>"0031"</f>
        <v>0031</v>
      </c>
      <c r="I1370" s="1" t="s">
        <v>95</v>
      </c>
      <c r="J1370" s="1" t="str">
        <f>"01043977565"</f>
        <v>01043977565</v>
      </c>
      <c r="K1370" s="1" t="str">
        <f>"2017-04-01 15:41:05"</f>
        <v>2017-04-01 15:41:05</v>
      </c>
      <c r="L1370" s="1" t="str">
        <f>"2017-04-01 15:41:14"</f>
        <v>2017-04-01 15:41:14</v>
      </c>
      <c r="M1370" s="2">
        <v>1.1574074074074073E-4</v>
      </c>
      <c r="N1370" s="1" t="s">
        <v>26</v>
      </c>
      <c r="O1370" s="1" t="s">
        <v>34</v>
      </c>
      <c r="P1370" s="2">
        <v>2.199074074074074E-4</v>
      </c>
      <c r="Q1370" s="1" t="s">
        <v>1052</v>
      </c>
      <c r="R1370" s="1">
        <v>0</v>
      </c>
      <c r="S1370" s="1" t="str">
        <f>""</f>
        <v/>
      </c>
      <c r="T1370" s="1" t="s">
        <v>29</v>
      </c>
      <c r="U1370" s="1" t="s">
        <v>30</v>
      </c>
      <c r="V1370" s="1">
        <v>0</v>
      </c>
    </row>
    <row r="1371" spans="2:22" x14ac:dyDescent="0.15">
      <c r="B1371" s="1" t="str">
        <f>"187****8895"</f>
        <v>187****8895</v>
      </c>
      <c r="C1371" s="1" t="s">
        <v>23</v>
      </c>
      <c r="D1371" s="1" t="str">
        <f t="shared" si="143"/>
        <v>89177328</v>
      </c>
      <c r="E1371" s="1" t="s">
        <v>24</v>
      </c>
      <c r="F1371" s="1" t="str">
        <f t="shared" si="144"/>
        <v>0010</v>
      </c>
      <c r="G1371" s="1" t="str">
        <f>""</f>
        <v/>
      </c>
      <c r="H1371" s="1" t="str">
        <f>"0036"</f>
        <v>0036</v>
      </c>
      <c r="I1371" s="1" t="s">
        <v>143</v>
      </c>
      <c r="J1371" s="1" t="str">
        <f>"01043977573"</f>
        <v>01043977573</v>
      </c>
      <c r="K1371" s="1" t="str">
        <f>"2017-04-01 15:39:52"</f>
        <v>2017-04-01 15:39:52</v>
      </c>
      <c r="L1371" s="1" t="str">
        <f>"-"</f>
        <v>-</v>
      </c>
      <c r="M1371" s="2">
        <v>0</v>
      </c>
      <c r="N1371" s="1" t="s">
        <v>33</v>
      </c>
      <c r="O1371" s="1" t="s">
        <v>34</v>
      </c>
      <c r="P1371" s="2">
        <v>5.7870370370370366E-5</v>
      </c>
      <c r="Q1371" s="1" t="str">
        <f>""</f>
        <v/>
      </c>
      <c r="R1371" s="1">
        <v>0</v>
      </c>
      <c r="S1371" s="1" t="str">
        <f>""</f>
        <v/>
      </c>
      <c r="T1371" s="1" t="s">
        <v>29</v>
      </c>
      <c r="U1371" s="1" t="s">
        <v>30</v>
      </c>
      <c r="V1371" s="1">
        <v>0</v>
      </c>
    </row>
    <row r="1372" spans="2:22" x14ac:dyDescent="0.15">
      <c r="B1372" s="1" t="str">
        <f>"022****8470"</f>
        <v>022****8470</v>
      </c>
      <c r="C1372" s="1" t="s">
        <v>35</v>
      </c>
      <c r="D1372" s="1" t="str">
        <f>"4000108333"</f>
        <v>4000108333</v>
      </c>
      <c r="E1372" s="1" t="s">
        <v>53</v>
      </c>
      <c r="F1372" s="1" t="str">
        <f>"010"</f>
        <v>010</v>
      </c>
      <c r="G1372" s="1" t="s">
        <v>71</v>
      </c>
      <c r="H1372" s="1" t="str">
        <f>""</f>
        <v/>
      </c>
      <c r="I1372" s="1" t="str">
        <f>""</f>
        <v/>
      </c>
      <c r="J1372" s="1" t="str">
        <f>"13718091869"</f>
        <v>13718091869</v>
      </c>
      <c r="K1372" s="1" t="str">
        <f>"2017-04-01 15:34:19"</f>
        <v>2017-04-01 15:34:19</v>
      </c>
      <c r="L1372" s="1" t="str">
        <f>"-"</f>
        <v>-</v>
      </c>
      <c r="M1372" s="2">
        <v>0</v>
      </c>
      <c r="N1372" s="1" t="s">
        <v>33</v>
      </c>
      <c r="O1372" s="1" t="s">
        <v>34</v>
      </c>
      <c r="P1372" s="2">
        <v>8.6805555555555551E-4</v>
      </c>
      <c r="Q1372" s="1" t="str">
        <f>""</f>
        <v/>
      </c>
      <c r="R1372" s="1">
        <v>0.24</v>
      </c>
      <c r="S1372" s="1" t="str">
        <f>""</f>
        <v/>
      </c>
      <c r="T1372" s="1" t="s">
        <v>29</v>
      </c>
      <c r="U1372" s="1" t="s">
        <v>30</v>
      </c>
      <c r="V1372" s="1">
        <v>0</v>
      </c>
    </row>
    <row r="1373" spans="2:22" x14ac:dyDescent="0.15">
      <c r="B1373" s="1" t="str">
        <f>"138****5882"</f>
        <v>138****5882</v>
      </c>
      <c r="C1373" s="1" t="s">
        <v>1053</v>
      </c>
      <c r="D1373" s="1" t="str">
        <f>"89177328"</f>
        <v>89177328</v>
      </c>
      <c r="E1373" s="1" t="s">
        <v>24</v>
      </c>
      <c r="F1373" s="1" t="str">
        <f>"0010"</f>
        <v>0010</v>
      </c>
      <c r="G1373" s="1" t="str">
        <f>""</f>
        <v/>
      </c>
      <c r="H1373" s="1" t="str">
        <f>"0012"</f>
        <v>0012</v>
      </c>
      <c r="I1373" s="1" t="s">
        <v>612</v>
      </c>
      <c r="J1373" s="1" t="str">
        <f>"01043989720"</f>
        <v>01043989720</v>
      </c>
      <c r="K1373" s="1" t="str">
        <f>"2017-04-01 15:32:27"</f>
        <v>2017-04-01 15:32:27</v>
      </c>
      <c r="L1373" s="1" t="str">
        <f>"2017-04-01 15:32:36"</f>
        <v>2017-04-01 15:32:36</v>
      </c>
      <c r="M1373" s="2">
        <v>4.8611111111111104E-4</v>
      </c>
      <c r="N1373" s="1" t="s">
        <v>26</v>
      </c>
      <c r="O1373" s="1" t="s">
        <v>34</v>
      </c>
      <c r="P1373" s="2">
        <v>5.9027777777777778E-4</v>
      </c>
      <c r="Q1373" s="1" t="s">
        <v>1054</v>
      </c>
      <c r="R1373" s="1">
        <v>0</v>
      </c>
      <c r="S1373" s="1" t="str">
        <f>""</f>
        <v/>
      </c>
      <c r="T1373" s="1" t="s">
        <v>29</v>
      </c>
      <c r="U1373" s="1" t="s">
        <v>30</v>
      </c>
      <c r="V1373" s="1">
        <v>0</v>
      </c>
    </row>
    <row r="1374" spans="2:22" x14ac:dyDescent="0.15">
      <c r="B1374" s="1" t="str">
        <f>"022****8470"</f>
        <v>022****8470</v>
      </c>
      <c r="C1374" s="1" t="s">
        <v>35</v>
      </c>
      <c r="D1374" s="1" t="str">
        <f>"4000108333"</f>
        <v>4000108333</v>
      </c>
      <c r="E1374" s="1" t="s">
        <v>53</v>
      </c>
      <c r="F1374" s="1" t="str">
        <f>"010"</f>
        <v>010</v>
      </c>
      <c r="G1374" s="1" t="s">
        <v>71</v>
      </c>
      <c r="H1374" s="1" t="str">
        <f>""</f>
        <v/>
      </c>
      <c r="I1374" s="1" t="str">
        <f>""</f>
        <v/>
      </c>
      <c r="J1374" s="1" t="str">
        <f>"13718091869"</f>
        <v>13718091869</v>
      </c>
      <c r="K1374" s="1" t="str">
        <f>"2017-04-01 15:31:16"</f>
        <v>2017-04-01 15:31:16</v>
      </c>
      <c r="L1374" s="1" t="str">
        <f>"-"</f>
        <v>-</v>
      </c>
      <c r="M1374" s="2">
        <v>0</v>
      </c>
      <c r="N1374" s="1" t="s">
        <v>33</v>
      </c>
      <c r="O1374" s="1" t="s">
        <v>34</v>
      </c>
      <c r="P1374" s="2">
        <v>1.4120370370370369E-3</v>
      </c>
      <c r="Q1374" s="1" t="str">
        <f>""</f>
        <v/>
      </c>
      <c r="R1374" s="1">
        <v>0.24</v>
      </c>
      <c r="S1374" s="1" t="str">
        <f>""</f>
        <v/>
      </c>
      <c r="T1374" s="1" t="s">
        <v>29</v>
      </c>
      <c r="U1374" s="1" t="s">
        <v>30</v>
      </c>
      <c r="V1374" s="1">
        <v>0</v>
      </c>
    </row>
    <row r="1375" spans="2:22" x14ac:dyDescent="0.15">
      <c r="B1375" s="1" t="str">
        <f>"022****8470"</f>
        <v>022****8470</v>
      </c>
      <c r="C1375" s="1" t="s">
        <v>35</v>
      </c>
      <c r="D1375" s="1" t="str">
        <f>"4000108333"</f>
        <v>4000108333</v>
      </c>
      <c r="E1375" s="1" t="s">
        <v>53</v>
      </c>
      <c r="F1375" s="1" t="str">
        <f>"0000"</f>
        <v>0000</v>
      </c>
      <c r="G1375" s="1" t="str">
        <f>""</f>
        <v/>
      </c>
      <c r="H1375" s="1" t="str">
        <f>"1012"</f>
        <v>1012</v>
      </c>
      <c r="I1375" s="1" t="s">
        <v>54</v>
      </c>
      <c r="J1375" s="1" t="str">
        <f>"13611040764"</f>
        <v>13611040764</v>
      </c>
      <c r="K1375" s="1" t="str">
        <f>"2017-04-01 15:29:49"</f>
        <v>2017-04-01 15:29:49</v>
      </c>
      <c r="L1375" s="1" t="str">
        <f>"2017-04-01 15:30:28"</f>
        <v>2017-04-01 15:30:28</v>
      </c>
      <c r="M1375" s="2">
        <v>3.1250000000000001E-4</v>
      </c>
      <c r="N1375" s="1" t="s">
        <v>26</v>
      </c>
      <c r="O1375" s="1" t="s">
        <v>34</v>
      </c>
      <c r="P1375" s="2">
        <v>7.6388888888888893E-4</v>
      </c>
      <c r="Q1375" s="1" t="s">
        <v>1055</v>
      </c>
      <c r="R1375" s="1">
        <v>0.24</v>
      </c>
      <c r="S1375" s="1" t="str">
        <f>""</f>
        <v/>
      </c>
      <c r="T1375" s="1" t="s">
        <v>29</v>
      </c>
      <c r="U1375" s="1" t="s">
        <v>30</v>
      </c>
      <c r="V1375" s="1">
        <v>0</v>
      </c>
    </row>
    <row r="1376" spans="2:22" x14ac:dyDescent="0.15">
      <c r="B1376" s="1" t="str">
        <f>"0312187****7666"</f>
        <v>0312187****7666</v>
      </c>
      <c r="C1376" s="1" t="s">
        <v>99</v>
      </c>
      <c r="D1376" s="1" t="str">
        <f>"89177328"</f>
        <v>89177328</v>
      </c>
      <c r="E1376" s="1" t="s">
        <v>24</v>
      </c>
      <c r="F1376" s="1" t="str">
        <f>"0010"</f>
        <v>0010</v>
      </c>
      <c r="G1376" s="1" t="str">
        <f>""</f>
        <v/>
      </c>
      <c r="H1376" s="1" t="str">
        <f>"0018"</f>
        <v>0018</v>
      </c>
      <c r="I1376" s="1" t="s">
        <v>36</v>
      </c>
      <c r="J1376" s="1" t="str">
        <f>"01043977572"</f>
        <v>01043977572</v>
      </c>
      <c r="K1376" s="1" t="str">
        <f>"2017-04-01 15:15:02"</f>
        <v>2017-04-01 15:15:02</v>
      </c>
      <c r="L1376" s="1" t="str">
        <f>"2017-04-01 15:15:36"</f>
        <v>2017-04-01 15:15:36</v>
      </c>
      <c r="M1376" s="2">
        <v>1.1921296296296298E-2</v>
      </c>
      <c r="N1376" s="1" t="s">
        <v>26</v>
      </c>
      <c r="O1376" s="1" t="s">
        <v>34</v>
      </c>
      <c r="P1376" s="2">
        <v>1.2314814814814815E-2</v>
      </c>
      <c r="Q1376" s="1" t="s">
        <v>1056</v>
      </c>
      <c r="R1376" s="1">
        <v>0</v>
      </c>
      <c r="S1376" s="1" t="str">
        <f>""</f>
        <v/>
      </c>
      <c r="T1376" s="1" t="s">
        <v>29</v>
      </c>
      <c r="U1376" s="1" t="s">
        <v>30</v>
      </c>
      <c r="V1376" s="1">
        <v>0</v>
      </c>
    </row>
    <row r="1377" spans="2:22" x14ac:dyDescent="0.15">
      <c r="B1377" s="1" t="str">
        <f>"185****0197"</f>
        <v>185****0197</v>
      </c>
      <c r="C1377" s="1" t="s">
        <v>99</v>
      </c>
      <c r="D1377" s="1" t="str">
        <f>"89177328"</f>
        <v>89177328</v>
      </c>
      <c r="E1377" s="1" t="s">
        <v>24</v>
      </c>
      <c r="F1377" s="1" t="str">
        <f>"0010"</f>
        <v>0010</v>
      </c>
      <c r="G1377" s="1" t="str">
        <f>""</f>
        <v/>
      </c>
      <c r="H1377" s="1" t="str">
        <f>"0033"</f>
        <v>0033</v>
      </c>
      <c r="I1377" s="1" t="s">
        <v>106</v>
      </c>
      <c r="J1377" s="1" t="str">
        <f>"01043977567"</f>
        <v>01043977567</v>
      </c>
      <c r="K1377" s="1" t="str">
        <f>"2017-04-01 15:11:09"</f>
        <v>2017-04-01 15:11:09</v>
      </c>
      <c r="L1377" s="1" t="str">
        <f>"2017-04-01 15:11:18"</f>
        <v>2017-04-01 15:11:18</v>
      </c>
      <c r="M1377" s="2">
        <v>1.5555555555555553E-2</v>
      </c>
      <c r="N1377" s="1" t="s">
        <v>26</v>
      </c>
      <c r="O1377" s="1" t="s">
        <v>27</v>
      </c>
      <c r="P1377" s="2">
        <v>1.5659722222222224E-2</v>
      </c>
      <c r="Q1377" s="1" t="s">
        <v>1057</v>
      </c>
      <c r="R1377" s="1">
        <v>0</v>
      </c>
      <c r="S1377" s="1" t="str">
        <f>""</f>
        <v/>
      </c>
      <c r="T1377" s="1" t="s">
        <v>29</v>
      </c>
      <c r="U1377" s="1" t="s">
        <v>30</v>
      </c>
      <c r="V1377" s="1">
        <v>0</v>
      </c>
    </row>
    <row r="1378" spans="2:22" x14ac:dyDescent="0.15">
      <c r="B1378" s="1" t="str">
        <f>"188****1810"</f>
        <v>188****1810</v>
      </c>
      <c r="C1378" s="1" t="s">
        <v>51</v>
      </c>
      <c r="D1378" s="1" t="str">
        <f>"89177328"</f>
        <v>89177328</v>
      </c>
      <c r="E1378" s="1" t="s">
        <v>24</v>
      </c>
      <c r="F1378" s="1" t="str">
        <f>"0010"</f>
        <v>0010</v>
      </c>
      <c r="G1378" s="1" t="str">
        <f>""</f>
        <v/>
      </c>
      <c r="H1378" s="1" t="str">
        <f>"0012"</f>
        <v>0012</v>
      </c>
      <c r="I1378" s="1" t="s">
        <v>612</v>
      </c>
      <c r="J1378" s="1" t="str">
        <f>"01043989720"</f>
        <v>01043989720</v>
      </c>
      <c r="K1378" s="1" t="str">
        <f>"2017-04-01 15:09:27"</f>
        <v>2017-04-01 15:09:27</v>
      </c>
      <c r="L1378" s="1" t="str">
        <f>"2017-04-01 15:09:38"</f>
        <v>2017-04-01 15:09:38</v>
      </c>
      <c r="M1378" s="2">
        <v>1.4004629629629631E-2</v>
      </c>
      <c r="N1378" s="1" t="s">
        <v>26</v>
      </c>
      <c r="O1378" s="1" t="s">
        <v>34</v>
      </c>
      <c r="P1378" s="2">
        <v>1.4131944444444445E-2</v>
      </c>
      <c r="Q1378" s="1" t="s">
        <v>1058</v>
      </c>
      <c r="R1378" s="1">
        <v>0</v>
      </c>
      <c r="S1378" s="1" t="str">
        <f>""</f>
        <v/>
      </c>
      <c r="T1378" s="1" t="s">
        <v>29</v>
      </c>
      <c r="U1378" s="1" t="s">
        <v>30</v>
      </c>
      <c r="V1378" s="1">
        <v>0</v>
      </c>
    </row>
    <row r="1379" spans="2:22" x14ac:dyDescent="0.15">
      <c r="B1379" s="1" t="str">
        <f>"155****0725"</f>
        <v>155****0725</v>
      </c>
      <c r="C1379" s="1" t="s">
        <v>112</v>
      </c>
      <c r="D1379" s="1" t="str">
        <f>"89177328"</f>
        <v>89177328</v>
      </c>
      <c r="E1379" s="1" t="s">
        <v>24</v>
      </c>
      <c r="F1379" s="1" t="str">
        <f>"0010"</f>
        <v>0010</v>
      </c>
      <c r="G1379" s="1" t="str">
        <f>""</f>
        <v/>
      </c>
      <c r="H1379" s="1" t="str">
        <f>"0035"</f>
        <v>0035</v>
      </c>
      <c r="I1379" s="1" t="s">
        <v>25</v>
      </c>
      <c r="J1379" s="1" t="str">
        <f>"01043977569"</f>
        <v>01043977569</v>
      </c>
      <c r="K1379" s="1" t="str">
        <f>"2017-04-01 14:57:53"</f>
        <v>2017-04-01 14:57:53</v>
      </c>
      <c r="L1379" s="1" t="str">
        <f>"-"</f>
        <v>-</v>
      </c>
      <c r="M1379" s="2">
        <v>0</v>
      </c>
      <c r="N1379" s="1" t="s">
        <v>33</v>
      </c>
      <c r="O1379" s="1" t="s">
        <v>34</v>
      </c>
      <c r="P1379" s="2">
        <v>2.3148148148148147E-5</v>
      </c>
      <c r="Q1379" s="1" t="str">
        <f>""</f>
        <v/>
      </c>
      <c r="R1379" s="1">
        <v>0</v>
      </c>
      <c r="S1379" s="1" t="str">
        <f>""</f>
        <v/>
      </c>
      <c r="T1379" s="1" t="s">
        <v>29</v>
      </c>
      <c r="U1379" s="1" t="s">
        <v>30</v>
      </c>
      <c r="V1379" s="1">
        <v>0</v>
      </c>
    </row>
    <row r="1380" spans="2:22" x14ac:dyDescent="0.15">
      <c r="B1380" s="1" t="str">
        <f>"136****5070"</f>
        <v>136****5070</v>
      </c>
      <c r="C1380" s="1" t="s">
        <v>23</v>
      </c>
      <c r="D1380" s="1" t="str">
        <f>"89177328"</f>
        <v>89177328</v>
      </c>
      <c r="E1380" s="1" t="s">
        <v>24</v>
      </c>
      <c r="F1380" s="1" t="str">
        <f>"0010"</f>
        <v>0010</v>
      </c>
      <c r="G1380" s="1" t="str">
        <f>""</f>
        <v/>
      </c>
      <c r="H1380" s="1" t="str">
        <f>"0035"</f>
        <v>0035</v>
      </c>
      <c r="I1380" s="1" t="s">
        <v>25</v>
      </c>
      <c r="J1380" s="1" t="str">
        <f>"01043977569"</f>
        <v>01043977569</v>
      </c>
      <c r="K1380" s="1" t="str">
        <f>"2017-04-01 14:51:17"</f>
        <v>2017-04-01 14:51:17</v>
      </c>
      <c r="L1380" s="1" t="str">
        <f>"2017-04-01 14:51:25"</f>
        <v>2017-04-01 14:51:25</v>
      </c>
      <c r="M1380" s="2">
        <v>7.0601851851851847E-4</v>
      </c>
      <c r="N1380" s="1" t="s">
        <v>26</v>
      </c>
      <c r="O1380" s="1" t="s">
        <v>27</v>
      </c>
      <c r="P1380" s="2">
        <v>7.9861111111111105E-4</v>
      </c>
      <c r="Q1380" s="1" t="s">
        <v>1059</v>
      </c>
      <c r="R1380" s="1">
        <v>0</v>
      </c>
      <c r="S1380" s="1" t="str">
        <f>""</f>
        <v/>
      </c>
      <c r="T1380" s="1" t="s">
        <v>29</v>
      </c>
      <c r="U1380" s="1" t="s">
        <v>30</v>
      </c>
      <c r="V1380" s="1">
        <v>0</v>
      </c>
    </row>
    <row r="1381" spans="2:22" x14ac:dyDescent="0.15">
      <c r="B1381" s="1" t="str">
        <f>"022****8470"</f>
        <v>022****8470</v>
      </c>
      <c r="C1381" s="1" t="s">
        <v>35</v>
      </c>
      <c r="D1381" s="1" t="str">
        <f>"4000108333"</f>
        <v>4000108333</v>
      </c>
      <c r="E1381" s="1" t="s">
        <v>53</v>
      </c>
      <c r="F1381" s="1" t="str">
        <f>"0000"</f>
        <v>0000</v>
      </c>
      <c r="G1381" s="1" t="str">
        <f>""</f>
        <v/>
      </c>
      <c r="H1381" s="1" t="str">
        <f>"1010"</f>
        <v>1010</v>
      </c>
      <c r="I1381" s="1" t="s">
        <v>148</v>
      </c>
      <c r="J1381" s="1" t="str">
        <f>"13718091869"</f>
        <v>13718091869</v>
      </c>
      <c r="K1381" s="1" t="str">
        <f>"2017-04-01 14:50:10"</f>
        <v>2017-04-01 14:50:10</v>
      </c>
      <c r="L1381" s="1" t="str">
        <f>"2017-04-01 14:50:43"</f>
        <v>2017-04-01 14:50:43</v>
      </c>
      <c r="M1381" s="2">
        <v>4.0162037037037033E-3</v>
      </c>
      <c r="N1381" s="1" t="s">
        <v>26</v>
      </c>
      <c r="O1381" s="1" t="s">
        <v>27</v>
      </c>
      <c r="P1381" s="2">
        <v>4.3981481481481484E-3</v>
      </c>
      <c r="Q1381" s="1" t="s">
        <v>1060</v>
      </c>
      <c r="R1381" s="1">
        <v>0.84</v>
      </c>
      <c r="S1381" s="1" t="str">
        <f>""</f>
        <v/>
      </c>
      <c r="T1381" s="1" t="s">
        <v>29</v>
      </c>
      <c r="U1381" s="1" t="s">
        <v>30</v>
      </c>
      <c r="V1381" s="1">
        <v>0</v>
      </c>
    </row>
    <row r="1382" spans="2:22" x14ac:dyDescent="0.15">
      <c r="B1382" s="1" t="str">
        <f>"136****7683"</f>
        <v>136****7683</v>
      </c>
      <c r="C1382" s="1" t="s">
        <v>23</v>
      </c>
      <c r="D1382" s="1" t="str">
        <f t="shared" ref="D1382:D1411" si="146">"89177328"</f>
        <v>89177328</v>
      </c>
      <c r="E1382" s="1" t="s">
        <v>24</v>
      </c>
      <c r="F1382" s="1" t="str">
        <f t="shared" ref="F1382:F1411" si="147">"0010"</f>
        <v>0010</v>
      </c>
      <c r="G1382" s="1" t="str">
        <f>""</f>
        <v/>
      </c>
      <c r="H1382" s="1" t="str">
        <f>"0034"</f>
        <v>0034</v>
      </c>
      <c r="I1382" s="1" t="s">
        <v>31</v>
      </c>
      <c r="J1382" s="1" t="str">
        <f>"01043977568"</f>
        <v>01043977568</v>
      </c>
      <c r="K1382" s="1" t="str">
        <f>"2017-04-01 14:41:11"</f>
        <v>2017-04-01 14:41:11</v>
      </c>
      <c r="L1382" s="1" t="str">
        <f>"2017-04-01 14:41:20"</f>
        <v>2017-04-01 14:41:20</v>
      </c>
      <c r="M1382" s="2">
        <v>1.091435185185185E-2</v>
      </c>
      <c r="N1382" s="1" t="s">
        <v>26</v>
      </c>
      <c r="O1382" s="1" t="s">
        <v>27</v>
      </c>
      <c r="P1382" s="2">
        <v>1.1018518518518518E-2</v>
      </c>
      <c r="Q1382" s="1" t="s">
        <v>1061</v>
      </c>
      <c r="R1382" s="1">
        <v>0</v>
      </c>
      <c r="S1382" s="1" t="str">
        <f>""</f>
        <v/>
      </c>
      <c r="T1382" s="1" t="s">
        <v>29</v>
      </c>
      <c r="U1382" s="1" t="s">
        <v>30</v>
      </c>
      <c r="V1382" s="1">
        <v>0</v>
      </c>
    </row>
    <row r="1383" spans="2:22" x14ac:dyDescent="0.15">
      <c r="B1383" s="1" t="str">
        <f>"0316150****3455"</f>
        <v>0316150****3455</v>
      </c>
      <c r="C1383" s="1" t="s">
        <v>51</v>
      </c>
      <c r="D1383" s="1" t="str">
        <f t="shared" si="146"/>
        <v>89177328</v>
      </c>
      <c r="E1383" s="1" t="s">
        <v>24</v>
      </c>
      <c r="F1383" s="1" t="str">
        <f t="shared" si="147"/>
        <v>0010</v>
      </c>
      <c r="G1383" s="1" t="str">
        <f>""</f>
        <v/>
      </c>
      <c r="H1383" s="1" t="str">
        <f>"0034"</f>
        <v>0034</v>
      </c>
      <c r="I1383" s="1" t="s">
        <v>31</v>
      </c>
      <c r="J1383" s="1" t="str">
        <f>"01043977568"</f>
        <v>01043977568</v>
      </c>
      <c r="K1383" s="1" t="str">
        <f>"2017-04-01 14:21:52"</f>
        <v>2017-04-01 14:21:52</v>
      </c>
      <c r="L1383" s="1" t="str">
        <f>"2017-04-01 14:22:02"</f>
        <v>2017-04-01 14:22:02</v>
      </c>
      <c r="M1383" s="2">
        <v>5.5555555555555556E-4</v>
      </c>
      <c r="N1383" s="1" t="s">
        <v>26</v>
      </c>
      <c r="O1383" s="1" t="s">
        <v>27</v>
      </c>
      <c r="P1383" s="2">
        <v>6.7129629629629625E-4</v>
      </c>
      <c r="Q1383" s="1" t="s">
        <v>1062</v>
      </c>
      <c r="R1383" s="1">
        <v>0</v>
      </c>
      <c r="S1383" s="1" t="str">
        <f>""</f>
        <v/>
      </c>
      <c r="T1383" s="1" t="s">
        <v>29</v>
      </c>
      <c r="U1383" s="1" t="s">
        <v>30</v>
      </c>
      <c r="V1383" s="1">
        <v>0</v>
      </c>
    </row>
    <row r="1384" spans="2:22" x14ac:dyDescent="0.15">
      <c r="B1384" s="1" t="str">
        <f>"0312157****4922"</f>
        <v>0312157****4922</v>
      </c>
      <c r="C1384" s="1" t="s">
        <v>99</v>
      </c>
      <c r="D1384" s="1" t="str">
        <f t="shared" si="146"/>
        <v>89177328</v>
      </c>
      <c r="E1384" s="1" t="s">
        <v>24</v>
      </c>
      <c r="F1384" s="1" t="str">
        <f t="shared" si="147"/>
        <v>0010</v>
      </c>
      <c r="G1384" s="1" t="str">
        <f>""</f>
        <v/>
      </c>
      <c r="H1384" s="1" t="str">
        <f>"0034"</f>
        <v>0034</v>
      </c>
      <c r="I1384" s="1" t="s">
        <v>31</v>
      </c>
      <c r="J1384" s="1" t="str">
        <f>"01043977568"</f>
        <v>01043977568</v>
      </c>
      <c r="K1384" s="1" t="str">
        <f>"2017-04-01 14:17:43"</f>
        <v>2017-04-01 14:17:43</v>
      </c>
      <c r="L1384" s="1" t="str">
        <f>"2017-04-01 14:17:53"</f>
        <v>2017-04-01 14:17:53</v>
      </c>
      <c r="M1384" s="2">
        <v>4.7453703703703704E-4</v>
      </c>
      <c r="N1384" s="1" t="s">
        <v>26</v>
      </c>
      <c r="O1384" s="1" t="s">
        <v>27</v>
      </c>
      <c r="P1384" s="2">
        <v>5.9027777777777778E-4</v>
      </c>
      <c r="Q1384" s="1" t="s">
        <v>1063</v>
      </c>
      <c r="R1384" s="1">
        <v>0</v>
      </c>
      <c r="S1384" s="1" t="str">
        <f>""</f>
        <v/>
      </c>
      <c r="T1384" s="1" t="s">
        <v>29</v>
      </c>
      <c r="U1384" s="1" t="s">
        <v>30</v>
      </c>
      <c r="V1384" s="1">
        <v>0</v>
      </c>
    </row>
    <row r="1385" spans="2:22" x14ac:dyDescent="0.15">
      <c r="B1385" s="1" t="str">
        <f>"136****5070"</f>
        <v>136****5070</v>
      </c>
      <c r="C1385" s="1" t="s">
        <v>23</v>
      </c>
      <c r="D1385" s="1" t="str">
        <f t="shared" si="146"/>
        <v>89177328</v>
      </c>
      <c r="E1385" s="1" t="s">
        <v>24</v>
      </c>
      <c r="F1385" s="1" t="str">
        <f t="shared" si="147"/>
        <v>0010</v>
      </c>
      <c r="G1385" s="1" t="str">
        <f>""</f>
        <v/>
      </c>
      <c r="H1385" s="1" t="str">
        <f>"0035"</f>
        <v>0035</v>
      </c>
      <c r="I1385" s="1" t="s">
        <v>25</v>
      </c>
      <c r="J1385" s="1" t="str">
        <f>"01043977569"</f>
        <v>01043977569</v>
      </c>
      <c r="K1385" s="1" t="str">
        <f>"2017-04-01 14:12:25"</f>
        <v>2017-04-01 14:12:25</v>
      </c>
      <c r="L1385" s="1" t="str">
        <f>"2017-04-01 14:12:36"</f>
        <v>2017-04-01 14:12:36</v>
      </c>
      <c r="M1385" s="2">
        <v>5.9375000000000009E-3</v>
      </c>
      <c r="N1385" s="1" t="s">
        <v>26</v>
      </c>
      <c r="O1385" s="1" t="s">
        <v>27</v>
      </c>
      <c r="P1385" s="2">
        <v>6.0648148148148145E-3</v>
      </c>
      <c r="Q1385" s="1" t="s">
        <v>1064</v>
      </c>
      <c r="R1385" s="1">
        <v>0</v>
      </c>
      <c r="S1385" s="1" t="str">
        <f>""</f>
        <v/>
      </c>
      <c r="T1385" s="1" t="s">
        <v>29</v>
      </c>
      <c r="U1385" s="1" t="s">
        <v>30</v>
      </c>
      <c r="V1385" s="1">
        <v>0</v>
      </c>
    </row>
    <row r="1386" spans="2:22" x14ac:dyDescent="0.15">
      <c r="B1386" s="1" t="str">
        <f>"186****3827"</f>
        <v>186****3827</v>
      </c>
      <c r="C1386" s="1" t="s">
        <v>341</v>
      </c>
      <c r="D1386" s="1" t="str">
        <f t="shared" si="146"/>
        <v>89177328</v>
      </c>
      <c r="E1386" s="1" t="s">
        <v>24</v>
      </c>
      <c r="F1386" s="1" t="str">
        <f t="shared" si="147"/>
        <v>0010</v>
      </c>
      <c r="G1386" s="1" t="str">
        <f>""</f>
        <v/>
      </c>
      <c r="H1386" s="1" t="str">
        <f>"0036"</f>
        <v>0036</v>
      </c>
      <c r="I1386" s="1" t="s">
        <v>143</v>
      </c>
      <c r="J1386" s="1" t="str">
        <f>"01043977573"</f>
        <v>01043977573</v>
      </c>
      <c r="K1386" s="1" t="str">
        <f>"2017-04-01 13:09:44"</f>
        <v>2017-04-01 13:09:44</v>
      </c>
      <c r="L1386" s="1" t="str">
        <f>"2017-04-01 13:10:17"</f>
        <v>2017-04-01 13:10:17</v>
      </c>
      <c r="M1386" s="2">
        <v>1.3206018518518518E-2</v>
      </c>
      <c r="N1386" s="1" t="s">
        <v>26</v>
      </c>
      <c r="O1386" s="1" t="s">
        <v>34</v>
      </c>
      <c r="P1386" s="2">
        <v>1.3587962962962963E-2</v>
      </c>
      <c r="Q1386" s="1" t="s">
        <v>1065</v>
      </c>
      <c r="R1386" s="1">
        <v>0</v>
      </c>
      <c r="S1386" s="1" t="str">
        <f>""</f>
        <v/>
      </c>
      <c r="T1386" s="1" t="s">
        <v>29</v>
      </c>
      <c r="U1386" s="1" t="s">
        <v>30</v>
      </c>
      <c r="V1386" s="1">
        <v>0</v>
      </c>
    </row>
    <row r="1387" spans="2:22" x14ac:dyDescent="0.15">
      <c r="B1387" s="1" t="str">
        <f>"183****9705"</f>
        <v>183****9705</v>
      </c>
      <c r="C1387" s="1" t="s">
        <v>23</v>
      </c>
      <c r="D1387" s="1" t="str">
        <f t="shared" si="146"/>
        <v>89177328</v>
      </c>
      <c r="E1387" s="1" t="s">
        <v>24</v>
      </c>
      <c r="F1387" s="1" t="str">
        <f t="shared" si="147"/>
        <v>0010</v>
      </c>
      <c r="G1387" s="1" t="str">
        <f>""</f>
        <v/>
      </c>
      <c r="H1387" s="1" t="str">
        <f>"0010"</f>
        <v>0010</v>
      </c>
      <c r="I1387" s="1" t="s">
        <v>71</v>
      </c>
      <c r="J1387" s="1" t="str">
        <f>"01043977571"</f>
        <v>01043977571</v>
      </c>
      <c r="K1387" s="1" t="str">
        <f>"2017-04-01 12:44:31"</f>
        <v>2017-04-01 12:44:31</v>
      </c>
      <c r="L1387" s="1" t="str">
        <f>"2017-04-01 12:44:39"</f>
        <v>2017-04-01 12:44:39</v>
      </c>
      <c r="M1387" s="2">
        <v>4.2013888888888891E-3</v>
      </c>
      <c r="N1387" s="1" t="s">
        <v>26</v>
      </c>
      <c r="O1387" s="1" t="s">
        <v>34</v>
      </c>
      <c r="P1387" s="2">
        <v>4.2939814814814811E-3</v>
      </c>
      <c r="Q1387" s="1" t="s">
        <v>1066</v>
      </c>
      <c r="R1387" s="1">
        <v>0</v>
      </c>
      <c r="S1387" s="1" t="str">
        <f>""</f>
        <v/>
      </c>
      <c r="T1387" s="1" t="s">
        <v>29</v>
      </c>
      <c r="U1387" s="1" t="s">
        <v>30</v>
      </c>
      <c r="V1387" s="1">
        <v>0</v>
      </c>
    </row>
    <row r="1388" spans="2:22" x14ac:dyDescent="0.15">
      <c r="B1388" s="1" t="str">
        <f>"0379****5106"</f>
        <v>0379****5106</v>
      </c>
      <c r="C1388" s="1" t="s">
        <v>809</v>
      </c>
      <c r="D1388" s="1" t="str">
        <f t="shared" si="146"/>
        <v>89177328</v>
      </c>
      <c r="E1388" s="1" t="s">
        <v>24</v>
      </c>
      <c r="F1388" s="1" t="str">
        <f t="shared" si="147"/>
        <v>0010</v>
      </c>
      <c r="G1388" s="1" t="str">
        <f>""</f>
        <v/>
      </c>
      <c r="H1388" s="1" t="str">
        <f>"0034"</f>
        <v>0034</v>
      </c>
      <c r="I1388" s="1" t="s">
        <v>31</v>
      </c>
      <c r="J1388" s="1" t="str">
        <f>"01043977568"</f>
        <v>01043977568</v>
      </c>
      <c r="K1388" s="1" t="str">
        <f>"2017-04-01 12:34:46"</f>
        <v>2017-04-01 12:34:46</v>
      </c>
      <c r="L1388" s="1" t="str">
        <f>"2017-04-01 12:34:57"</f>
        <v>2017-04-01 12:34:57</v>
      </c>
      <c r="M1388" s="2">
        <v>1.6979166666666667E-2</v>
      </c>
      <c r="N1388" s="1" t="s">
        <v>26</v>
      </c>
      <c r="O1388" s="1" t="s">
        <v>27</v>
      </c>
      <c r="P1388" s="2">
        <v>1.7106481481481483E-2</v>
      </c>
      <c r="Q1388" s="1" t="s">
        <v>1067</v>
      </c>
      <c r="R1388" s="1">
        <v>0</v>
      </c>
      <c r="S1388" s="1" t="str">
        <f>""</f>
        <v/>
      </c>
      <c r="T1388" s="1" t="s">
        <v>29</v>
      </c>
      <c r="U1388" s="1" t="s">
        <v>30</v>
      </c>
      <c r="V1388" s="1">
        <v>0</v>
      </c>
    </row>
    <row r="1389" spans="2:22" x14ac:dyDescent="0.15">
      <c r="B1389" s="1" t="str">
        <f>"187****1587"</f>
        <v>187****1587</v>
      </c>
      <c r="C1389" s="1" t="s">
        <v>23</v>
      </c>
      <c r="D1389" s="1" t="str">
        <f t="shared" si="146"/>
        <v>89177328</v>
      </c>
      <c r="E1389" s="1" t="s">
        <v>24</v>
      </c>
      <c r="F1389" s="1" t="str">
        <f t="shared" si="147"/>
        <v>0010</v>
      </c>
      <c r="G1389" s="1" t="str">
        <f>""</f>
        <v/>
      </c>
      <c r="H1389" s="1" t="str">
        <f>"0012"</f>
        <v>0012</v>
      </c>
      <c r="I1389" s="1" t="s">
        <v>612</v>
      </c>
      <c r="J1389" s="1" t="str">
        <f>"01043989720"</f>
        <v>01043989720</v>
      </c>
      <c r="K1389" s="1" t="str">
        <f>"2017-04-01 12:26:30"</f>
        <v>2017-04-01 12:26:30</v>
      </c>
      <c r="L1389" s="1" t="str">
        <f>"2017-04-01 12:26:46"</f>
        <v>2017-04-01 12:26:46</v>
      </c>
      <c r="M1389" s="2">
        <v>7.1643518518518514E-3</v>
      </c>
      <c r="N1389" s="1" t="s">
        <v>26</v>
      </c>
      <c r="O1389" s="1" t="s">
        <v>27</v>
      </c>
      <c r="P1389" s="2">
        <v>7.3495370370370372E-3</v>
      </c>
      <c r="Q1389" s="1" t="s">
        <v>1068</v>
      </c>
      <c r="R1389" s="1">
        <v>0</v>
      </c>
      <c r="S1389" s="1" t="str">
        <f>""</f>
        <v/>
      </c>
      <c r="T1389" s="1" t="s">
        <v>29</v>
      </c>
      <c r="U1389" s="1" t="s">
        <v>30</v>
      </c>
      <c r="V1389" s="1">
        <v>0</v>
      </c>
    </row>
    <row r="1390" spans="2:22" x14ac:dyDescent="0.15">
      <c r="B1390" s="1" t="str">
        <f>"150****9608"</f>
        <v>150****9608</v>
      </c>
      <c r="C1390" s="1" t="s">
        <v>23</v>
      </c>
      <c r="D1390" s="1" t="str">
        <f t="shared" si="146"/>
        <v>89177328</v>
      </c>
      <c r="E1390" s="1" t="s">
        <v>24</v>
      </c>
      <c r="F1390" s="1" t="str">
        <f t="shared" si="147"/>
        <v>0010</v>
      </c>
      <c r="G1390" s="1" t="str">
        <f>""</f>
        <v/>
      </c>
      <c r="H1390" s="1" t="str">
        <f>"0036"</f>
        <v>0036</v>
      </c>
      <c r="I1390" s="1" t="s">
        <v>143</v>
      </c>
      <c r="J1390" s="1" t="str">
        <f>"01043977573"</f>
        <v>01043977573</v>
      </c>
      <c r="K1390" s="1" t="str">
        <f>"2017-04-01 12:08:56"</f>
        <v>2017-04-01 12:08:56</v>
      </c>
      <c r="L1390" s="1" t="str">
        <f>"2017-04-01 12:09:05"</f>
        <v>2017-04-01 12:09:05</v>
      </c>
      <c r="M1390" s="2">
        <v>1.8402777777777778E-2</v>
      </c>
      <c r="N1390" s="1" t="s">
        <v>26</v>
      </c>
      <c r="O1390" s="1" t="s">
        <v>27</v>
      </c>
      <c r="P1390" s="2">
        <v>1.8506944444444444E-2</v>
      </c>
      <c r="Q1390" s="1" t="s">
        <v>1069</v>
      </c>
      <c r="R1390" s="1">
        <v>0</v>
      </c>
      <c r="S1390" s="1" t="str">
        <f>""</f>
        <v/>
      </c>
      <c r="T1390" s="1" t="s">
        <v>29</v>
      </c>
      <c r="U1390" s="1" t="s">
        <v>30</v>
      </c>
      <c r="V1390" s="1">
        <v>0</v>
      </c>
    </row>
    <row r="1391" spans="2:22" x14ac:dyDescent="0.15">
      <c r="B1391" s="1" t="str">
        <f>"137****4191"</f>
        <v>137****4191</v>
      </c>
      <c r="C1391" s="1" t="s">
        <v>23</v>
      </c>
      <c r="D1391" s="1" t="str">
        <f t="shared" si="146"/>
        <v>89177328</v>
      </c>
      <c r="E1391" s="1" t="s">
        <v>24</v>
      </c>
      <c r="F1391" s="1" t="str">
        <f t="shared" si="147"/>
        <v>0010</v>
      </c>
      <c r="G1391" s="1" t="str">
        <f>""</f>
        <v/>
      </c>
      <c r="H1391" s="1" t="str">
        <f>"0010"</f>
        <v>0010</v>
      </c>
      <c r="I1391" s="1" t="s">
        <v>71</v>
      </c>
      <c r="J1391" s="1" t="str">
        <f>"01043977571"</f>
        <v>01043977571</v>
      </c>
      <c r="K1391" s="1" t="str">
        <f>"2017-04-01 12:00:54"</f>
        <v>2017-04-01 12:00:54</v>
      </c>
      <c r="L1391" s="1" t="str">
        <f>"2017-04-01 12:01:04"</f>
        <v>2017-04-01 12:01:04</v>
      </c>
      <c r="M1391" s="2">
        <v>5.3935185185185188E-3</v>
      </c>
      <c r="N1391" s="1" t="s">
        <v>26</v>
      </c>
      <c r="O1391" s="1" t="s">
        <v>34</v>
      </c>
      <c r="P1391" s="2">
        <v>5.5092592592592589E-3</v>
      </c>
      <c r="Q1391" s="1" t="s">
        <v>1070</v>
      </c>
      <c r="R1391" s="1">
        <v>0</v>
      </c>
      <c r="S1391" s="1" t="str">
        <f>""</f>
        <v/>
      </c>
      <c r="T1391" s="1" t="s">
        <v>29</v>
      </c>
      <c r="U1391" s="1" t="s">
        <v>30</v>
      </c>
      <c r="V1391" s="1">
        <v>0</v>
      </c>
    </row>
    <row r="1392" spans="2:22" x14ac:dyDescent="0.15">
      <c r="B1392" s="1" t="str">
        <f>"133****8988"</f>
        <v>133****8988</v>
      </c>
      <c r="C1392" s="1" t="s">
        <v>237</v>
      </c>
      <c r="D1392" s="1" t="str">
        <f t="shared" si="146"/>
        <v>89177328</v>
      </c>
      <c r="E1392" s="1" t="s">
        <v>24</v>
      </c>
      <c r="F1392" s="1" t="str">
        <f t="shared" si="147"/>
        <v>0010</v>
      </c>
      <c r="G1392" s="1" t="str">
        <f>""</f>
        <v/>
      </c>
      <c r="H1392" s="1" t="str">
        <f>"0012"</f>
        <v>0012</v>
      </c>
      <c r="I1392" s="1" t="s">
        <v>612</v>
      </c>
      <c r="J1392" s="1" t="str">
        <f>"01043989720"</f>
        <v>01043989720</v>
      </c>
      <c r="K1392" s="1" t="str">
        <f>"2017-04-01 11:54:05"</f>
        <v>2017-04-01 11:54:05</v>
      </c>
      <c r="L1392" s="1" t="str">
        <f>"-"</f>
        <v>-</v>
      </c>
      <c r="M1392" s="2">
        <v>0</v>
      </c>
      <c r="N1392" s="1" t="s">
        <v>33</v>
      </c>
      <c r="O1392" s="1" t="s">
        <v>34</v>
      </c>
      <c r="P1392" s="2">
        <v>1.1574074074074073E-5</v>
      </c>
      <c r="Q1392" s="1" t="str">
        <f>""</f>
        <v/>
      </c>
      <c r="R1392" s="1">
        <v>0</v>
      </c>
      <c r="S1392" s="1" t="str">
        <f>""</f>
        <v/>
      </c>
      <c r="T1392" s="1" t="s">
        <v>29</v>
      </c>
      <c r="U1392" s="1" t="s">
        <v>30</v>
      </c>
      <c r="V1392" s="1">
        <v>0</v>
      </c>
    </row>
    <row r="1393" spans="2:22" x14ac:dyDescent="0.15">
      <c r="B1393" s="1" t="str">
        <f>"135****6514"</f>
        <v>135****6514</v>
      </c>
      <c r="C1393" s="1" t="s">
        <v>23</v>
      </c>
      <c r="D1393" s="1" t="str">
        <f t="shared" si="146"/>
        <v>89177328</v>
      </c>
      <c r="E1393" s="1" t="s">
        <v>24</v>
      </c>
      <c r="F1393" s="1" t="str">
        <f t="shared" si="147"/>
        <v>0010</v>
      </c>
      <c r="G1393" s="1" t="str">
        <f>""</f>
        <v/>
      </c>
      <c r="H1393" s="1" t="str">
        <f>"0012"</f>
        <v>0012</v>
      </c>
      <c r="I1393" s="1" t="s">
        <v>612</v>
      </c>
      <c r="J1393" s="1" t="str">
        <f>"01043989720"</f>
        <v>01043989720</v>
      </c>
      <c r="K1393" s="1" t="str">
        <f>"2017-04-01 11:41:45"</f>
        <v>2017-04-01 11:41:45</v>
      </c>
      <c r="L1393" s="1" t="str">
        <f>"2017-04-01 11:41:55"</f>
        <v>2017-04-01 11:41:55</v>
      </c>
      <c r="M1393" s="2">
        <v>4.8611111111111104E-4</v>
      </c>
      <c r="N1393" s="1" t="s">
        <v>26</v>
      </c>
      <c r="O1393" s="1" t="s">
        <v>34</v>
      </c>
      <c r="P1393" s="2">
        <v>6.018518518518519E-4</v>
      </c>
      <c r="Q1393" s="1" t="s">
        <v>1071</v>
      </c>
      <c r="R1393" s="1">
        <v>0</v>
      </c>
      <c r="S1393" s="1" t="str">
        <f>""</f>
        <v/>
      </c>
      <c r="T1393" s="1" t="s">
        <v>29</v>
      </c>
      <c r="U1393" s="1" t="s">
        <v>30</v>
      </c>
      <c r="V1393" s="1">
        <v>0</v>
      </c>
    </row>
    <row r="1394" spans="2:22" x14ac:dyDescent="0.15">
      <c r="B1394" s="1" t="str">
        <f>"133****9597"</f>
        <v>133****9597</v>
      </c>
      <c r="C1394" s="1" t="s">
        <v>23</v>
      </c>
      <c r="D1394" s="1" t="str">
        <f t="shared" si="146"/>
        <v>89177328</v>
      </c>
      <c r="E1394" s="1" t="s">
        <v>24</v>
      </c>
      <c r="F1394" s="1" t="str">
        <f t="shared" si="147"/>
        <v>0010</v>
      </c>
      <c r="G1394" s="1" t="str">
        <f>""</f>
        <v/>
      </c>
      <c r="H1394" s="1" t="str">
        <f>"0034"</f>
        <v>0034</v>
      </c>
      <c r="I1394" s="1" t="s">
        <v>31</v>
      </c>
      <c r="J1394" s="1" t="str">
        <f>"01043977568"</f>
        <v>01043977568</v>
      </c>
      <c r="K1394" s="1" t="str">
        <f>"2017-04-01 11:29:37"</f>
        <v>2017-04-01 11:29:37</v>
      </c>
      <c r="L1394" s="1" t="str">
        <f>"-"</f>
        <v>-</v>
      </c>
      <c r="M1394" s="2">
        <v>0</v>
      </c>
      <c r="N1394" s="1" t="s">
        <v>33</v>
      </c>
      <c r="O1394" s="1" t="s">
        <v>34</v>
      </c>
      <c r="P1394" s="2">
        <v>6.9444444444444444E-5</v>
      </c>
      <c r="Q1394" s="1" t="str">
        <f>""</f>
        <v/>
      </c>
      <c r="R1394" s="1">
        <v>0</v>
      </c>
      <c r="S1394" s="1" t="str">
        <f>""</f>
        <v/>
      </c>
      <c r="T1394" s="1" t="s">
        <v>29</v>
      </c>
      <c r="U1394" s="1" t="s">
        <v>30</v>
      </c>
      <c r="V1394" s="1">
        <v>0</v>
      </c>
    </row>
    <row r="1395" spans="2:22" x14ac:dyDescent="0.15">
      <c r="B1395" s="1" t="str">
        <f>"177****0206"</f>
        <v>177****0206</v>
      </c>
      <c r="C1395" s="1" t="s">
        <v>23</v>
      </c>
      <c r="D1395" s="1" t="str">
        <f t="shared" si="146"/>
        <v>89177328</v>
      </c>
      <c r="E1395" s="1" t="s">
        <v>24</v>
      </c>
      <c r="F1395" s="1" t="str">
        <f t="shared" si="147"/>
        <v>0010</v>
      </c>
      <c r="G1395" s="1" t="str">
        <f>""</f>
        <v/>
      </c>
      <c r="H1395" s="1" t="str">
        <f>"0034"</f>
        <v>0034</v>
      </c>
      <c r="I1395" s="1" t="s">
        <v>31</v>
      </c>
      <c r="J1395" s="1" t="str">
        <f>"01043977568"</f>
        <v>01043977568</v>
      </c>
      <c r="K1395" s="1" t="str">
        <f>"2017-04-01 11:27:45"</f>
        <v>2017-04-01 11:27:45</v>
      </c>
      <c r="L1395" s="1" t="str">
        <f>"-"</f>
        <v>-</v>
      </c>
      <c r="M1395" s="2">
        <v>0</v>
      </c>
      <c r="N1395" s="1" t="s">
        <v>33</v>
      </c>
      <c r="O1395" s="1" t="s">
        <v>34</v>
      </c>
      <c r="P1395" s="2">
        <v>2.3148148148148147E-5</v>
      </c>
      <c r="Q1395" s="1" t="str">
        <f>""</f>
        <v/>
      </c>
      <c r="R1395" s="1">
        <v>0</v>
      </c>
      <c r="S1395" s="1" t="str">
        <f>""</f>
        <v/>
      </c>
      <c r="T1395" s="1" t="s">
        <v>29</v>
      </c>
      <c r="U1395" s="1" t="s">
        <v>30</v>
      </c>
      <c r="V1395" s="1">
        <v>0</v>
      </c>
    </row>
    <row r="1396" spans="2:22" x14ac:dyDescent="0.15">
      <c r="B1396" s="1" t="str">
        <f>"133****9597"</f>
        <v>133****9597</v>
      </c>
      <c r="C1396" s="1" t="s">
        <v>23</v>
      </c>
      <c r="D1396" s="1" t="str">
        <f t="shared" si="146"/>
        <v>89177328</v>
      </c>
      <c r="E1396" s="1" t="s">
        <v>24</v>
      </c>
      <c r="F1396" s="1" t="str">
        <f t="shared" si="147"/>
        <v>0010</v>
      </c>
      <c r="G1396" s="1" t="str">
        <f>""</f>
        <v/>
      </c>
      <c r="H1396" s="1" t="str">
        <f>"0034"</f>
        <v>0034</v>
      </c>
      <c r="I1396" s="1" t="s">
        <v>31</v>
      </c>
      <c r="J1396" s="1" t="str">
        <f>"01043977568"</f>
        <v>01043977568</v>
      </c>
      <c r="K1396" s="1" t="str">
        <f>"2017-04-01 11:26:59"</f>
        <v>2017-04-01 11:26:59</v>
      </c>
      <c r="L1396" s="1" t="str">
        <f>"-"</f>
        <v>-</v>
      </c>
      <c r="M1396" s="2">
        <v>0</v>
      </c>
      <c r="N1396" s="1" t="s">
        <v>33</v>
      </c>
      <c r="O1396" s="1" t="s">
        <v>34</v>
      </c>
      <c r="P1396" s="2">
        <v>5.7870370370370366E-5</v>
      </c>
      <c r="Q1396" s="1" t="str">
        <f>""</f>
        <v/>
      </c>
      <c r="R1396" s="1">
        <v>0</v>
      </c>
      <c r="S1396" s="1" t="str">
        <f>""</f>
        <v/>
      </c>
      <c r="T1396" s="1" t="s">
        <v>29</v>
      </c>
      <c r="U1396" s="1" t="s">
        <v>30</v>
      </c>
      <c r="V1396" s="1">
        <v>0</v>
      </c>
    </row>
    <row r="1397" spans="2:22" x14ac:dyDescent="0.15">
      <c r="B1397" s="1" t="str">
        <f>"177****0206"</f>
        <v>177****0206</v>
      </c>
      <c r="C1397" s="1" t="s">
        <v>23</v>
      </c>
      <c r="D1397" s="1" t="str">
        <f t="shared" si="146"/>
        <v>89177328</v>
      </c>
      <c r="E1397" s="1" t="s">
        <v>24</v>
      </c>
      <c r="F1397" s="1" t="str">
        <f t="shared" si="147"/>
        <v>0010</v>
      </c>
      <c r="G1397" s="1" t="str">
        <f>""</f>
        <v/>
      </c>
      <c r="H1397" s="1" t="str">
        <f>"0034"</f>
        <v>0034</v>
      </c>
      <c r="I1397" s="1" t="s">
        <v>31</v>
      </c>
      <c r="J1397" s="1" t="str">
        <f>"01043977568"</f>
        <v>01043977568</v>
      </c>
      <c r="K1397" s="1" t="str">
        <f>"2017-04-01 11:25:36"</f>
        <v>2017-04-01 11:25:36</v>
      </c>
      <c r="L1397" s="1" t="str">
        <f>"-"</f>
        <v>-</v>
      </c>
      <c r="M1397" s="2">
        <v>0</v>
      </c>
      <c r="N1397" s="1" t="s">
        <v>33</v>
      </c>
      <c r="O1397" s="1" t="s">
        <v>34</v>
      </c>
      <c r="P1397" s="2">
        <v>6.9444444444444444E-5</v>
      </c>
      <c r="Q1397" s="1" t="str">
        <f>""</f>
        <v/>
      </c>
      <c r="R1397" s="1">
        <v>0</v>
      </c>
      <c r="S1397" s="1" t="str">
        <f>""</f>
        <v/>
      </c>
      <c r="T1397" s="1" t="s">
        <v>29</v>
      </c>
      <c r="U1397" s="1" t="s">
        <v>30</v>
      </c>
      <c r="V1397" s="1">
        <v>0</v>
      </c>
    </row>
    <row r="1398" spans="2:22" x14ac:dyDescent="0.15">
      <c r="B1398" s="1" t="str">
        <f>"177****0206"</f>
        <v>177****0206</v>
      </c>
      <c r="C1398" s="1" t="s">
        <v>23</v>
      </c>
      <c r="D1398" s="1" t="str">
        <f t="shared" si="146"/>
        <v>89177328</v>
      </c>
      <c r="E1398" s="1" t="s">
        <v>24</v>
      </c>
      <c r="F1398" s="1" t="str">
        <f t="shared" si="147"/>
        <v>0010</v>
      </c>
      <c r="G1398" s="1" t="str">
        <f>""</f>
        <v/>
      </c>
      <c r="H1398" s="1" t="str">
        <f>"0034"</f>
        <v>0034</v>
      </c>
      <c r="I1398" s="1" t="s">
        <v>31</v>
      </c>
      <c r="J1398" s="1" t="str">
        <f>"01043977568"</f>
        <v>01043977568</v>
      </c>
      <c r="K1398" s="1" t="str">
        <f>"2017-04-01 11:22:59"</f>
        <v>2017-04-01 11:22:59</v>
      </c>
      <c r="L1398" s="1" t="str">
        <f>"-"</f>
        <v>-</v>
      </c>
      <c r="M1398" s="2">
        <v>0</v>
      </c>
      <c r="N1398" s="1" t="s">
        <v>33</v>
      </c>
      <c r="O1398" s="1" t="s">
        <v>34</v>
      </c>
      <c r="P1398" s="2">
        <v>5.7870370370370366E-5</v>
      </c>
      <c r="Q1398" s="1" t="str">
        <f>""</f>
        <v/>
      </c>
      <c r="R1398" s="1">
        <v>0</v>
      </c>
      <c r="S1398" s="1" t="str">
        <f>""</f>
        <v/>
      </c>
      <c r="T1398" s="1" t="s">
        <v>29</v>
      </c>
      <c r="U1398" s="1" t="s">
        <v>30</v>
      </c>
      <c r="V1398" s="1">
        <v>0</v>
      </c>
    </row>
    <row r="1399" spans="2:22" x14ac:dyDescent="0.15">
      <c r="B1399" s="1" t="str">
        <f>"157****4678"</f>
        <v>157****4678</v>
      </c>
      <c r="C1399" s="1" t="s">
        <v>23</v>
      </c>
      <c r="D1399" s="1" t="str">
        <f t="shared" si="146"/>
        <v>89177328</v>
      </c>
      <c r="E1399" s="1" t="s">
        <v>24</v>
      </c>
      <c r="F1399" s="1" t="str">
        <f t="shared" si="147"/>
        <v>0010</v>
      </c>
      <c r="G1399" s="1" t="str">
        <f>""</f>
        <v/>
      </c>
      <c r="H1399" s="1" t="str">
        <f>"0036"</f>
        <v>0036</v>
      </c>
      <c r="I1399" s="1" t="s">
        <v>143</v>
      </c>
      <c r="J1399" s="1" t="str">
        <f>"01043977573"</f>
        <v>01043977573</v>
      </c>
      <c r="K1399" s="1" t="str">
        <f>"2017-04-01 11:20:45"</f>
        <v>2017-04-01 11:20:45</v>
      </c>
      <c r="L1399" s="1" t="str">
        <f>"2017-04-01 11:20:49"</f>
        <v>2017-04-01 11:20:49</v>
      </c>
      <c r="M1399" s="2">
        <v>2.6620370370370372E-4</v>
      </c>
      <c r="N1399" s="1" t="s">
        <v>26</v>
      </c>
      <c r="O1399" s="1" t="s">
        <v>34</v>
      </c>
      <c r="P1399" s="2">
        <v>3.1250000000000001E-4</v>
      </c>
      <c r="Q1399" s="1" t="s">
        <v>1072</v>
      </c>
      <c r="R1399" s="1">
        <v>0</v>
      </c>
      <c r="S1399" s="1" t="str">
        <f>""</f>
        <v/>
      </c>
      <c r="T1399" s="1" t="s">
        <v>29</v>
      </c>
      <c r="U1399" s="1" t="s">
        <v>30</v>
      </c>
      <c r="V1399" s="1">
        <v>0</v>
      </c>
    </row>
    <row r="1400" spans="2:22" x14ac:dyDescent="0.15">
      <c r="B1400" s="1" t="str">
        <f>"157****4678"</f>
        <v>157****4678</v>
      </c>
      <c r="C1400" s="1" t="s">
        <v>23</v>
      </c>
      <c r="D1400" s="1" t="str">
        <f t="shared" si="146"/>
        <v>89177328</v>
      </c>
      <c r="E1400" s="1" t="s">
        <v>24</v>
      </c>
      <c r="F1400" s="1" t="str">
        <f t="shared" si="147"/>
        <v>0010</v>
      </c>
      <c r="G1400" s="1" t="str">
        <f>""</f>
        <v/>
      </c>
      <c r="H1400" s="1" t="str">
        <f>"0010"</f>
        <v>0010</v>
      </c>
      <c r="I1400" s="1" t="s">
        <v>71</v>
      </c>
      <c r="J1400" s="1" t="str">
        <f>"01043977571"</f>
        <v>01043977571</v>
      </c>
      <c r="K1400" s="1" t="str">
        <f>"2017-04-01 11:16:51"</f>
        <v>2017-04-01 11:16:51</v>
      </c>
      <c r="L1400" s="1" t="str">
        <f>"-"</f>
        <v>-</v>
      </c>
      <c r="M1400" s="2">
        <v>0</v>
      </c>
      <c r="N1400" s="1" t="s">
        <v>33</v>
      </c>
      <c r="O1400" s="1" t="s">
        <v>34</v>
      </c>
      <c r="P1400" s="2">
        <v>8.1018518518518516E-5</v>
      </c>
      <c r="Q1400" s="1" t="str">
        <f>""</f>
        <v/>
      </c>
      <c r="R1400" s="1">
        <v>0</v>
      </c>
      <c r="S1400" s="1" t="str">
        <f>""</f>
        <v/>
      </c>
      <c r="T1400" s="1" t="s">
        <v>29</v>
      </c>
      <c r="U1400" s="1" t="s">
        <v>30</v>
      </c>
      <c r="V1400" s="1">
        <v>0</v>
      </c>
    </row>
    <row r="1401" spans="2:22" x14ac:dyDescent="0.15">
      <c r="B1401" s="1" t="str">
        <f>"130****5656"</f>
        <v>130****5656</v>
      </c>
      <c r="C1401" s="1" t="s">
        <v>112</v>
      </c>
      <c r="D1401" s="1" t="str">
        <f t="shared" si="146"/>
        <v>89177328</v>
      </c>
      <c r="E1401" s="1" t="s">
        <v>24</v>
      </c>
      <c r="F1401" s="1" t="str">
        <f t="shared" si="147"/>
        <v>0010</v>
      </c>
      <c r="G1401" s="1" t="str">
        <f>""</f>
        <v/>
      </c>
      <c r="H1401" s="1" t="str">
        <f>"0010"</f>
        <v>0010</v>
      </c>
      <c r="I1401" s="1" t="s">
        <v>71</v>
      </c>
      <c r="J1401" s="1" t="str">
        <f>"01043977571"</f>
        <v>01043977571</v>
      </c>
      <c r="K1401" s="1" t="str">
        <f>"2017-04-01 11:15:14"</f>
        <v>2017-04-01 11:15:14</v>
      </c>
      <c r="L1401" s="1" t="str">
        <f>"-"</f>
        <v>-</v>
      </c>
      <c r="M1401" s="2">
        <v>0</v>
      </c>
      <c r="N1401" s="1" t="s">
        <v>33</v>
      </c>
      <c r="O1401" s="1" t="s">
        <v>34</v>
      </c>
      <c r="P1401" s="2">
        <v>5.7870370370370366E-5</v>
      </c>
      <c r="Q1401" s="1" t="str">
        <f>""</f>
        <v/>
      </c>
      <c r="R1401" s="1">
        <v>0</v>
      </c>
      <c r="S1401" s="1" t="str">
        <f>""</f>
        <v/>
      </c>
      <c r="T1401" s="1" t="s">
        <v>29</v>
      </c>
      <c r="U1401" s="1" t="s">
        <v>30</v>
      </c>
      <c r="V1401" s="1">
        <v>0</v>
      </c>
    </row>
    <row r="1402" spans="2:22" x14ac:dyDescent="0.15">
      <c r="B1402" s="1" t="str">
        <f>"130****5656"</f>
        <v>130****5656</v>
      </c>
      <c r="C1402" s="1" t="s">
        <v>112</v>
      </c>
      <c r="D1402" s="1" t="str">
        <f t="shared" si="146"/>
        <v>89177328</v>
      </c>
      <c r="E1402" s="1" t="s">
        <v>24</v>
      </c>
      <c r="F1402" s="1" t="str">
        <f t="shared" si="147"/>
        <v>0010</v>
      </c>
      <c r="G1402" s="1" t="str">
        <f>""</f>
        <v/>
      </c>
      <c r="H1402" s="1" t="str">
        <f>"0010"</f>
        <v>0010</v>
      </c>
      <c r="I1402" s="1" t="s">
        <v>71</v>
      </c>
      <c r="J1402" s="1" t="str">
        <f>"01043977571"</f>
        <v>01043977571</v>
      </c>
      <c r="K1402" s="1" t="str">
        <f>"2017-04-01 11:13:17"</f>
        <v>2017-04-01 11:13:17</v>
      </c>
      <c r="L1402" s="1" t="str">
        <f>"-"</f>
        <v>-</v>
      </c>
      <c r="M1402" s="2">
        <v>0</v>
      </c>
      <c r="N1402" s="1" t="s">
        <v>33</v>
      </c>
      <c r="O1402" s="1" t="s">
        <v>34</v>
      </c>
      <c r="P1402" s="2">
        <v>6.9444444444444444E-5</v>
      </c>
      <c r="Q1402" s="1" t="str">
        <f>""</f>
        <v/>
      </c>
      <c r="R1402" s="1">
        <v>0</v>
      </c>
      <c r="S1402" s="1" t="str">
        <f>""</f>
        <v/>
      </c>
      <c r="T1402" s="1" t="s">
        <v>29</v>
      </c>
      <c r="U1402" s="1" t="s">
        <v>30</v>
      </c>
      <c r="V1402" s="1">
        <v>0</v>
      </c>
    </row>
    <row r="1403" spans="2:22" x14ac:dyDescent="0.15">
      <c r="B1403" s="1" t="str">
        <f>"114"</f>
        <v>114</v>
      </c>
      <c r="C1403" s="1" t="s">
        <v>159</v>
      </c>
      <c r="D1403" s="1" t="str">
        <f t="shared" si="146"/>
        <v>89177328</v>
      </c>
      <c r="E1403" s="1" t="s">
        <v>24</v>
      </c>
      <c r="F1403" s="1" t="str">
        <f t="shared" si="147"/>
        <v>0010</v>
      </c>
      <c r="G1403" s="1" t="str">
        <f>""</f>
        <v/>
      </c>
      <c r="H1403" s="1" t="str">
        <f>"0010"</f>
        <v>0010</v>
      </c>
      <c r="I1403" s="1" t="s">
        <v>71</v>
      </c>
      <c r="J1403" s="1" t="str">
        <f>"01043977571"</f>
        <v>01043977571</v>
      </c>
      <c r="K1403" s="1" t="str">
        <f>"2017-04-01 11:13:12"</f>
        <v>2017-04-01 11:13:12</v>
      </c>
      <c r="L1403" s="1" t="str">
        <f>"-"</f>
        <v>-</v>
      </c>
      <c r="M1403" s="2">
        <v>0</v>
      </c>
      <c r="N1403" s="1" t="s">
        <v>33</v>
      </c>
      <c r="O1403" s="1" t="s">
        <v>34</v>
      </c>
      <c r="P1403" s="2">
        <v>1.1574074074074073E-5</v>
      </c>
      <c r="Q1403" s="1" t="str">
        <f>""</f>
        <v/>
      </c>
      <c r="R1403" s="1">
        <v>0</v>
      </c>
      <c r="S1403" s="1" t="str">
        <f>""</f>
        <v/>
      </c>
      <c r="T1403" s="1" t="s">
        <v>29</v>
      </c>
      <c r="U1403" s="1" t="s">
        <v>30</v>
      </c>
      <c r="V1403" s="1">
        <v>0</v>
      </c>
    </row>
    <row r="1404" spans="2:22" x14ac:dyDescent="0.15">
      <c r="B1404" s="1" t="str">
        <f>"130****5656"</f>
        <v>130****5656</v>
      </c>
      <c r="C1404" s="1" t="s">
        <v>112</v>
      </c>
      <c r="D1404" s="1" t="str">
        <f t="shared" si="146"/>
        <v>89177328</v>
      </c>
      <c r="E1404" s="1" t="s">
        <v>24</v>
      </c>
      <c r="F1404" s="1" t="str">
        <f t="shared" si="147"/>
        <v>0010</v>
      </c>
      <c r="G1404" s="1" t="str">
        <f>""</f>
        <v/>
      </c>
      <c r="H1404" s="1" t="str">
        <f>"0010"</f>
        <v>0010</v>
      </c>
      <c r="I1404" s="1" t="s">
        <v>71</v>
      </c>
      <c r="J1404" s="1" t="str">
        <f>"01043977571"</f>
        <v>01043977571</v>
      </c>
      <c r="K1404" s="1" t="str">
        <f>"2017-04-01 11:11:46"</f>
        <v>2017-04-01 11:11:46</v>
      </c>
      <c r="L1404" s="1" t="str">
        <f>"-"</f>
        <v>-</v>
      </c>
      <c r="M1404" s="2">
        <v>0</v>
      </c>
      <c r="N1404" s="1" t="s">
        <v>33</v>
      </c>
      <c r="O1404" s="1" t="s">
        <v>34</v>
      </c>
      <c r="P1404" s="2">
        <v>6.9444444444444444E-5</v>
      </c>
      <c r="Q1404" s="1" t="str">
        <f>""</f>
        <v/>
      </c>
      <c r="R1404" s="1">
        <v>0</v>
      </c>
      <c r="S1404" s="1" t="str">
        <f>""</f>
        <v/>
      </c>
      <c r="T1404" s="1" t="s">
        <v>29</v>
      </c>
      <c r="U1404" s="1" t="s">
        <v>30</v>
      </c>
      <c r="V1404" s="1">
        <v>0</v>
      </c>
    </row>
    <row r="1405" spans="2:22" x14ac:dyDescent="0.15">
      <c r="B1405" s="1" t="str">
        <f>"031****1180"</f>
        <v>031****1180</v>
      </c>
      <c r="C1405" s="1" t="s">
        <v>137</v>
      </c>
      <c r="D1405" s="1" t="str">
        <f t="shared" si="146"/>
        <v>89177328</v>
      </c>
      <c r="E1405" s="1" t="s">
        <v>24</v>
      </c>
      <c r="F1405" s="1" t="str">
        <f t="shared" si="147"/>
        <v>0010</v>
      </c>
      <c r="G1405" s="1" t="str">
        <f>""</f>
        <v/>
      </c>
      <c r="H1405" s="1" t="str">
        <f>"0012"</f>
        <v>0012</v>
      </c>
      <c r="I1405" s="1" t="s">
        <v>612</v>
      </c>
      <c r="J1405" s="1" t="str">
        <f>"01043989720"</f>
        <v>01043989720</v>
      </c>
      <c r="K1405" s="1" t="str">
        <f>"2017-04-01 10:59:39"</f>
        <v>2017-04-01 10:59:39</v>
      </c>
      <c r="L1405" s="1" t="str">
        <f>"2017-04-01 10:59:49"</f>
        <v>2017-04-01 10:59:49</v>
      </c>
      <c r="M1405" s="2">
        <v>2.8946759259259255E-2</v>
      </c>
      <c r="N1405" s="1" t="s">
        <v>26</v>
      </c>
      <c r="O1405" s="1" t="s">
        <v>34</v>
      </c>
      <c r="P1405" s="2">
        <v>2.9062500000000002E-2</v>
      </c>
      <c r="Q1405" s="1" t="s">
        <v>1073</v>
      </c>
      <c r="R1405" s="1">
        <v>0</v>
      </c>
      <c r="S1405" s="1" t="str">
        <f>""</f>
        <v/>
      </c>
      <c r="T1405" s="1" t="s">
        <v>29</v>
      </c>
      <c r="U1405" s="1" t="s">
        <v>30</v>
      </c>
      <c r="V1405" s="1">
        <v>0</v>
      </c>
    </row>
    <row r="1406" spans="2:22" x14ac:dyDescent="0.15">
      <c r="B1406" s="1" t="str">
        <f>"138****9838"</f>
        <v>138****9838</v>
      </c>
      <c r="C1406" s="1" t="s">
        <v>23</v>
      </c>
      <c r="D1406" s="1" t="str">
        <f t="shared" si="146"/>
        <v>89177328</v>
      </c>
      <c r="E1406" s="1" t="s">
        <v>24</v>
      </c>
      <c r="F1406" s="1" t="str">
        <f t="shared" si="147"/>
        <v>0010</v>
      </c>
      <c r="G1406" s="1" t="str">
        <f>""</f>
        <v/>
      </c>
      <c r="H1406" s="1" t="str">
        <f>"0012"</f>
        <v>0012</v>
      </c>
      <c r="I1406" s="1" t="s">
        <v>612</v>
      </c>
      <c r="J1406" s="1" t="str">
        <f>"01043989720"</f>
        <v>01043989720</v>
      </c>
      <c r="K1406" s="1" t="str">
        <f>"2017-04-01 10:38:10"</f>
        <v>2017-04-01 10:38:10</v>
      </c>
      <c r="L1406" s="1" t="str">
        <f>"2017-04-01 10:38:25"</f>
        <v>2017-04-01 10:38:25</v>
      </c>
      <c r="M1406" s="2">
        <v>2.199074074074074E-4</v>
      </c>
      <c r="N1406" s="1" t="s">
        <v>26</v>
      </c>
      <c r="O1406" s="1" t="s">
        <v>34</v>
      </c>
      <c r="P1406" s="2">
        <v>3.9351851851851852E-4</v>
      </c>
      <c r="Q1406" s="1" t="s">
        <v>1074</v>
      </c>
      <c r="R1406" s="1">
        <v>0</v>
      </c>
      <c r="S1406" s="1" t="str">
        <f>""</f>
        <v/>
      </c>
      <c r="T1406" s="1" t="s">
        <v>29</v>
      </c>
      <c r="U1406" s="1" t="s">
        <v>30</v>
      </c>
      <c r="V1406" s="1">
        <v>0</v>
      </c>
    </row>
    <row r="1407" spans="2:22" x14ac:dyDescent="0.15">
      <c r="B1407" s="1" t="str">
        <f>"176****8278"</f>
        <v>176****8278</v>
      </c>
      <c r="C1407" s="1" t="s">
        <v>23</v>
      </c>
      <c r="D1407" s="1" t="str">
        <f t="shared" si="146"/>
        <v>89177328</v>
      </c>
      <c r="E1407" s="1" t="s">
        <v>24</v>
      </c>
      <c r="F1407" s="1" t="str">
        <f t="shared" si="147"/>
        <v>0010</v>
      </c>
      <c r="G1407" s="1" t="str">
        <f>""</f>
        <v/>
      </c>
      <c r="H1407" s="1" t="str">
        <f>"0010"</f>
        <v>0010</v>
      </c>
      <c r="I1407" s="1" t="s">
        <v>71</v>
      </c>
      <c r="J1407" s="1" t="str">
        <f>"01043977571"</f>
        <v>01043977571</v>
      </c>
      <c r="K1407" s="1" t="str">
        <f>"2017-04-01 10:32:53"</f>
        <v>2017-04-01 10:32:53</v>
      </c>
      <c r="L1407" s="1" t="str">
        <f>"2017-04-01 10:33:05"</f>
        <v>2017-04-01 10:33:05</v>
      </c>
      <c r="M1407" s="2">
        <v>4.9305555555555552E-3</v>
      </c>
      <c r="N1407" s="1" t="s">
        <v>26</v>
      </c>
      <c r="O1407" s="1" t="s">
        <v>27</v>
      </c>
      <c r="P1407" s="2">
        <v>5.0694444444444441E-3</v>
      </c>
      <c r="Q1407" s="1" t="s">
        <v>1075</v>
      </c>
      <c r="R1407" s="1">
        <v>0</v>
      </c>
      <c r="S1407" s="1" t="str">
        <f>""</f>
        <v/>
      </c>
      <c r="T1407" s="1" t="s">
        <v>29</v>
      </c>
      <c r="U1407" s="1" t="s">
        <v>30</v>
      </c>
      <c r="V1407" s="1">
        <v>0</v>
      </c>
    </row>
    <row r="1408" spans="2:22" x14ac:dyDescent="0.15">
      <c r="B1408" s="1" t="str">
        <f>"010****6552"</f>
        <v>010****6552</v>
      </c>
      <c r="C1408" s="1" t="s">
        <v>23</v>
      </c>
      <c r="D1408" s="1" t="str">
        <f t="shared" si="146"/>
        <v>89177328</v>
      </c>
      <c r="E1408" s="1" t="s">
        <v>24</v>
      </c>
      <c r="F1408" s="1" t="str">
        <f t="shared" si="147"/>
        <v>0010</v>
      </c>
      <c r="G1408" s="1" t="str">
        <f>""</f>
        <v/>
      </c>
      <c r="H1408" s="1" t="str">
        <f>"0033"</f>
        <v>0033</v>
      </c>
      <c r="I1408" s="1" t="s">
        <v>106</v>
      </c>
      <c r="J1408" s="1" t="str">
        <f>"01043977567"</f>
        <v>01043977567</v>
      </c>
      <c r="K1408" s="1" t="str">
        <f>"2017-04-01 10:32:00"</f>
        <v>2017-04-01 10:32:00</v>
      </c>
      <c r="L1408" s="1" t="str">
        <f>"2017-04-01 10:32:10"</f>
        <v>2017-04-01 10:32:10</v>
      </c>
      <c r="M1408" s="2">
        <v>4.9305555555555552E-3</v>
      </c>
      <c r="N1408" s="1" t="s">
        <v>26</v>
      </c>
      <c r="O1408" s="1" t="s">
        <v>27</v>
      </c>
      <c r="P1408" s="2">
        <v>5.0462962962962961E-3</v>
      </c>
      <c r="Q1408" s="1" t="s">
        <v>1076</v>
      </c>
      <c r="R1408" s="1">
        <v>0</v>
      </c>
      <c r="S1408" s="1" t="str">
        <f>""</f>
        <v/>
      </c>
      <c r="T1408" s="1" t="s">
        <v>29</v>
      </c>
      <c r="U1408" s="1" t="s">
        <v>30</v>
      </c>
      <c r="V1408" s="1">
        <v>0</v>
      </c>
    </row>
    <row r="1409" spans="2:22" x14ac:dyDescent="0.15">
      <c r="B1409" s="1" t="str">
        <f>"185****0065"</f>
        <v>185****0065</v>
      </c>
      <c r="C1409" s="1" t="s">
        <v>23</v>
      </c>
      <c r="D1409" s="1" t="str">
        <f t="shared" si="146"/>
        <v>89177328</v>
      </c>
      <c r="E1409" s="1" t="s">
        <v>24</v>
      </c>
      <c r="F1409" s="1" t="str">
        <f t="shared" si="147"/>
        <v>0010</v>
      </c>
      <c r="G1409" s="1" t="str">
        <f>""</f>
        <v/>
      </c>
      <c r="H1409" s="1" t="str">
        <f>"0012"</f>
        <v>0012</v>
      </c>
      <c r="I1409" s="1" t="s">
        <v>612</v>
      </c>
      <c r="J1409" s="1" t="str">
        <f>"01043989720"</f>
        <v>01043989720</v>
      </c>
      <c r="K1409" s="1" t="str">
        <f>"2017-04-01 10:27:56"</f>
        <v>2017-04-01 10:27:56</v>
      </c>
      <c r="L1409" s="1" t="str">
        <f>"2017-04-01 10:28:11"</f>
        <v>2017-04-01 10:28:11</v>
      </c>
      <c r="M1409" s="2">
        <v>2.1064814814814813E-3</v>
      </c>
      <c r="N1409" s="1" t="s">
        <v>26</v>
      </c>
      <c r="O1409" s="1" t="s">
        <v>34</v>
      </c>
      <c r="P1409" s="2">
        <v>2.2800925925925927E-3</v>
      </c>
      <c r="Q1409" s="1" t="s">
        <v>1077</v>
      </c>
      <c r="R1409" s="1">
        <v>0</v>
      </c>
      <c r="S1409" s="1" t="str">
        <f>""</f>
        <v/>
      </c>
      <c r="T1409" s="1" t="s">
        <v>29</v>
      </c>
      <c r="U1409" s="1" t="s">
        <v>30</v>
      </c>
      <c r="V1409" s="1">
        <v>0</v>
      </c>
    </row>
    <row r="1410" spans="2:22" x14ac:dyDescent="0.15">
      <c r="B1410" s="1" t="str">
        <f>"136****3856"</f>
        <v>136****3856</v>
      </c>
      <c r="C1410" s="1" t="s">
        <v>23</v>
      </c>
      <c r="D1410" s="1" t="str">
        <f t="shared" si="146"/>
        <v>89177328</v>
      </c>
      <c r="E1410" s="1" t="s">
        <v>24</v>
      </c>
      <c r="F1410" s="1" t="str">
        <f t="shared" si="147"/>
        <v>0010</v>
      </c>
      <c r="G1410" s="1" t="str">
        <f>""</f>
        <v/>
      </c>
      <c r="H1410" s="1" t="str">
        <f>"0033"</f>
        <v>0033</v>
      </c>
      <c r="I1410" s="1" t="s">
        <v>106</v>
      </c>
      <c r="J1410" s="1" t="str">
        <f>"01043977567"</f>
        <v>01043977567</v>
      </c>
      <c r="K1410" s="1" t="str">
        <f>"2017-04-01 10:24:51"</f>
        <v>2017-04-01 10:24:51</v>
      </c>
      <c r="L1410" s="1" t="str">
        <f>"2017-04-01 10:25:00"</f>
        <v>2017-04-01 10:25:00</v>
      </c>
      <c r="M1410" s="2">
        <v>4.7453703703703703E-3</v>
      </c>
      <c r="N1410" s="1" t="s">
        <v>26</v>
      </c>
      <c r="O1410" s="1" t="s">
        <v>34</v>
      </c>
      <c r="P1410" s="2">
        <v>4.8495370370370368E-3</v>
      </c>
      <c r="Q1410" s="1" t="s">
        <v>1078</v>
      </c>
      <c r="R1410" s="1">
        <v>0</v>
      </c>
      <c r="S1410" s="1" t="str">
        <f>""</f>
        <v/>
      </c>
      <c r="T1410" s="1" t="s">
        <v>29</v>
      </c>
      <c r="U1410" s="1" t="s">
        <v>30</v>
      </c>
      <c r="V1410" s="1">
        <v>0</v>
      </c>
    </row>
    <row r="1411" spans="2:22" x14ac:dyDescent="0.15">
      <c r="B1411" s="1" t="str">
        <f>"185****0065"</f>
        <v>185****0065</v>
      </c>
      <c r="C1411" s="1" t="s">
        <v>23</v>
      </c>
      <c r="D1411" s="1" t="str">
        <f t="shared" si="146"/>
        <v>89177328</v>
      </c>
      <c r="E1411" s="1" t="s">
        <v>24</v>
      </c>
      <c r="F1411" s="1" t="str">
        <f t="shared" si="147"/>
        <v>0010</v>
      </c>
      <c r="G1411" s="1" t="str">
        <f>""</f>
        <v/>
      </c>
      <c r="H1411" s="1" t="str">
        <f>"0012"</f>
        <v>0012</v>
      </c>
      <c r="I1411" s="1" t="s">
        <v>612</v>
      </c>
      <c r="J1411" s="1" t="str">
        <f>"01043989720"</f>
        <v>01043989720</v>
      </c>
      <c r="K1411" s="1" t="str">
        <f>"2017-04-01 10:20:49"</f>
        <v>2017-04-01 10:20:49</v>
      </c>
      <c r="L1411" s="1" t="str">
        <f>"2017-04-01 10:21:01"</f>
        <v>2017-04-01 10:21:01</v>
      </c>
      <c r="M1411" s="2">
        <v>1.2152777777777778E-3</v>
      </c>
      <c r="N1411" s="1" t="s">
        <v>26</v>
      </c>
      <c r="O1411" s="1" t="s">
        <v>34</v>
      </c>
      <c r="P1411" s="2">
        <v>1.3541666666666667E-3</v>
      </c>
      <c r="Q1411" s="1" t="s">
        <v>1079</v>
      </c>
      <c r="R1411" s="1">
        <v>0</v>
      </c>
      <c r="S1411" s="1" t="str">
        <f>""</f>
        <v/>
      </c>
      <c r="T1411" s="1" t="s">
        <v>29</v>
      </c>
      <c r="U1411" s="1" t="s">
        <v>30</v>
      </c>
      <c r="V1411" s="1">
        <v>0</v>
      </c>
    </row>
    <row r="1412" spans="2:22" x14ac:dyDescent="0.15">
      <c r="B1412" s="1" t="str">
        <f>"132****5116"</f>
        <v>132****5116</v>
      </c>
      <c r="C1412" s="1" t="s">
        <v>23</v>
      </c>
      <c r="D1412" s="1" t="str">
        <f>"4000108333"</f>
        <v>4000108333</v>
      </c>
      <c r="E1412" s="1" t="s">
        <v>53</v>
      </c>
      <c r="F1412" s="1" t="str">
        <f>"0000"</f>
        <v>0000</v>
      </c>
      <c r="G1412" s="1" t="str">
        <f>""</f>
        <v/>
      </c>
      <c r="H1412" s="1" t="str">
        <f>"1010"</f>
        <v>1010</v>
      </c>
      <c r="I1412" s="1" t="s">
        <v>148</v>
      </c>
      <c r="J1412" s="1" t="str">
        <f>"13718091869"</f>
        <v>13718091869</v>
      </c>
      <c r="K1412" s="1" t="str">
        <f>"2017-04-01 10:20:43"</f>
        <v>2017-04-01 10:20:43</v>
      </c>
      <c r="L1412" s="1" t="str">
        <f>"2017-04-01 10:21:25"</f>
        <v>2017-04-01 10:21:25</v>
      </c>
      <c r="M1412" s="2">
        <v>4.5138888888888892E-4</v>
      </c>
      <c r="N1412" s="1" t="s">
        <v>26</v>
      </c>
      <c r="O1412" s="1" t="s">
        <v>27</v>
      </c>
      <c r="P1412" s="2">
        <v>9.3750000000000007E-4</v>
      </c>
      <c r="Q1412" s="1" t="s">
        <v>1080</v>
      </c>
      <c r="R1412" s="1">
        <v>0.24</v>
      </c>
      <c r="S1412" s="1" t="str">
        <f>""</f>
        <v/>
      </c>
      <c r="T1412" s="1" t="s">
        <v>29</v>
      </c>
      <c r="U1412" s="1" t="s">
        <v>30</v>
      </c>
      <c r="V1412" s="1">
        <v>0</v>
      </c>
    </row>
    <row r="1413" spans="2:22" x14ac:dyDescent="0.15">
      <c r="B1413" s="1" t="str">
        <f>"189****8142"</f>
        <v>189****8142</v>
      </c>
      <c r="C1413" s="1" t="s">
        <v>23</v>
      </c>
      <c r="D1413" s="1" t="str">
        <f t="shared" ref="D1413:D1432" si="148">"89177328"</f>
        <v>89177328</v>
      </c>
      <c r="E1413" s="1" t="s">
        <v>24</v>
      </c>
      <c r="F1413" s="1" t="str">
        <f t="shared" ref="F1413:F1422" si="149">"0010"</f>
        <v>0010</v>
      </c>
      <c r="G1413" s="1" t="str">
        <f>""</f>
        <v/>
      </c>
      <c r="H1413" s="1" t="str">
        <f>"0033"</f>
        <v>0033</v>
      </c>
      <c r="I1413" s="1" t="s">
        <v>106</v>
      </c>
      <c r="J1413" s="1" t="str">
        <f>"01043977567"</f>
        <v>01043977567</v>
      </c>
      <c r="K1413" s="1" t="str">
        <f>"2017-04-01 09:57:32"</f>
        <v>2017-04-01 09:57:32</v>
      </c>
      <c r="L1413" s="1" t="str">
        <f>"2017-04-01 09:57:41"</f>
        <v>2017-04-01 09:57:41</v>
      </c>
      <c r="M1413" s="2">
        <v>1.8310185185185186E-2</v>
      </c>
      <c r="N1413" s="1" t="s">
        <v>26</v>
      </c>
      <c r="O1413" s="1" t="s">
        <v>34</v>
      </c>
      <c r="P1413" s="2">
        <v>1.8414351851851852E-2</v>
      </c>
      <c r="Q1413" s="1" t="s">
        <v>1081</v>
      </c>
      <c r="R1413" s="1">
        <v>0</v>
      </c>
      <c r="S1413" s="1" t="str">
        <f>""</f>
        <v/>
      </c>
      <c r="T1413" s="1" t="s">
        <v>29</v>
      </c>
      <c r="U1413" s="1" t="s">
        <v>30</v>
      </c>
      <c r="V1413" s="1">
        <v>0</v>
      </c>
    </row>
    <row r="1414" spans="2:22" x14ac:dyDescent="0.15">
      <c r="B1414" s="1" t="str">
        <f>"183****9705"</f>
        <v>183****9705</v>
      </c>
      <c r="C1414" s="1" t="s">
        <v>23</v>
      </c>
      <c r="D1414" s="1" t="str">
        <f t="shared" si="148"/>
        <v>89177328</v>
      </c>
      <c r="E1414" s="1" t="s">
        <v>24</v>
      </c>
      <c r="F1414" s="1" t="str">
        <f t="shared" si="149"/>
        <v>0010</v>
      </c>
      <c r="G1414" s="1" t="str">
        <f>""</f>
        <v/>
      </c>
      <c r="H1414" s="1" t="str">
        <f>"0034"</f>
        <v>0034</v>
      </c>
      <c r="I1414" s="1" t="s">
        <v>31</v>
      </c>
      <c r="J1414" s="1" t="str">
        <f>"01043977568"</f>
        <v>01043977568</v>
      </c>
      <c r="K1414" s="1" t="str">
        <f>"2017-04-01 09:35:36"</f>
        <v>2017-04-01 09:35:36</v>
      </c>
      <c r="L1414" s="1" t="str">
        <f>"2017-04-01 09:35:44"</f>
        <v>2017-04-01 09:35:44</v>
      </c>
      <c r="M1414" s="2">
        <v>6.4583333333333333E-3</v>
      </c>
      <c r="N1414" s="1" t="s">
        <v>26</v>
      </c>
      <c r="O1414" s="1" t="s">
        <v>27</v>
      </c>
      <c r="P1414" s="2">
        <v>6.5509259259259262E-3</v>
      </c>
      <c r="Q1414" s="1" t="s">
        <v>1082</v>
      </c>
      <c r="R1414" s="1">
        <v>0</v>
      </c>
      <c r="S1414" s="1" t="str">
        <f>""</f>
        <v/>
      </c>
      <c r="T1414" s="1" t="s">
        <v>29</v>
      </c>
      <c r="U1414" s="1" t="s">
        <v>30</v>
      </c>
      <c r="V1414" s="1">
        <v>0</v>
      </c>
    </row>
    <row r="1415" spans="2:22" x14ac:dyDescent="0.15">
      <c r="B1415" s="1" t="str">
        <f>"177****7899"</f>
        <v>177****7899</v>
      </c>
      <c r="C1415" s="1" t="s">
        <v>416</v>
      </c>
      <c r="D1415" s="1" t="str">
        <f t="shared" si="148"/>
        <v>89177328</v>
      </c>
      <c r="E1415" s="1" t="s">
        <v>24</v>
      </c>
      <c r="F1415" s="1" t="str">
        <f t="shared" si="149"/>
        <v>0010</v>
      </c>
      <c r="G1415" s="1" t="str">
        <f>""</f>
        <v/>
      </c>
      <c r="H1415" s="1" t="str">
        <f>"0034"</f>
        <v>0034</v>
      </c>
      <c r="I1415" s="1" t="s">
        <v>31</v>
      </c>
      <c r="J1415" s="1" t="str">
        <f>"01043977568"</f>
        <v>01043977568</v>
      </c>
      <c r="K1415" s="1" t="str">
        <f>"2017-04-01 09:27:51"</f>
        <v>2017-04-01 09:27:51</v>
      </c>
      <c r="L1415" s="1" t="str">
        <f>"2017-04-01 09:28:23"</f>
        <v>2017-04-01 09:28:23</v>
      </c>
      <c r="M1415" s="2">
        <v>3.4953703703703705E-3</v>
      </c>
      <c r="N1415" s="1" t="s">
        <v>26</v>
      </c>
      <c r="O1415" s="1" t="s">
        <v>27</v>
      </c>
      <c r="P1415" s="2">
        <v>3.8657407407407408E-3</v>
      </c>
      <c r="Q1415" s="1" t="s">
        <v>1083</v>
      </c>
      <c r="R1415" s="1">
        <v>0</v>
      </c>
      <c r="S1415" s="1" t="str">
        <f>""</f>
        <v/>
      </c>
      <c r="T1415" s="1" t="s">
        <v>29</v>
      </c>
      <c r="U1415" s="1" t="s">
        <v>30</v>
      </c>
      <c r="V1415" s="1">
        <v>0</v>
      </c>
    </row>
    <row r="1416" spans="2:22" x14ac:dyDescent="0.15">
      <c r="B1416" s="1" t="str">
        <f>"136****7636"</f>
        <v>136****7636</v>
      </c>
      <c r="C1416" s="1" t="s">
        <v>1084</v>
      </c>
      <c r="D1416" s="1" t="str">
        <f t="shared" si="148"/>
        <v>89177328</v>
      </c>
      <c r="E1416" s="1" t="s">
        <v>24</v>
      </c>
      <c r="F1416" s="1" t="str">
        <f t="shared" si="149"/>
        <v>0010</v>
      </c>
      <c r="G1416" s="1" t="str">
        <f>""</f>
        <v/>
      </c>
      <c r="H1416" s="1" t="str">
        <f>"0032"</f>
        <v>0032</v>
      </c>
      <c r="I1416" s="1" t="s">
        <v>119</v>
      </c>
      <c r="J1416" s="1" t="str">
        <f>"01043977566"</f>
        <v>01043977566</v>
      </c>
      <c r="K1416" s="1" t="str">
        <f>"2017-04-01 09:24:50"</f>
        <v>2017-04-01 09:24:50</v>
      </c>
      <c r="L1416" s="1" t="str">
        <f>"2017-04-01 09:25:03"</f>
        <v>2017-04-01 09:25:03</v>
      </c>
      <c r="M1416" s="2">
        <v>5.6249999999999989E-3</v>
      </c>
      <c r="N1416" s="1" t="s">
        <v>26</v>
      </c>
      <c r="O1416" s="1" t="s">
        <v>34</v>
      </c>
      <c r="P1416" s="2">
        <v>5.7754629629629623E-3</v>
      </c>
      <c r="Q1416" s="1" t="s">
        <v>1085</v>
      </c>
      <c r="R1416" s="1">
        <v>0</v>
      </c>
      <c r="S1416" s="1" t="str">
        <f>""</f>
        <v/>
      </c>
      <c r="T1416" s="1" t="s">
        <v>29</v>
      </c>
      <c r="U1416" s="1" t="s">
        <v>30</v>
      </c>
      <c r="V1416" s="1">
        <v>0</v>
      </c>
    </row>
    <row r="1417" spans="2:22" x14ac:dyDescent="0.15">
      <c r="B1417" s="1" t="str">
        <f>"135****1372"</f>
        <v>135****1372</v>
      </c>
      <c r="C1417" s="1" t="s">
        <v>23</v>
      </c>
      <c r="D1417" s="1" t="str">
        <f t="shared" si="148"/>
        <v>89177328</v>
      </c>
      <c r="E1417" s="1" t="s">
        <v>24</v>
      </c>
      <c r="F1417" s="1" t="str">
        <f t="shared" si="149"/>
        <v>0010</v>
      </c>
      <c r="G1417" s="1" t="str">
        <f>""</f>
        <v/>
      </c>
      <c r="H1417" s="1" t="str">
        <f>"0031"</f>
        <v>0031</v>
      </c>
      <c r="I1417" s="1" t="s">
        <v>95</v>
      </c>
      <c r="J1417" s="1" t="str">
        <f>"01043977565"</f>
        <v>01043977565</v>
      </c>
      <c r="K1417" s="1" t="str">
        <f>"2017-04-01 09:24:40"</f>
        <v>2017-04-01 09:24:40</v>
      </c>
      <c r="L1417" s="1" t="str">
        <f>"2017-04-01 09:24:48"</f>
        <v>2017-04-01 09:24:48</v>
      </c>
      <c r="M1417" s="2">
        <v>3.9004629629629632E-3</v>
      </c>
      <c r="N1417" s="1" t="s">
        <v>26</v>
      </c>
      <c r="O1417" s="1" t="s">
        <v>27</v>
      </c>
      <c r="P1417" s="2">
        <v>3.9930555555555561E-3</v>
      </c>
      <c r="Q1417" s="1" t="s">
        <v>1086</v>
      </c>
      <c r="R1417" s="1">
        <v>0</v>
      </c>
      <c r="S1417" s="1" t="str">
        <f>""</f>
        <v/>
      </c>
      <c r="T1417" s="1" t="s">
        <v>29</v>
      </c>
      <c r="U1417" s="1" t="s">
        <v>30</v>
      </c>
      <c r="V1417" s="1">
        <v>0</v>
      </c>
    </row>
    <row r="1418" spans="2:22" x14ac:dyDescent="0.15">
      <c r="B1418" s="1" t="str">
        <f>"139****0811"</f>
        <v>139****0811</v>
      </c>
      <c r="C1418" s="1" t="s">
        <v>1087</v>
      </c>
      <c r="D1418" s="1" t="str">
        <f t="shared" si="148"/>
        <v>89177328</v>
      </c>
      <c r="E1418" s="1" t="s">
        <v>24</v>
      </c>
      <c r="F1418" s="1" t="str">
        <f t="shared" si="149"/>
        <v>0010</v>
      </c>
      <c r="G1418" s="1" t="str">
        <f>""</f>
        <v/>
      </c>
      <c r="H1418" s="1" t="str">
        <f>"0010"</f>
        <v>0010</v>
      </c>
      <c r="I1418" s="1" t="s">
        <v>71</v>
      </c>
      <c r="J1418" s="1" t="str">
        <f>"01043977571"</f>
        <v>01043977571</v>
      </c>
      <c r="K1418" s="1" t="str">
        <f>"2017-04-01 09:11:49"</f>
        <v>2017-04-01 09:11:49</v>
      </c>
      <c r="L1418" s="1" t="str">
        <f>"2017-04-01 09:11:59"</f>
        <v>2017-04-01 09:11:59</v>
      </c>
      <c r="M1418" s="2">
        <v>1.0868055555555556E-2</v>
      </c>
      <c r="N1418" s="1" t="s">
        <v>26</v>
      </c>
      <c r="O1418" s="1" t="s">
        <v>27</v>
      </c>
      <c r="P1418" s="2">
        <v>1.0983796296296297E-2</v>
      </c>
      <c r="Q1418" s="1" t="s">
        <v>1088</v>
      </c>
      <c r="R1418" s="1">
        <v>0</v>
      </c>
      <c r="S1418" s="1" t="str">
        <f>""</f>
        <v/>
      </c>
      <c r="T1418" s="1" t="s">
        <v>29</v>
      </c>
      <c r="U1418" s="1" t="s">
        <v>30</v>
      </c>
      <c r="V1418" s="1">
        <v>0</v>
      </c>
    </row>
    <row r="1419" spans="2:22" x14ac:dyDescent="0.15">
      <c r="B1419" s="1" t="str">
        <f>"133****9165"</f>
        <v>133****9165</v>
      </c>
      <c r="C1419" s="1" t="s">
        <v>23</v>
      </c>
      <c r="D1419" s="1" t="str">
        <f t="shared" si="148"/>
        <v>89177328</v>
      </c>
      <c r="E1419" s="1" t="s">
        <v>24</v>
      </c>
      <c r="F1419" s="1" t="str">
        <f t="shared" si="149"/>
        <v>0010</v>
      </c>
      <c r="G1419" s="1" t="str">
        <f>""</f>
        <v/>
      </c>
      <c r="H1419" s="1" t="str">
        <f>"0034"</f>
        <v>0034</v>
      </c>
      <c r="I1419" s="1" t="s">
        <v>31</v>
      </c>
      <c r="J1419" s="1" t="str">
        <f>"01043977568"</f>
        <v>01043977568</v>
      </c>
      <c r="K1419" s="1" t="str">
        <f>"2017-04-01 08:38:02"</f>
        <v>2017-04-01 08:38:02</v>
      </c>
      <c r="L1419" s="1" t="str">
        <f>"2017-04-01 08:38:11"</f>
        <v>2017-04-01 08:38:11</v>
      </c>
      <c r="M1419" s="2">
        <v>5.8680555555555543E-3</v>
      </c>
      <c r="N1419" s="1" t="s">
        <v>26</v>
      </c>
      <c r="O1419" s="1" t="s">
        <v>27</v>
      </c>
      <c r="P1419" s="2">
        <v>5.9722222222222225E-3</v>
      </c>
      <c r="Q1419" s="1" t="s">
        <v>1089</v>
      </c>
      <c r="R1419" s="1">
        <v>0</v>
      </c>
      <c r="S1419" s="1" t="str">
        <f>""</f>
        <v/>
      </c>
      <c r="T1419" s="1" t="s">
        <v>29</v>
      </c>
      <c r="U1419" s="1" t="s">
        <v>30</v>
      </c>
      <c r="V1419" s="1">
        <v>0</v>
      </c>
    </row>
    <row r="1420" spans="2:22" x14ac:dyDescent="0.15">
      <c r="B1420" s="1" t="str">
        <f>"158****6424"</f>
        <v>158****6424</v>
      </c>
      <c r="C1420" s="1" t="s">
        <v>1090</v>
      </c>
      <c r="D1420" s="1" t="str">
        <f t="shared" si="148"/>
        <v>89177328</v>
      </c>
      <c r="E1420" s="1" t="s">
        <v>24</v>
      </c>
      <c r="F1420" s="1" t="str">
        <f t="shared" si="149"/>
        <v>0010</v>
      </c>
      <c r="G1420" s="1" t="str">
        <f>""</f>
        <v/>
      </c>
      <c r="H1420" s="1" t="str">
        <f>"0034"</f>
        <v>0034</v>
      </c>
      <c r="I1420" s="1" t="s">
        <v>31</v>
      </c>
      <c r="J1420" s="1" t="str">
        <f>"01043977568"</f>
        <v>01043977568</v>
      </c>
      <c r="K1420" s="1" t="str">
        <f>"2017-04-01 08:30:13"</f>
        <v>2017-04-01 08:30:13</v>
      </c>
      <c r="L1420" s="1" t="str">
        <f>"2017-04-01 08:30:24"</f>
        <v>2017-04-01 08:30:24</v>
      </c>
      <c r="M1420" s="2">
        <v>9.1435185185185185E-4</v>
      </c>
      <c r="N1420" s="1" t="s">
        <v>26</v>
      </c>
      <c r="O1420" s="1" t="s">
        <v>27</v>
      </c>
      <c r="P1420" s="2">
        <v>1.0416666666666667E-3</v>
      </c>
      <c r="Q1420" s="1" t="s">
        <v>1091</v>
      </c>
      <c r="R1420" s="1">
        <v>0</v>
      </c>
      <c r="S1420" s="1" t="str">
        <f>""</f>
        <v/>
      </c>
      <c r="T1420" s="1" t="s">
        <v>29</v>
      </c>
      <c r="U1420" s="1" t="s">
        <v>30</v>
      </c>
      <c r="V1420" s="1">
        <v>0</v>
      </c>
    </row>
    <row r="1421" spans="2:22" x14ac:dyDescent="0.15">
      <c r="B1421" s="1" t="str">
        <f>"158****6365"</f>
        <v>158****6365</v>
      </c>
      <c r="C1421" s="1" t="s">
        <v>782</v>
      </c>
      <c r="D1421" s="1" t="str">
        <f t="shared" si="148"/>
        <v>89177328</v>
      </c>
      <c r="E1421" s="1" t="s">
        <v>24</v>
      </c>
      <c r="F1421" s="1" t="str">
        <f t="shared" si="149"/>
        <v>0010</v>
      </c>
      <c r="G1421" s="1" t="str">
        <f>""</f>
        <v/>
      </c>
      <c r="H1421" s="1" t="str">
        <f>"0010"</f>
        <v>0010</v>
      </c>
      <c r="I1421" s="1" t="s">
        <v>71</v>
      </c>
      <c r="J1421" s="1" t="str">
        <f>"01043977571"</f>
        <v>01043977571</v>
      </c>
      <c r="K1421" s="1" t="str">
        <f>"2017-04-01 08:25:03"</f>
        <v>2017-04-01 08:25:03</v>
      </c>
      <c r="L1421" s="1" t="str">
        <f>"2017-04-01 08:25:15"</f>
        <v>2017-04-01 08:25:15</v>
      </c>
      <c r="M1421" s="2">
        <v>9.8379629629629642E-4</v>
      </c>
      <c r="N1421" s="1" t="s">
        <v>26</v>
      </c>
      <c r="O1421" s="1" t="s">
        <v>27</v>
      </c>
      <c r="P1421" s="2">
        <v>1.1226851851851851E-3</v>
      </c>
      <c r="Q1421" s="1" t="s">
        <v>1092</v>
      </c>
      <c r="R1421" s="1">
        <v>0</v>
      </c>
      <c r="S1421" s="1" t="str">
        <f>""</f>
        <v/>
      </c>
      <c r="T1421" s="1" t="s">
        <v>29</v>
      </c>
      <c r="U1421" s="1" t="s">
        <v>30</v>
      </c>
      <c r="V1421" s="1">
        <v>0</v>
      </c>
    </row>
    <row r="1422" spans="2:22" x14ac:dyDescent="0.15">
      <c r="B1422" s="1" t="str">
        <f>"152****8405"</f>
        <v>152****8405</v>
      </c>
      <c r="C1422" s="1" t="s">
        <v>105</v>
      </c>
      <c r="D1422" s="1" t="str">
        <f t="shared" si="148"/>
        <v>89177328</v>
      </c>
      <c r="E1422" s="1" t="s">
        <v>24</v>
      </c>
      <c r="F1422" s="1" t="str">
        <f t="shared" si="149"/>
        <v>0010</v>
      </c>
      <c r="G1422" s="1" t="str">
        <f>""</f>
        <v/>
      </c>
      <c r="H1422" s="1" t="str">
        <f>"0031"</f>
        <v>0031</v>
      </c>
      <c r="I1422" s="1" t="s">
        <v>95</v>
      </c>
      <c r="J1422" s="1" t="str">
        <f>"01043977565"</f>
        <v>01043977565</v>
      </c>
      <c r="K1422" s="1" t="str">
        <f>"2017-04-01 08:03:46"</f>
        <v>2017-04-01 08:03:46</v>
      </c>
      <c r="L1422" s="1" t="str">
        <f>"2017-04-01 08:03:55"</f>
        <v>2017-04-01 08:03:55</v>
      </c>
      <c r="M1422" s="2">
        <v>1.3946759259259258E-2</v>
      </c>
      <c r="N1422" s="1" t="s">
        <v>26</v>
      </c>
      <c r="O1422" s="1" t="s">
        <v>27</v>
      </c>
      <c r="P1422" s="2">
        <v>1.4050925925925927E-2</v>
      </c>
      <c r="Q1422" s="1" t="s">
        <v>1093</v>
      </c>
      <c r="R1422" s="1">
        <v>0</v>
      </c>
      <c r="S1422" s="1" t="str">
        <f>""</f>
        <v/>
      </c>
      <c r="T1422" s="1" t="s">
        <v>29</v>
      </c>
      <c r="U1422" s="1" t="s">
        <v>30</v>
      </c>
      <c r="V1422" s="1">
        <v>0</v>
      </c>
    </row>
    <row r="1423" spans="2:22" x14ac:dyDescent="0.15">
      <c r="B1423" s="1" t="str">
        <f>"177****5406"</f>
        <v>177****5406</v>
      </c>
      <c r="C1423" s="1" t="s">
        <v>23</v>
      </c>
      <c r="D1423" s="1" t="str">
        <f t="shared" si="148"/>
        <v>89177328</v>
      </c>
      <c r="E1423" s="1" t="s">
        <v>181</v>
      </c>
      <c r="F1423" s="1" t="str">
        <f>""</f>
        <v/>
      </c>
      <c r="G1423" s="1" t="str">
        <f>""</f>
        <v/>
      </c>
      <c r="H1423" s="1" t="str">
        <f>""</f>
        <v/>
      </c>
      <c r="I1423" s="1" t="str">
        <f>""</f>
        <v/>
      </c>
      <c r="J1423" s="1" t="str">
        <f>""</f>
        <v/>
      </c>
      <c r="K1423" s="1" t="str">
        <f>"2017-04-01 07:18:35"</f>
        <v>2017-04-01 07:18:35</v>
      </c>
      <c r="L1423" s="1" t="str">
        <f>"-"</f>
        <v>-</v>
      </c>
      <c r="M1423" s="2">
        <v>0</v>
      </c>
      <c r="N1423" s="1" t="s">
        <v>55</v>
      </c>
      <c r="O1423" s="1" t="s">
        <v>34</v>
      </c>
      <c r="P1423" s="2">
        <v>1.1574074074074073E-4</v>
      </c>
      <c r="Q1423" s="1" t="str">
        <f>""</f>
        <v/>
      </c>
      <c r="R1423" s="1">
        <v>0</v>
      </c>
      <c r="S1423" s="1" t="str">
        <f>""</f>
        <v/>
      </c>
      <c r="T1423" s="1" t="s">
        <v>183</v>
      </c>
      <c r="U1423" s="1" t="s">
        <v>30</v>
      </c>
      <c r="V1423" s="1">
        <v>0</v>
      </c>
    </row>
    <row r="1424" spans="2:22" x14ac:dyDescent="0.15">
      <c r="B1424" s="1" t="str">
        <f>"187****1931"</f>
        <v>187****1931</v>
      </c>
      <c r="C1424" s="1" t="s">
        <v>872</v>
      </c>
      <c r="D1424" s="1" t="str">
        <f t="shared" si="148"/>
        <v>89177328</v>
      </c>
      <c r="E1424" s="1" t="s">
        <v>24</v>
      </c>
      <c r="F1424" s="1" t="str">
        <f t="shared" ref="F1424:F1432" si="150">"0010"</f>
        <v>0010</v>
      </c>
      <c r="G1424" s="1" t="str">
        <f>""</f>
        <v/>
      </c>
      <c r="H1424" s="1" t="str">
        <f>"0018"</f>
        <v>0018</v>
      </c>
      <c r="I1424" s="1" t="s">
        <v>36</v>
      </c>
      <c r="J1424" s="1" t="str">
        <f>"01043977572"</f>
        <v>01043977572</v>
      </c>
      <c r="K1424" s="1" t="str">
        <f>"2017-03-31 20:41:48"</f>
        <v>2017-03-31 20:41:48</v>
      </c>
      <c r="L1424" s="1" t="str">
        <f>"-"</f>
        <v>-</v>
      </c>
      <c r="M1424" s="2">
        <v>0</v>
      </c>
      <c r="N1424" s="1" t="s">
        <v>33</v>
      </c>
      <c r="O1424" s="1" t="s">
        <v>34</v>
      </c>
      <c r="P1424" s="2">
        <v>1.1574074074074073E-5</v>
      </c>
      <c r="Q1424" s="1" t="str">
        <f>""</f>
        <v/>
      </c>
      <c r="R1424" s="1">
        <v>0</v>
      </c>
      <c r="S1424" s="1" t="str">
        <f>""</f>
        <v/>
      </c>
      <c r="T1424" s="1" t="s">
        <v>29</v>
      </c>
      <c r="U1424" s="1" t="s">
        <v>30</v>
      </c>
      <c r="V1424" s="1">
        <v>0</v>
      </c>
    </row>
    <row r="1425" spans="2:22" x14ac:dyDescent="0.15">
      <c r="B1425" s="1" t="str">
        <f>"159****3885"</f>
        <v>159****3885</v>
      </c>
      <c r="C1425" s="1" t="s">
        <v>23</v>
      </c>
      <c r="D1425" s="1" t="str">
        <f t="shared" si="148"/>
        <v>89177328</v>
      </c>
      <c r="E1425" s="1" t="s">
        <v>24</v>
      </c>
      <c r="F1425" s="1" t="str">
        <f t="shared" si="150"/>
        <v>0010</v>
      </c>
      <c r="G1425" s="1" t="str">
        <f>""</f>
        <v/>
      </c>
      <c r="H1425" s="1" t="str">
        <f>"0018"</f>
        <v>0018</v>
      </c>
      <c r="I1425" s="1" t="s">
        <v>36</v>
      </c>
      <c r="J1425" s="1" t="str">
        <f>"01043977572"</f>
        <v>01043977572</v>
      </c>
      <c r="K1425" s="1" t="str">
        <f>"2017-03-31 20:00:33"</f>
        <v>2017-03-31 20:00:33</v>
      </c>
      <c r="L1425" s="1" t="str">
        <f>"2017-03-31 20:00:45"</f>
        <v>2017-03-31 20:00:45</v>
      </c>
      <c r="M1425" s="2">
        <v>7.5925925925925926E-3</v>
      </c>
      <c r="N1425" s="1" t="s">
        <v>26</v>
      </c>
      <c r="O1425" s="1" t="s">
        <v>34</v>
      </c>
      <c r="P1425" s="2">
        <v>7.7314814814814815E-3</v>
      </c>
      <c r="Q1425" s="1" t="s">
        <v>1094</v>
      </c>
      <c r="R1425" s="1">
        <v>0</v>
      </c>
      <c r="S1425" s="1" t="str">
        <f>""</f>
        <v/>
      </c>
      <c r="T1425" s="1" t="s">
        <v>29</v>
      </c>
      <c r="U1425" s="1" t="s">
        <v>30</v>
      </c>
      <c r="V1425" s="1">
        <v>0</v>
      </c>
    </row>
    <row r="1426" spans="2:22" x14ac:dyDescent="0.15">
      <c r="B1426" s="1" t="str">
        <f>"133****3375"</f>
        <v>133****3375</v>
      </c>
      <c r="C1426" s="1" t="s">
        <v>51</v>
      </c>
      <c r="D1426" s="1" t="str">
        <f t="shared" si="148"/>
        <v>89177328</v>
      </c>
      <c r="E1426" s="1" t="s">
        <v>24</v>
      </c>
      <c r="F1426" s="1" t="str">
        <f t="shared" si="150"/>
        <v>0010</v>
      </c>
      <c r="G1426" s="1" t="str">
        <f>""</f>
        <v/>
      </c>
      <c r="H1426" s="1" t="str">
        <f>"0017"</f>
        <v>0017</v>
      </c>
      <c r="I1426" s="1" t="s">
        <v>135</v>
      </c>
      <c r="J1426" s="1" t="str">
        <f>"01043989717"</f>
        <v>01043989717</v>
      </c>
      <c r="K1426" s="1" t="str">
        <f>"2017-03-31 19:24:41"</f>
        <v>2017-03-31 19:24:41</v>
      </c>
      <c r="L1426" s="1" t="str">
        <f>"2017-03-31 19:24:47"</f>
        <v>2017-03-31 19:24:47</v>
      </c>
      <c r="M1426" s="2">
        <v>8.8657407407407417E-3</v>
      </c>
      <c r="N1426" s="1" t="s">
        <v>26</v>
      </c>
      <c r="O1426" s="1" t="s">
        <v>27</v>
      </c>
      <c r="P1426" s="2">
        <v>8.9351851851851866E-3</v>
      </c>
      <c r="Q1426" s="1" t="s">
        <v>1095</v>
      </c>
      <c r="R1426" s="1">
        <v>0</v>
      </c>
      <c r="S1426" s="1" t="str">
        <f>""</f>
        <v/>
      </c>
      <c r="T1426" s="1" t="s">
        <v>29</v>
      </c>
      <c r="U1426" s="1" t="s">
        <v>30</v>
      </c>
      <c r="V1426" s="1">
        <v>0</v>
      </c>
    </row>
    <row r="1427" spans="2:22" x14ac:dyDescent="0.15">
      <c r="B1427" s="1" t="str">
        <f>"150****9320"</f>
        <v>150****9320</v>
      </c>
      <c r="C1427" s="1" t="s">
        <v>379</v>
      </c>
      <c r="D1427" s="1" t="str">
        <f t="shared" si="148"/>
        <v>89177328</v>
      </c>
      <c r="E1427" s="1" t="s">
        <v>24</v>
      </c>
      <c r="F1427" s="1" t="str">
        <f t="shared" si="150"/>
        <v>0010</v>
      </c>
      <c r="G1427" s="1" t="str">
        <f>""</f>
        <v/>
      </c>
      <c r="H1427" s="1" t="str">
        <f>"0018"</f>
        <v>0018</v>
      </c>
      <c r="I1427" s="1" t="s">
        <v>36</v>
      </c>
      <c r="J1427" s="1" t="str">
        <f>"01043977572"</f>
        <v>01043977572</v>
      </c>
      <c r="K1427" s="1" t="str">
        <f>"2017-03-31 19:02:34"</f>
        <v>2017-03-31 19:02:34</v>
      </c>
      <c r="L1427" s="1" t="str">
        <f>"-"</f>
        <v>-</v>
      </c>
      <c r="M1427" s="2">
        <v>0</v>
      </c>
      <c r="N1427" s="1" t="s">
        <v>33</v>
      </c>
      <c r="O1427" s="1" t="s">
        <v>34</v>
      </c>
      <c r="P1427" s="2">
        <v>2.3148148148148147E-5</v>
      </c>
      <c r="Q1427" s="1" t="str">
        <f>""</f>
        <v/>
      </c>
      <c r="R1427" s="1">
        <v>0</v>
      </c>
      <c r="S1427" s="1" t="str">
        <f>""</f>
        <v/>
      </c>
      <c r="T1427" s="1" t="s">
        <v>29</v>
      </c>
      <c r="U1427" s="1" t="s">
        <v>30</v>
      </c>
      <c r="V1427" s="1">
        <v>0</v>
      </c>
    </row>
    <row r="1428" spans="2:22" x14ac:dyDescent="0.15">
      <c r="B1428" s="1" t="str">
        <f>"157****2148"</f>
        <v>157****2148</v>
      </c>
      <c r="C1428" s="1" t="s">
        <v>113</v>
      </c>
      <c r="D1428" s="1" t="str">
        <f t="shared" si="148"/>
        <v>89177328</v>
      </c>
      <c r="E1428" s="1" t="s">
        <v>24</v>
      </c>
      <c r="F1428" s="1" t="str">
        <f t="shared" si="150"/>
        <v>0010</v>
      </c>
      <c r="G1428" s="1" t="str">
        <f>""</f>
        <v/>
      </c>
      <c r="H1428" s="1" t="str">
        <f>"0018"</f>
        <v>0018</v>
      </c>
      <c r="I1428" s="1" t="s">
        <v>36</v>
      </c>
      <c r="J1428" s="1" t="str">
        <f>"01043977572"</f>
        <v>01043977572</v>
      </c>
      <c r="K1428" s="1" t="str">
        <f>"2017-03-31 18:52:34"</f>
        <v>2017-03-31 18:52:34</v>
      </c>
      <c r="L1428" s="1" t="str">
        <f>"2017-03-31 18:52:43"</f>
        <v>2017-03-31 18:52:43</v>
      </c>
      <c r="M1428" s="2">
        <v>1.6782407407407406E-3</v>
      </c>
      <c r="N1428" s="1" t="s">
        <v>26</v>
      </c>
      <c r="O1428" s="1" t="s">
        <v>34</v>
      </c>
      <c r="P1428" s="2">
        <v>1.7824074074074072E-3</v>
      </c>
      <c r="Q1428" s="1" t="s">
        <v>1096</v>
      </c>
      <c r="R1428" s="1">
        <v>0</v>
      </c>
      <c r="S1428" s="1" t="str">
        <f>""</f>
        <v/>
      </c>
      <c r="T1428" s="1" t="s">
        <v>29</v>
      </c>
      <c r="U1428" s="1" t="s">
        <v>30</v>
      </c>
      <c r="V1428" s="1">
        <v>0</v>
      </c>
    </row>
    <row r="1429" spans="2:22" x14ac:dyDescent="0.15">
      <c r="B1429" s="1" t="str">
        <f>"138****0309"</f>
        <v>138****0309</v>
      </c>
      <c r="C1429" s="1" t="s">
        <v>23</v>
      </c>
      <c r="D1429" s="1" t="str">
        <f t="shared" si="148"/>
        <v>89177328</v>
      </c>
      <c r="E1429" s="1" t="s">
        <v>24</v>
      </c>
      <c r="F1429" s="1" t="str">
        <f t="shared" si="150"/>
        <v>0010</v>
      </c>
      <c r="G1429" s="1" t="str">
        <f>""</f>
        <v/>
      </c>
      <c r="H1429" s="1" t="str">
        <f>"0017"</f>
        <v>0017</v>
      </c>
      <c r="I1429" s="1" t="s">
        <v>135</v>
      </c>
      <c r="J1429" s="1" t="str">
        <f>"01043989717"</f>
        <v>01043989717</v>
      </c>
      <c r="K1429" s="1" t="str">
        <f>"2017-03-31 18:49:30"</f>
        <v>2017-03-31 18:49:30</v>
      </c>
      <c r="L1429" s="1" t="str">
        <f>"-"</f>
        <v>-</v>
      </c>
      <c r="M1429" s="2">
        <v>0</v>
      </c>
      <c r="N1429" s="1" t="s">
        <v>33</v>
      </c>
      <c r="O1429" s="1" t="s">
        <v>34</v>
      </c>
      <c r="P1429" s="2">
        <v>2.3148148148148147E-5</v>
      </c>
      <c r="Q1429" s="1" t="str">
        <f>""</f>
        <v/>
      </c>
      <c r="R1429" s="1">
        <v>0</v>
      </c>
      <c r="S1429" s="1" t="str">
        <f>""</f>
        <v/>
      </c>
      <c r="T1429" s="1" t="s">
        <v>29</v>
      </c>
      <c r="U1429" s="1" t="s">
        <v>30</v>
      </c>
      <c r="V1429" s="1">
        <v>0</v>
      </c>
    </row>
    <row r="1430" spans="2:22" x14ac:dyDescent="0.15">
      <c r="B1430" s="1" t="str">
        <f>"150****9608"</f>
        <v>150****9608</v>
      </c>
      <c r="C1430" s="1" t="s">
        <v>23</v>
      </c>
      <c r="D1430" s="1" t="str">
        <f t="shared" si="148"/>
        <v>89177328</v>
      </c>
      <c r="E1430" s="1" t="s">
        <v>24</v>
      </c>
      <c r="F1430" s="1" t="str">
        <f t="shared" si="150"/>
        <v>0010</v>
      </c>
      <c r="G1430" s="1" t="str">
        <f>""</f>
        <v/>
      </c>
      <c r="H1430" s="1" t="str">
        <f>"0012"</f>
        <v>0012</v>
      </c>
      <c r="I1430" s="1" t="s">
        <v>612</v>
      </c>
      <c r="J1430" s="1" t="str">
        <f>"01043989720"</f>
        <v>01043989720</v>
      </c>
      <c r="K1430" s="1" t="str">
        <f>"2017-03-31 18:45:15"</f>
        <v>2017-03-31 18:45:15</v>
      </c>
      <c r="L1430" s="1" t="str">
        <f>"2017-03-31 18:45:35"</f>
        <v>2017-03-31 18:45:35</v>
      </c>
      <c r="M1430" s="2">
        <v>2.101851851851852E-2</v>
      </c>
      <c r="N1430" s="1" t="s">
        <v>26</v>
      </c>
      <c r="O1430" s="1" t="s">
        <v>27</v>
      </c>
      <c r="P1430" s="2">
        <v>2.1250000000000002E-2</v>
      </c>
      <c r="Q1430" s="1" t="s">
        <v>1097</v>
      </c>
      <c r="R1430" s="1">
        <v>0</v>
      </c>
      <c r="S1430" s="1" t="str">
        <f>""</f>
        <v/>
      </c>
      <c r="T1430" s="1" t="s">
        <v>29</v>
      </c>
      <c r="U1430" s="1" t="s">
        <v>30</v>
      </c>
      <c r="V1430" s="1">
        <v>0</v>
      </c>
    </row>
    <row r="1431" spans="2:22" x14ac:dyDescent="0.15">
      <c r="B1431" s="1" t="str">
        <f>"186****5288"</f>
        <v>186****5288</v>
      </c>
      <c r="C1431" s="1" t="s">
        <v>23</v>
      </c>
      <c r="D1431" s="1" t="str">
        <f t="shared" si="148"/>
        <v>89177328</v>
      </c>
      <c r="E1431" s="1" t="s">
        <v>24</v>
      </c>
      <c r="F1431" s="1" t="str">
        <f t="shared" si="150"/>
        <v>0010</v>
      </c>
      <c r="G1431" s="1" t="str">
        <f>""</f>
        <v/>
      </c>
      <c r="H1431" s="1" t="str">
        <f>"0034"</f>
        <v>0034</v>
      </c>
      <c r="I1431" s="1" t="s">
        <v>31</v>
      </c>
      <c r="J1431" s="1" t="str">
        <f>"01043977568"</f>
        <v>01043977568</v>
      </c>
      <c r="K1431" s="1" t="str">
        <f>"2017-03-31 18:34:30"</f>
        <v>2017-03-31 18:34:30</v>
      </c>
      <c r="L1431" s="1" t="str">
        <f>"2017-03-31 18:34:45"</f>
        <v>2017-03-31 18:34:45</v>
      </c>
      <c r="M1431" s="2">
        <v>2.8749999999999998E-2</v>
      </c>
      <c r="N1431" s="1" t="s">
        <v>26</v>
      </c>
      <c r="O1431" s="1" t="s">
        <v>27</v>
      </c>
      <c r="P1431" s="2">
        <v>2.8923611111111108E-2</v>
      </c>
      <c r="Q1431" s="1" t="s">
        <v>1098</v>
      </c>
      <c r="R1431" s="1">
        <v>0</v>
      </c>
      <c r="S1431" s="1" t="str">
        <f>""</f>
        <v/>
      </c>
      <c r="T1431" s="1" t="s">
        <v>29</v>
      </c>
      <c r="U1431" s="1" t="s">
        <v>30</v>
      </c>
      <c r="V1431" s="1">
        <v>0</v>
      </c>
    </row>
    <row r="1432" spans="2:22" x14ac:dyDescent="0.15">
      <c r="B1432" s="1" t="str">
        <f>"135****9715"</f>
        <v>135****9715</v>
      </c>
      <c r="C1432" s="1" t="s">
        <v>23</v>
      </c>
      <c r="D1432" s="1" t="str">
        <f t="shared" si="148"/>
        <v>89177328</v>
      </c>
      <c r="E1432" s="1" t="s">
        <v>24</v>
      </c>
      <c r="F1432" s="1" t="str">
        <f t="shared" si="150"/>
        <v>0010</v>
      </c>
      <c r="G1432" s="1" t="str">
        <f>""</f>
        <v/>
      </c>
      <c r="H1432" s="1" t="str">
        <f>"0033"</f>
        <v>0033</v>
      </c>
      <c r="I1432" s="1" t="s">
        <v>106</v>
      </c>
      <c r="J1432" s="1" t="str">
        <f>"01043977567"</f>
        <v>01043977567</v>
      </c>
      <c r="K1432" s="1" t="str">
        <f>"2017-03-31 18:22:27"</f>
        <v>2017-03-31 18:22:27</v>
      </c>
      <c r="L1432" s="1" t="str">
        <f>"2017-03-31 18:22:36"</f>
        <v>2017-03-31 18:22:36</v>
      </c>
      <c r="M1432" s="2">
        <v>3.3912037037037036E-3</v>
      </c>
      <c r="N1432" s="1" t="s">
        <v>26</v>
      </c>
      <c r="O1432" s="1" t="s">
        <v>27</v>
      </c>
      <c r="P1432" s="2">
        <v>3.4953703703703705E-3</v>
      </c>
      <c r="Q1432" s="1" t="s">
        <v>1099</v>
      </c>
      <c r="R1432" s="1">
        <v>0</v>
      </c>
      <c r="S1432" s="1" t="str">
        <f>""</f>
        <v/>
      </c>
      <c r="T1432" s="1" t="s">
        <v>29</v>
      </c>
      <c r="U1432" s="1" t="s">
        <v>30</v>
      </c>
      <c r="V1432" s="1">
        <v>0</v>
      </c>
    </row>
    <row r="1433" spans="2:22" x14ac:dyDescent="0.15">
      <c r="B1433" s="1" t="str">
        <f>"152****3535"</f>
        <v>152****3535</v>
      </c>
      <c r="C1433" s="1" t="s">
        <v>463</v>
      </c>
      <c r="D1433" s="1" t="str">
        <f>"4000108333"</f>
        <v>4000108333</v>
      </c>
      <c r="E1433" s="1" t="s">
        <v>53</v>
      </c>
      <c r="F1433" s="1" t="str">
        <f>"0000"</f>
        <v>0000</v>
      </c>
      <c r="G1433" s="1" t="str">
        <f>""</f>
        <v/>
      </c>
      <c r="H1433" s="1" t="str">
        <f>"1010"</f>
        <v>1010</v>
      </c>
      <c r="I1433" s="1" t="s">
        <v>148</v>
      </c>
      <c r="J1433" s="1" t="str">
        <f>"13718091869"</f>
        <v>13718091869</v>
      </c>
      <c r="K1433" s="1" t="str">
        <f>"2017-03-31 17:45:39"</f>
        <v>2017-03-31 17:45:39</v>
      </c>
      <c r="L1433" s="1" t="str">
        <f>"2017-03-31 17:46:12"</f>
        <v>2017-03-31 17:46:12</v>
      </c>
      <c r="M1433" s="2">
        <v>1.9016203703703705E-2</v>
      </c>
      <c r="N1433" s="1" t="s">
        <v>26</v>
      </c>
      <c r="O1433" s="1" t="s">
        <v>27</v>
      </c>
      <c r="P1433" s="2">
        <v>1.9398148148148147E-2</v>
      </c>
      <c r="Q1433" s="1" t="s">
        <v>1100</v>
      </c>
      <c r="R1433" s="1">
        <v>3.36</v>
      </c>
      <c r="S1433" s="1" t="str">
        <f>""</f>
        <v/>
      </c>
      <c r="T1433" s="1" t="s">
        <v>29</v>
      </c>
      <c r="U1433" s="1" t="s">
        <v>30</v>
      </c>
      <c r="V1433" s="1">
        <v>0</v>
      </c>
    </row>
    <row r="1434" spans="2:22" x14ac:dyDescent="0.15">
      <c r="B1434" s="1" t="str">
        <f>"134****6759"</f>
        <v>134****6759</v>
      </c>
      <c r="C1434" s="1" t="s">
        <v>23</v>
      </c>
      <c r="D1434" s="1" t="str">
        <f t="shared" ref="D1434:D1441" si="151">"89177328"</f>
        <v>89177328</v>
      </c>
      <c r="E1434" s="1" t="s">
        <v>24</v>
      </c>
      <c r="F1434" s="1" t="str">
        <f t="shared" ref="F1434:F1441" si="152">"0010"</f>
        <v>0010</v>
      </c>
      <c r="G1434" s="1" t="str">
        <f>""</f>
        <v/>
      </c>
      <c r="H1434" s="1" t="str">
        <f>""</f>
        <v/>
      </c>
      <c r="I1434" s="1" t="str">
        <f>""</f>
        <v/>
      </c>
      <c r="J1434" s="1" t="str">
        <f>""</f>
        <v/>
      </c>
      <c r="K1434" s="1" t="str">
        <f>"2017-03-31 17:43:37"</f>
        <v>2017-03-31 17:43:37</v>
      </c>
      <c r="L1434" s="1" t="str">
        <f>"-"</f>
        <v>-</v>
      </c>
      <c r="M1434" s="2">
        <v>0</v>
      </c>
      <c r="N1434" s="1" t="s">
        <v>55</v>
      </c>
      <c r="O1434" s="1" t="s">
        <v>34</v>
      </c>
      <c r="P1434" s="2">
        <v>5.3240740740740744E-4</v>
      </c>
      <c r="Q1434" s="1" t="str">
        <f>""</f>
        <v/>
      </c>
      <c r="R1434" s="1">
        <v>0</v>
      </c>
      <c r="S1434" s="1" t="str">
        <f>""</f>
        <v/>
      </c>
      <c r="T1434" s="1" t="s">
        <v>29</v>
      </c>
      <c r="U1434" s="1" t="s">
        <v>30</v>
      </c>
      <c r="V1434" s="1">
        <v>0</v>
      </c>
    </row>
    <row r="1435" spans="2:22" x14ac:dyDescent="0.15">
      <c r="B1435" s="1" t="str">
        <f>"010****1028"</f>
        <v>010****1028</v>
      </c>
      <c r="C1435" s="1" t="s">
        <v>23</v>
      </c>
      <c r="D1435" s="1" t="str">
        <f t="shared" si="151"/>
        <v>89177328</v>
      </c>
      <c r="E1435" s="1" t="s">
        <v>24</v>
      </c>
      <c r="F1435" s="1" t="str">
        <f t="shared" si="152"/>
        <v>0010</v>
      </c>
      <c r="G1435" s="1" t="str">
        <f>""</f>
        <v/>
      </c>
      <c r="H1435" s="1" t="str">
        <f>"0034"</f>
        <v>0034</v>
      </c>
      <c r="I1435" s="1" t="s">
        <v>31</v>
      </c>
      <c r="J1435" s="1" t="str">
        <f>"01043977568"</f>
        <v>01043977568</v>
      </c>
      <c r="K1435" s="1" t="str">
        <f>"2017-03-31 17:42:56"</f>
        <v>2017-03-31 17:42:56</v>
      </c>
      <c r="L1435" s="1" t="str">
        <f>"2017-03-31 17:43:04"</f>
        <v>2017-03-31 17:43:04</v>
      </c>
      <c r="M1435" s="2">
        <v>1.4502314814814815E-2</v>
      </c>
      <c r="N1435" s="1" t="s">
        <v>26</v>
      </c>
      <c r="O1435" s="1" t="s">
        <v>27</v>
      </c>
      <c r="P1435" s="2">
        <v>1.4594907407407405E-2</v>
      </c>
      <c r="Q1435" s="1" t="s">
        <v>1101</v>
      </c>
      <c r="R1435" s="1">
        <v>0</v>
      </c>
      <c r="S1435" s="1" t="str">
        <f>""</f>
        <v/>
      </c>
      <c r="T1435" s="1" t="s">
        <v>29</v>
      </c>
      <c r="U1435" s="1" t="s">
        <v>30</v>
      </c>
      <c r="V1435" s="1">
        <v>0</v>
      </c>
    </row>
    <row r="1436" spans="2:22" x14ac:dyDescent="0.15">
      <c r="B1436" s="1" t="str">
        <f>"138****9653"</f>
        <v>138****9653</v>
      </c>
      <c r="C1436" s="1" t="s">
        <v>23</v>
      </c>
      <c r="D1436" s="1" t="str">
        <f t="shared" si="151"/>
        <v>89177328</v>
      </c>
      <c r="E1436" s="1" t="s">
        <v>24</v>
      </c>
      <c r="F1436" s="1" t="str">
        <f t="shared" si="152"/>
        <v>0010</v>
      </c>
      <c r="G1436" s="1" t="str">
        <f>""</f>
        <v/>
      </c>
      <c r="H1436" s="1" t="str">
        <f>"0035"</f>
        <v>0035</v>
      </c>
      <c r="I1436" s="1" t="s">
        <v>25</v>
      </c>
      <c r="J1436" s="1" t="str">
        <f>"01043977569"</f>
        <v>01043977569</v>
      </c>
      <c r="K1436" s="1" t="str">
        <f>"2017-03-31 17:41:11"</f>
        <v>2017-03-31 17:41:11</v>
      </c>
      <c r="L1436" s="1" t="str">
        <f>"2017-03-31 17:41:16"</f>
        <v>2017-03-31 17:41:16</v>
      </c>
      <c r="M1436" s="2">
        <v>2.164351851851852E-2</v>
      </c>
      <c r="N1436" s="1" t="s">
        <v>26</v>
      </c>
      <c r="O1436" s="1" t="s">
        <v>34</v>
      </c>
      <c r="P1436" s="2">
        <v>2.1701388888888892E-2</v>
      </c>
      <c r="Q1436" s="1" t="s">
        <v>1102</v>
      </c>
      <c r="R1436" s="1">
        <v>0</v>
      </c>
      <c r="S1436" s="1" t="str">
        <f>""</f>
        <v/>
      </c>
      <c r="T1436" s="1" t="s">
        <v>29</v>
      </c>
      <c r="U1436" s="1" t="s">
        <v>30</v>
      </c>
      <c r="V1436" s="1">
        <v>0</v>
      </c>
    </row>
    <row r="1437" spans="2:22" x14ac:dyDescent="0.15">
      <c r="B1437" s="1" t="str">
        <f>"010****2584"</f>
        <v>010****2584</v>
      </c>
      <c r="C1437" s="1" t="s">
        <v>23</v>
      </c>
      <c r="D1437" s="1" t="str">
        <f t="shared" si="151"/>
        <v>89177328</v>
      </c>
      <c r="E1437" s="1" t="s">
        <v>24</v>
      </c>
      <c r="F1437" s="1" t="str">
        <f t="shared" si="152"/>
        <v>0010</v>
      </c>
      <c r="G1437" s="1" t="str">
        <f>""</f>
        <v/>
      </c>
      <c r="H1437" s="1" t="str">
        <f>"0033"</f>
        <v>0033</v>
      </c>
      <c r="I1437" s="1" t="s">
        <v>106</v>
      </c>
      <c r="J1437" s="1" t="str">
        <f>"01043977567"</f>
        <v>01043977567</v>
      </c>
      <c r="K1437" s="1" t="str">
        <f>"2017-03-31 17:41:06"</f>
        <v>2017-03-31 17:41:06</v>
      </c>
      <c r="L1437" s="1" t="str">
        <f>"2017-03-31 17:41:14"</f>
        <v>2017-03-31 17:41:14</v>
      </c>
      <c r="M1437" s="2">
        <v>9.3518518518518525E-3</v>
      </c>
      <c r="N1437" s="1" t="s">
        <v>26</v>
      </c>
      <c r="O1437" s="1" t="s">
        <v>27</v>
      </c>
      <c r="P1437" s="2">
        <v>9.4444444444444445E-3</v>
      </c>
      <c r="Q1437" s="1" t="s">
        <v>1103</v>
      </c>
      <c r="R1437" s="1">
        <v>0</v>
      </c>
      <c r="S1437" s="1" t="str">
        <f>""</f>
        <v/>
      </c>
      <c r="T1437" s="1" t="s">
        <v>29</v>
      </c>
      <c r="U1437" s="1" t="s">
        <v>30</v>
      </c>
      <c r="V1437" s="1">
        <v>0</v>
      </c>
    </row>
    <row r="1438" spans="2:22" x14ac:dyDescent="0.15">
      <c r="B1438" s="1" t="str">
        <f>"176****8627"</f>
        <v>176****8627</v>
      </c>
      <c r="C1438" s="1" t="s">
        <v>1104</v>
      </c>
      <c r="D1438" s="1" t="str">
        <f t="shared" si="151"/>
        <v>89177328</v>
      </c>
      <c r="E1438" s="1" t="s">
        <v>24</v>
      </c>
      <c r="F1438" s="1" t="str">
        <f t="shared" si="152"/>
        <v>0010</v>
      </c>
      <c r="G1438" s="1" t="str">
        <f>""</f>
        <v/>
      </c>
      <c r="H1438" s="1" t="str">
        <f>"0033"</f>
        <v>0033</v>
      </c>
      <c r="I1438" s="1" t="s">
        <v>106</v>
      </c>
      <c r="J1438" s="1" t="str">
        <f>"01043977567"</f>
        <v>01043977567</v>
      </c>
      <c r="K1438" s="1" t="str">
        <f>"2017-03-31 17:36:12"</f>
        <v>2017-03-31 17:36:12</v>
      </c>
      <c r="L1438" s="1" t="str">
        <f>"2017-03-31 17:36:20"</f>
        <v>2017-03-31 17:36:20</v>
      </c>
      <c r="M1438" s="2">
        <v>1.2847222222222223E-3</v>
      </c>
      <c r="N1438" s="1" t="s">
        <v>26</v>
      </c>
      <c r="O1438" s="1" t="s">
        <v>27</v>
      </c>
      <c r="P1438" s="2">
        <v>1.3773148148148147E-3</v>
      </c>
      <c r="Q1438" s="1" t="s">
        <v>1105</v>
      </c>
      <c r="R1438" s="1">
        <v>0</v>
      </c>
      <c r="S1438" s="1" t="str">
        <f>""</f>
        <v/>
      </c>
      <c r="T1438" s="1" t="s">
        <v>29</v>
      </c>
      <c r="U1438" s="1" t="s">
        <v>30</v>
      </c>
      <c r="V1438" s="1">
        <v>0</v>
      </c>
    </row>
    <row r="1439" spans="2:22" x14ac:dyDescent="0.15">
      <c r="B1439" s="1" t="str">
        <f>"158****9400"</f>
        <v>158****9400</v>
      </c>
      <c r="C1439" s="1" t="s">
        <v>23</v>
      </c>
      <c r="D1439" s="1" t="str">
        <f t="shared" si="151"/>
        <v>89177328</v>
      </c>
      <c r="E1439" s="1" t="s">
        <v>24</v>
      </c>
      <c r="F1439" s="1" t="str">
        <f t="shared" si="152"/>
        <v>0010</v>
      </c>
      <c r="G1439" s="1" t="str">
        <f>""</f>
        <v/>
      </c>
      <c r="H1439" s="1" t="str">
        <f>"0032"</f>
        <v>0032</v>
      </c>
      <c r="I1439" s="1" t="s">
        <v>119</v>
      </c>
      <c r="J1439" s="1" t="str">
        <f>"01043977566"</f>
        <v>01043977566</v>
      </c>
      <c r="K1439" s="1" t="str">
        <f>"2017-03-31 17:31:50"</f>
        <v>2017-03-31 17:31:50</v>
      </c>
      <c r="L1439" s="1" t="str">
        <f>"2017-03-31 17:32:04"</f>
        <v>2017-03-31 17:32:04</v>
      </c>
      <c r="M1439" s="2">
        <v>4.8611111111111112E-3</v>
      </c>
      <c r="N1439" s="1" t="s">
        <v>26</v>
      </c>
      <c r="O1439" s="1" t="s">
        <v>34</v>
      </c>
      <c r="P1439" s="2">
        <v>5.0231481481481481E-3</v>
      </c>
      <c r="Q1439" s="1" t="s">
        <v>1106</v>
      </c>
      <c r="R1439" s="1">
        <v>0</v>
      </c>
      <c r="S1439" s="1" t="str">
        <f>""</f>
        <v/>
      </c>
      <c r="T1439" s="1" t="s">
        <v>29</v>
      </c>
      <c r="U1439" s="1" t="s">
        <v>30</v>
      </c>
      <c r="V1439" s="1">
        <v>0</v>
      </c>
    </row>
    <row r="1440" spans="2:22" x14ac:dyDescent="0.15">
      <c r="B1440" s="1" t="str">
        <f>"183****9705"</f>
        <v>183****9705</v>
      </c>
      <c r="C1440" s="1" t="s">
        <v>23</v>
      </c>
      <c r="D1440" s="1" t="str">
        <f t="shared" si="151"/>
        <v>89177328</v>
      </c>
      <c r="E1440" s="1" t="s">
        <v>24</v>
      </c>
      <c r="F1440" s="1" t="str">
        <f t="shared" si="152"/>
        <v>0010</v>
      </c>
      <c r="G1440" s="1" t="str">
        <f>""</f>
        <v/>
      </c>
      <c r="H1440" s="1" t="str">
        <f>"0018"</f>
        <v>0018</v>
      </c>
      <c r="I1440" s="1" t="s">
        <v>36</v>
      </c>
      <c r="J1440" s="1" t="str">
        <f>"01043977572"</f>
        <v>01043977572</v>
      </c>
      <c r="K1440" s="1" t="str">
        <f>"2017-03-31 17:16:08"</f>
        <v>2017-03-31 17:16:08</v>
      </c>
      <c r="L1440" s="1" t="str">
        <f>"2017-03-31 17:16:20"</f>
        <v>2017-03-31 17:16:20</v>
      </c>
      <c r="M1440" s="2">
        <v>7.0486111111111105E-3</v>
      </c>
      <c r="N1440" s="1" t="s">
        <v>26</v>
      </c>
      <c r="O1440" s="1" t="s">
        <v>34</v>
      </c>
      <c r="P1440" s="2">
        <v>7.1874999999999994E-3</v>
      </c>
      <c r="Q1440" s="1" t="s">
        <v>1107</v>
      </c>
      <c r="R1440" s="1">
        <v>0</v>
      </c>
      <c r="S1440" s="1" t="str">
        <f>""</f>
        <v/>
      </c>
      <c r="T1440" s="1" t="s">
        <v>29</v>
      </c>
      <c r="U1440" s="1" t="s">
        <v>30</v>
      </c>
      <c r="V1440" s="1">
        <v>0</v>
      </c>
    </row>
    <row r="1441" spans="2:22" x14ac:dyDescent="0.15">
      <c r="B1441" s="1" t="str">
        <f>"188****7817"</f>
        <v>188****7817</v>
      </c>
      <c r="C1441" s="1" t="s">
        <v>23</v>
      </c>
      <c r="D1441" s="1" t="str">
        <f t="shared" si="151"/>
        <v>89177328</v>
      </c>
      <c r="E1441" s="1" t="s">
        <v>24</v>
      </c>
      <c r="F1441" s="1" t="str">
        <f t="shared" si="152"/>
        <v>0010</v>
      </c>
      <c r="G1441" s="1" t="str">
        <f>""</f>
        <v/>
      </c>
      <c r="H1441" s="1" t="str">
        <f>"0031"</f>
        <v>0031</v>
      </c>
      <c r="I1441" s="1" t="s">
        <v>95</v>
      </c>
      <c r="J1441" s="1" t="str">
        <f>"01043977565"</f>
        <v>01043977565</v>
      </c>
      <c r="K1441" s="1" t="str">
        <f>"2017-03-31 16:34:12"</f>
        <v>2017-03-31 16:34:12</v>
      </c>
      <c r="L1441" s="1" t="str">
        <f>"2017-03-31 16:34:20"</f>
        <v>2017-03-31 16:34:20</v>
      </c>
      <c r="M1441" s="2">
        <v>1.1770833333333333E-2</v>
      </c>
      <c r="N1441" s="1" t="s">
        <v>26</v>
      </c>
      <c r="O1441" s="1" t="s">
        <v>27</v>
      </c>
      <c r="P1441" s="2">
        <v>1.1863425925925925E-2</v>
      </c>
      <c r="Q1441" s="1" t="s">
        <v>1108</v>
      </c>
      <c r="R1441" s="1">
        <v>0</v>
      </c>
      <c r="S1441" s="1" t="str">
        <f>""</f>
        <v/>
      </c>
      <c r="T1441" s="1" t="s">
        <v>29</v>
      </c>
      <c r="U1441" s="1" t="s">
        <v>30</v>
      </c>
      <c r="V1441" s="1">
        <v>0</v>
      </c>
    </row>
    <row r="1442" spans="2:22" x14ac:dyDescent="0.15">
      <c r="B1442" s="1" t="str">
        <f>"022****8470"</f>
        <v>022****8470</v>
      </c>
      <c r="C1442" s="1" t="s">
        <v>35</v>
      </c>
      <c r="D1442" s="1" t="str">
        <f>"4000108333"</f>
        <v>4000108333</v>
      </c>
      <c r="E1442" s="1" t="s">
        <v>53</v>
      </c>
      <c r="F1442" s="1" t="str">
        <f>"0000"</f>
        <v>0000</v>
      </c>
      <c r="G1442" s="1" t="str">
        <f>""</f>
        <v/>
      </c>
      <c r="H1442" s="1" t="str">
        <f>"1010"</f>
        <v>1010</v>
      </c>
      <c r="I1442" s="1" t="s">
        <v>148</v>
      </c>
      <c r="J1442" s="1" t="str">
        <f>"13718091869"</f>
        <v>13718091869</v>
      </c>
      <c r="K1442" s="1" t="str">
        <f>"2017-03-31 16:27:22"</f>
        <v>2017-03-31 16:27:22</v>
      </c>
      <c r="L1442" s="1" t="str">
        <f>"2017-03-31 16:28:00"</f>
        <v>2017-03-31 16:28:00</v>
      </c>
      <c r="M1442" s="2">
        <v>3.965277777777778E-2</v>
      </c>
      <c r="N1442" s="1" t="s">
        <v>26</v>
      </c>
      <c r="O1442" s="1" t="s">
        <v>34</v>
      </c>
      <c r="P1442" s="2">
        <v>4.0092592592592589E-2</v>
      </c>
      <c r="Q1442" s="1" t="s">
        <v>1109</v>
      </c>
      <c r="R1442" s="1">
        <v>6.96</v>
      </c>
      <c r="S1442" s="1" t="str">
        <f>""</f>
        <v/>
      </c>
      <c r="T1442" s="1" t="s">
        <v>29</v>
      </c>
      <c r="U1442" s="1" t="s">
        <v>30</v>
      </c>
      <c r="V1442" s="1">
        <v>0</v>
      </c>
    </row>
    <row r="1443" spans="2:22" x14ac:dyDescent="0.15">
      <c r="B1443" s="1" t="str">
        <f>"010****9881"</f>
        <v>010****9881</v>
      </c>
      <c r="C1443" s="1" t="s">
        <v>23</v>
      </c>
      <c r="D1443" s="1" t="str">
        <f t="shared" ref="D1443:D1476" si="153">"89177328"</f>
        <v>89177328</v>
      </c>
      <c r="E1443" s="1" t="s">
        <v>24</v>
      </c>
      <c r="F1443" s="1" t="str">
        <f t="shared" ref="F1443:F1476" si="154">"0010"</f>
        <v>0010</v>
      </c>
      <c r="G1443" s="1" t="str">
        <f>""</f>
        <v/>
      </c>
      <c r="H1443" s="1" t="str">
        <f>"0012"</f>
        <v>0012</v>
      </c>
      <c r="I1443" s="1" t="s">
        <v>612</v>
      </c>
      <c r="J1443" s="1" t="str">
        <f>"01043989720"</f>
        <v>01043989720</v>
      </c>
      <c r="K1443" s="1" t="str">
        <f>"2017-03-31 16:26:04"</f>
        <v>2017-03-31 16:26:04</v>
      </c>
      <c r="L1443" s="1" t="str">
        <f>"2017-03-31 16:26:18"</f>
        <v>2017-03-31 16:26:18</v>
      </c>
      <c r="M1443" s="2">
        <v>1.4131944444444445E-2</v>
      </c>
      <c r="N1443" s="1" t="s">
        <v>26</v>
      </c>
      <c r="O1443" s="1" t="s">
        <v>27</v>
      </c>
      <c r="P1443" s="2">
        <v>1.4293981481481482E-2</v>
      </c>
      <c r="Q1443" s="1" t="s">
        <v>1110</v>
      </c>
      <c r="R1443" s="1">
        <v>0</v>
      </c>
      <c r="S1443" s="1" t="str">
        <f>""</f>
        <v/>
      </c>
      <c r="T1443" s="1" t="s">
        <v>29</v>
      </c>
      <c r="U1443" s="1" t="s">
        <v>30</v>
      </c>
      <c r="V1443" s="1">
        <v>0</v>
      </c>
    </row>
    <row r="1444" spans="2:22" x14ac:dyDescent="0.15">
      <c r="B1444" s="1" t="str">
        <f>"133****9597"</f>
        <v>133****9597</v>
      </c>
      <c r="C1444" s="1" t="s">
        <v>23</v>
      </c>
      <c r="D1444" s="1" t="str">
        <f t="shared" si="153"/>
        <v>89177328</v>
      </c>
      <c r="E1444" s="1" t="s">
        <v>24</v>
      </c>
      <c r="F1444" s="1" t="str">
        <f t="shared" si="154"/>
        <v>0010</v>
      </c>
      <c r="G1444" s="1" t="str">
        <f>""</f>
        <v/>
      </c>
      <c r="H1444" s="1" t="str">
        <f>"0032"</f>
        <v>0032</v>
      </c>
      <c r="I1444" s="1" t="s">
        <v>119</v>
      </c>
      <c r="J1444" s="1" t="str">
        <f>"01043977566"</f>
        <v>01043977566</v>
      </c>
      <c r="K1444" s="1" t="str">
        <f>"2017-03-31 16:15:22"</f>
        <v>2017-03-31 16:15:22</v>
      </c>
      <c r="L1444" s="1" t="str">
        <f>"-"</f>
        <v>-</v>
      </c>
      <c r="M1444" s="2">
        <v>0</v>
      </c>
      <c r="N1444" s="1" t="s">
        <v>33</v>
      </c>
      <c r="O1444" s="1" t="s">
        <v>34</v>
      </c>
      <c r="P1444" s="2">
        <v>5.7870370370370366E-5</v>
      </c>
      <c r="Q1444" s="1" t="str">
        <f>""</f>
        <v/>
      </c>
      <c r="R1444" s="1">
        <v>0</v>
      </c>
      <c r="S1444" s="1" t="str">
        <f>""</f>
        <v/>
      </c>
      <c r="T1444" s="1" t="s">
        <v>29</v>
      </c>
      <c r="U1444" s="1" t="s">
        <v>30</v>
      </c>
      <c r="V1444" s="1">
        <v>0</v>
      </c>
    </row>
    <row r="1445" spans="2:22" x14ac:dyDescent="0.15">
      <c r="B1445" s="1" t="str">
        <f>"153****9310"</f>
        <v>153****9310</v>
      </c>
      <c r="C1445" s="1" t="s">
        <v>23</v>
      </c>
      <c r="D1445" s="1" t="str">
        <f t="shared" si="153"/>
        <v>89177328</v>
      </c>
      <c r="E1445" s="1" t="s">
        <v>24</v>
      </c>
      <c r="F1445" s="1" t="str">
        <f t="shared" si="154"/>
        <v>0010</v>
      </c>
      <c r="G1445" s="1" t="str">
        <f>""</f>
        <v/>
      </c>
      <c r="H1445" s="1" t="str">
        <f>"0012"</f>
        <v>0012</v>
      </c>
      <c r="I1445" s="1" t="s">
        <v>612</v>
      </c>
      <c r="J1445" s="1" t="str">
        <f>"01043989720"</f>
        <v>01043989720</v>
      </c>
      <c r="K1445" s="1" t="str">
        <f>"2017-03-31 16:13:43"</f>
        <v>2017-03-31 16:13:43</v>
      </c>
      <c r="L1445" s="1" t="str">
        <f>"2017-03-31 16:13:55"</f>
        <v>2017-03-31 16:13:55</v>
      </c>
      <c r="M1445" s="2">
        <v>4.0162037037037033E-3</v>
      </c>
      <c r="N1445" s="1" t="s">
        <v>26</v>
      </c>
      <c r="O1445" s="1" t="s">
        <v>34</v>
      </c>
      <c r="P1445" s="2">
        <v>4.155092592592593E-3</v>
      </c>
      <c r="Q1445" s="1" t="s">
        <v>1111</v>
      </c>
      <c r="R1445" s="1">
        <v>0</v>
      </c>
      <c r="S1445" s="1" t="str">
        <f>""</f>
        <v/>
      </c>
      <c r="T1445" s="1" t="s">
        <v>29</v>
      </c>
      <c r="U1445" s="1" t="s">
        <v>30</v>
      </c>
      <c r="V1445" s="1">
        <v>0</v>
      </c>
    </row>
    <row r="1446" spans="2:22" x14ac:dyDescent="0.15">
      <c r="B1446" s="1" t="str">
        <f>"133****9597"</f>
        <v>133****9597</v>
      </c>
      <c r="C1446" s="1" t="s">
        <v>23</v>
      </c>
      <c r="D1446" s="1" t="str">
        <f t="shared" si="153"/>
        <v>89177328</v>
      </c>
      <c r="E1446" s="1" t="s">
        <v>24</v>
      </c>
      <c r="F1446" s="1" t="str">
        <f t="shared" si="154"/>
        <v>0010</v>
      </c>
      <c r="G1446" s="1" t="str">
        <f>""</f>
        <v/>
      </c>
      <c r="H1446" s="1" t="str">
        <f>"0012"</f>
        <v>0012</v>
      </c>
      <c r="I1446" s="1" t="s">
        <v>612</v>
      </c>
      <c r="J1446" s="1" t="str">
        <f>"01043989720"</f>
        <v>01043989720</v>
      </c>
      <c r="K1446" s="1" t="str">
        <f>"2017-03-31 16:13:37"</f>
        <v>2017-03-31 16:13:37</v>
      </c>
      <c r="L1446" s="1" t="str">
        <f>"-"</f>
        <v>-</v>
      </c>
      <c r="M1446" s="2">
        <v>0</v>
      </c>
      <c r="N1446" s="1" t="s">
        <v>33</v>
      </c>
      <c r="O1446" s="1" t="s">
        <v>34</v>
      </c>
      <c r="P1446" s="2">
        <v>4.6296296296296294E-5</v>
      </c>
      <c r="Q1446" s="1" t="str">
        <f>""</f>
        <v/>
      </c>
      <c r="R1446" s="1">
        <v>0</v>
      </c>
      <c r="S1446" s="1" t="str">
        <f>""</f>
        <v/>
      </c>
      <c r="T1446" s="1" t="s">
        <v>29</v>
      </c>
      <c r="U1446" s="1" t="s">
        <v>30</v>
      </c>
      <c r="V1446" s="1">
        <v>0</v>
      </c>
    </row>
    <row r="1447" spans="2:22" x14ac:dyDescent="0.15">
      <c r="B1447" s="1" t="str">
        <f>"133****9597"</f>
        <v>133****9597</v>
      </c>
      <c r="C1447" s="1" t="s">
        <v>23</v>
      </c>
      <c r="D1447" s="1" t="str">
        <f t="shared" si="153"/>
        <v>89177328</v>
      </c>
      <c r="E1447" s="1" t="s">
        <v>24</v>
      </c>
      <c r="F1447" s="1" t="str">
        <f t="shared" si="154"/>
        <v>0010</v>
      </c>
      <c r="G1447" s="1" t="str">
        <f>""</f>
        <v/>
      </c>
      <c r="H1447" s="1" t="str">
        <f>"0012"</f>
        <v>0012</v>
      </c>
      <c r="I1447" s="1" t="s">
        <v>612</v>
      </c>
      <c r="J1447" s="1" t="str">
        <f>"01043989720"</f>
        <v>01043989720</v>
      </c>
      <c r="K1447" s="1" t="str">
        <f>"2017-03-31 16:11:29"</f>
        <v>2017-03-31 16:11:29</v>
      </c>
      <c r="L1447" s="1" t="str">
        <f>"-"</f>
        <v>-</v>
      </c>
      <c r="M1447" s="2">
        <v>0</v>
      </c>
      <c r="N1447" s="1" t="s">
        <v>33</v>
      </c>
      <c r="O1447" s="1" t="s">
        <v>34</v>
      </c>
      <c r="P1447" s="2">
        <v>4.6296296296296294E-5</v>
      </c>
      <c r="Q1447" s="1" t="str">
        <f>""</f>
        <v/>
      </c>
      <c r="R1447" s="1">
        <v>0</v>
      </c>
      <c r="S1447" s="1" t="str">
        <f>""</f>
        <v/>
      </c>
      <c r="T1447" s="1" t="s">
        <v>29</v>
      </c>
      <c r="U1447" s="1" t="s">
        <v>30</v>
      </c>
      <c r="V1447" s="1">
        <v>0</v>
      </c>
    </row>
    <row r="1448" spans="2:22" x14ac:dyDescent="0.15">
      <c r="B1448" s="1" t="str">
        <f>"157****4678"</f>
        <v>157****4678</v>
      </c>
      <c r="C1448" s="1" t="s">
        <v>23</v>
      </c>
      <c r="D1448" s="1" t="str">
        <f t="shared" si="153"/>
        <v>89177328</v>
      </c>
      <c r="E1448" s="1" t="s">
        <v>24</v>
      </c>
      <c r="F1448" s="1" t="str">
        <f t="shared" si="154"/>
        <v>0010</v>
      </c>
      <c r="G1448" s="1" t="str">
        <f>""</f>
        <v/>
      </c>
      <c r="H1448" s="1" t="str">
        <f>"0031"</f>
        <v>0031</v>
      </c>
      <c r="I1448" s="1" t="s">
        <v>95</v>
      </c>
      <c r="J1448" s="1" t="str">
        <f>"01043977565"</f>
        <v>01043977565</v>
      </c>
      <c r="K1448" s="1" t="str">
        <f>"2017-03-31 16:10:23"</f>
        <v>2017-03-31 16:10:23</v>
      </c>
      <c r="L1448" s="1" t="str">
        <f>"-"</f>
        <v>-</v>
      </c>
      <c r="M1448" s="2">
        <v>0</v>
      </c>
      <c r="N1448" s="1" t="s">
        <v>33</v>
      </c>
      <c r="O1448" s="1" t="s">
        <v>34</v>
      </c>
      <c r="P1448" s="2">
        <v>2.3148148148148147E-5</v>
      </c>
      <c r="Q1448" s="1" t="str">
        <f>""</f>
        <v/>
      </c>
      <c r="R1448" s="1">
        <v>0</v>
      </c>
      <c r="S1448" s="1" t="str">
        <f>""</f>
        <v/>
      </c>
      <c r="T1448" s="1" t="s">
        <v>29</v>
      </c>
      <c r="U1448" s="1" t="s">
        <v>30</v>
      </c>
      <c r="V1448" s="1">
        <v>0</v>
      </c>
    </row>
    <row r="1449" spans="2:22" x14ac:dyDescent="0.15">
      <c r="B1449" s="1" t="str">
        <f>"157****4678"</f>
        <v>157****4678</v>
      </c>
      <c r="C1449" s="1" t="s">
        <v>23</v>
      </c>
      <c r="D1449" s="1" t="str">
        <f t="shared" si="153"/>
        <v>89177328</v>
      </c>
      <c r="E1449" s="1" t="s">
        <v>24</v>
      </c>
      <c r="F1449" s="1" t="str">
        <f t="shared" si="154"/>
        <v>0010</v>
      </c>
      <c r="G1449" s="1" t="str">
        <f>""</f>
        <v/>
      </c>
      <c r="H1449" s="1" t="str">
        <f>"0031"</f>
        <v>0031</v>
      </c>
      <c r="I1449" s="1" t="s">
        <v>95</v>
      </c>
      <c r="J1449" s="1" t="str">
        <f>"01043977565"</f>
        <v>01043977565</v>
      </c>
      <c r="K1449" s="1" t="str">
        <f>"2017-03-31 16:08:35"</f>
        <v>2017-03-31 16:08:35</v>
      </c>
      <c r="L1449" s="1" t="str">
        <f>"-"</f>
        <v>-</v>
      </c>
      <c r="M1449" s="2">
        <v>0</v>
      </c>
      <c r="N1449" s="1" t="s">
        <v>33</v>
      </c>
      <c r="O1449" s="1" t="s">
        <v>34</v>
      </c>
      <c r="P1449" s="2">
        <v>4.6296296296296294E-5</v>
      </c>
      <c r="Q1449" s="1" t="str">
        <f>""</f>
        <v/>
      </c>
      <c r="R1449" s="1">
        <v>0</v>
      </c>
      <c r="S1449" s="1" t="str">
        <f>""</f>
        <v/>
      </c>
      <c r="T1449" s="1" t="s">
        <v>29</v>
      </c>
      <c r="U1449" s="1" t="s">
        <v>30</v>
      </c>
      <c r="V1449" s="1">
        <v>0</v>
      </c>
    </row>
    <row r="1450" spans="2:22" x14ac:dyDescent="0.15">
      <c r="B1450" s="1" t="str">
        <f>"176****5270"</f>
        <v>176****5270</v>
      </c>
      <c r="C1450" s="1" t="s">
        <v>23</v>
      </c>
      <c r="D1450" s="1" t="str">
        <f t="shared" si="153"/>
        <v>89177328</v>
      </c>
      <c r="E1450" s="1" t="s">
        <v>24</v>
      </c>
      <c r="F1450" s="1" t="str">
        <f t="shared" si="154"/>
        <v>0010</v>
      </c>
      <c r="G1450" s="1" t="str">
        <f>""</f>
        <v/>
      </c>
      <c r="H1450" s="1" t="str">
        <f>"0017"</f>
        <v>0017</v>
      </c>
      <c r="I1450" s="1" t="s">
        <v>135</v>
      </c>
      <c r="J1450" s="1" t="str">
        <f>"01043989717"</f>
        <v>01043989717</v>
      </c>
      <c r="K1450" s="1" t="str">
        <f>"2017-03-31 15:58:36"</f>
        <v>2017-03-31 15:58:36</v>
      </c>
      <c r="L1450" s="1" t="str">
        <f>"2017-03-31 15:58:41"</f>
        <v>2017-03-31 15:58:41</v>
      </c>
      <c r="M1450" s="2">
        <v>3.4722222222222222E-5</v>
      </c>
      <c r="N1450" s="1" t="s">
        <v>26</v>
      </c>
      <c r="O1450" s="1" t="s">
        <v>34</v>
      </c>
      <c r="P1450" s="2">
        <v>9.2592592592592588E-5</v>
      </c>
      <c r="Q1450" s="1" t="str">
        <f>""</f>
        <v/>
      </c>
      <c r="R1450" s="1">
        <v>0</v>
      </c>
      <c r="S1450" s="1" t="str">
        <f>""</f>
        <v/>
      </c>
      <c r="T1450" s="1" t="s">
        <v>29</v>
      </c>
      <c r="U1450" s="1" t="s">
        <v>30</v>
      </c>
      <c r="V1450" s="1">
        <v>0</v>
      </c>
    </row>
    <row r="1451" spans="2:22" x14ac:dyDescent="0.15">
      <c r="B1451" s="1" t="str">
        <f>"176****5270"</f>
        <v>176****5270</v>
      </c>
      <c r="C1451" s="1" t="s">
        <v>23</v>
      </c>
      <c r="D1451" s="1" t="str">
        <f t="shared" si="153"/>
        <v>89177328</v>
      </c>
      <c r="E1451" s="1" t="s">
        <v>24</v>
      </c>
      <c r="F1451" s="1" t="str">
        <f t="shared" si="154"/>
        <v>0010</v>
      </c>
      <c r="G1451" s="1" t="str">
        <f>""</f>
        <v/>
      </c>
      <c r="H1451" s="1" t="str">
        <f>"0031"</f>
        <v>0031</v>
      </c>
      <c r="I1451" s="1" t="s">
        <v>95</v>
      </c>
      <c r="J1451" s="1" t="str">
        <f>"01043977565"</f>
        <v>01043977565</v>
      </c>
      <c r="K1451" s="1" t="str">
        <f>"2017-03-31 15:54:31"</f>
        <v>2017-03-31 15:54:31</v>
      </c>
      <c r="L1451" s="1" t="str">
        <f>"-"</f>
        <v>-</v>
      </c>
      <c r="M1451" s="2">
        <v>0</v>
      </c>
      <c r="N1451" s="1" t="s">
        <v>33</v>
      </c>
      <c r="O1451" s="1" t="s">
        <v>34</v>
      </c>
      <c r="P1451" s="2">
        <v>4.6296296296296294E-5</v>
      </c>
      <c r="Q1451" s="1" t="str">
        <f>""</f>
        <v/>
      </c>
      <c r="R1451" s="1">
        <v>0</v>
      </c>
      <c r="S1451" s="1" t="str">
        <f>""</f>
        <v/>
      </c>
      <c r="T1451" s="1" t="s">
        <v>29</v>
      </c>
      <c r="U1451" s="1" t="s">
        <v>30</v>
      </c>
      <c r="V1451" s="1">
        <v>0</v>
      </c>
    </row>
    <row r="1452" spans="2:22" x14ac:dyDescent="0.15">
      <c r="B1452" s="1" t="str">
        <f>"186****6597"</f>
        <v>186****6597</v>
      </c>
      <c r="C1452" s="1" t="s">
        <v>23</v>
      </c>
      <c r="D1452" s="1" t="str">
        <f t="shared" si="153"/>
        <v>89177328</v>
      </c>
      <c r="E1452" s="1" t="s">
        <v>24</v>
      </c>
      <c r="F1452" s="1" t="str">
        <f t="shared" si="154"/>
        <v>0010</v>
      </c>
      <c r="G1452" s="1" t="str">
        <f>""</f>
        <v/>
      </c>
      <c r="H1452" s="1" t="str">
        <f>"0018"</f>
        <v>0018</v>
      </c>
      <c r="I1452" s="1" t="s">
        <v>36</v>
      </c>
      <c r="J1452" s="1" t="str">
        <f>"01043977572"</f>
        <v>01043977572</v>
      </c>
      <c r="K1452" s="1" t="str">
        <f>"2017-03-31 15:53:27"</f>
        <v>2017-03-31 15:53:27</v>
      </c>
      <c r="L1452" s="1" t="str">
        <f>"2017-03-31 15:53:34"</f>
        <v>2017-03-31 15:53:34</v>
      </c>
      <c r="M1452" s="2">
        <v>9.7222222222222224E-3</v>
      </c>
      <c r="N1452" s="1" t="s">
        <v>26</v>
      </c>
      <c r="O1452" s="1" t="s">
        <v>34</v>
      </c>
      <c r="P1452" s="2">
        <v>9.8032407407407408E-3</v>
      </c>
      <c r="Q1452" s="1" t="s">
        <v>1112</v>
      </c>
      <c r="R1452" s="1">
        <v>0</v>
      </c>
      <c r="S1452" s="1" t="str">
        <f>""</f>
        <v/>
      </c>
      <c r="T1452" s="1" t="s">
        <v>29</v>
      </c>
      <c r="U1452" s="1" t="s">
        <v>30</v>
      </c>
      <c r="V1452" s="1">
        <v>0</v>
      </c>
    </row>
    <row r="1453" spans="2:22" x14ac:dyDescent="0.15">
      <c r="B1453" s="1" t="str">
        <f>"010****8400"</f>
        <v>010****8400</v>
      </c>
      <c r="C1453" s="1" t="s">
        <v>23</v>
      </c>
      <c r="D1453" s="1" t="str">
        <f t="shared" si="153"/>
        <v>89177328</v>
      </c>
      <c r="E1453" s="1" t="s">
        <v>24</v>
      </c>
      <c r="F1453" s="1" t="str">
        <f t="shared" si="154"/>
        <v>0010</v>
      </c>
      <c r="G1453" s="1" t="str">
        <f>""</f>
        <v/>
      </c>
      <c r="H1453" s="1" t="str">
        <f>"0010"</f>
        <v>0010</v>
      </c>
      <c r="I1453" s="1" t="s">
        <v>71</v>
      </c>
      <c r="J1453" s="1" t="str">
        <f>"01043977571"</f>
        <v>01043977571</v>
      </c>
      <c r="K1453" s="1" t="str">
        <f>"2017-03-31 15:49:35"</f>
        <v>2017-03-31 15:49:35</v>
      </c>
      <c r="L1453" s="1" t="str">
        <f>"2017-03-31 15:49:45"</f>
        <v>2017-03-31 15:49:45</v>
      </c>
      <c r="M1453" s="2">
        <v>5.3240740740740748E-3</v>
      </c>
      <c r="N1453" s="1" t="s">
        <v>26</v>
      </c>
      <c r="O1453" s="1" t="s">
        <v>34</v>
      </c>
      <c r="P1453" s="2">
        <v>5.4398148148148149E-3</v>
      </c>
      <c r="Q1453" s="1" t="s">
        <v>1113</v>
      </c>
      <c r="R1453" s="1">
        <v>0</v>
      </c>
      <c r="S1453" s="1" t="str">
        <f>""</f>
        <v/>
      </c>
      <c r="T1453" s="1" t="s">
        <v>29</v>
      </c>
      <c r="U1453" s="1" t="s">
        <v>30</v>
      </c>
      <c r="V1453" s="1">
        <v>0</v>
      </c>
    </row>
    <row r="1454" spans="2:22" x14ac:dyDescent="0.15">
      <c r="B1454" s="1" t="str">
        <f>"138****1706"</f>
        <v>138****1706</v>
      </c>
      <c r="C1454" s="1" t="s">
        <v>81</v>
      </c>
      <c r="D1454" s="1" t="str">
        <f t="shared" si="153"/>
        <v>89177328</v>
      </c>
      <c r="E1454" s="1" t="s">
        <v>24</v>
      </c>
      <c r="F1454" s="1" t="str">
        <f t="shared" si="154"/>
        <v>0010</v>
      </c>
      <c r="G1454" s="1" t="str">
        <f>""</f>
        <v/>
      </c>
      <c r="H1454" s="1" t="str">
        <f>"0031"</f>
        <v>0031</v>
      </c>
      <c r="I1454" s="1" t="s">
        <v>95</v>
      </c>
      <c r="J1454" s="1" t="str">
        <f>"01043977565"</f>
        <v>01043977565</v>
      </c>
      <c r="K1454" s="1" t="str">
        <f>"2017-03-31 15:47:51"</f>
        <v>2017-03-31 15:47:51</v>
      </c>
      <c r="L1454" s="1" t="str">
        <f>"2017-03-31 15:47:59"</f>
        <v>2017-03-31 15:47:59</v>
      </c>
      <c r="M1454" s="2">
        <v>4.155092592592593E-3</v>
      </c>
      <c r="N1454" s="1" t="s">
        <v>26</v>
      </c>
      <c r="O1454" s="1" t="s">
        <v>27</v>
      </c>
      <c r="P1454" s="2">
        <v>4.2476851851851851E-3</v>
      </c>
      <c r="Q1454" s="1" t="s">
        <v>1114</v>
      </c>
      <c r="R1454" s="1">
        <v>0</v>
      </c>
      <c r="S1454" s="1" t="str">
        <f>""</f>
        <v/>
      </c>
      <c r="T1454" s="1" t="s">
        <v>29</v>
      </c>
      <c r="U1454" s="1" t="s">
        <v>30</v>
      </c>
      <c r="V1454" s="1">
        <v>0</v>
      </c>
    </row>
    <row r="1455" spans="2:22" x14ac:dyDescent="0.15">
      <c r="B1455" s="1" t="str">
        <f>"185****0232"</f>
        <v>185****0232</v>
      </c>
      <c r="C1455" s="1" t="s">
        <v>23</v>
      </c>
      <c r="D1455" s="1" t="str">
        <f t="shared" si="153"/>
        <v>89177328</v>
      </c>
      <c r="E1455" s="1" t="s">
        <v>24</v>
      </c>
      <c r="F1455" s="1" t="str">
        <f t="shared" si="154"/>
        <v>0010</v>
      </c>
      <c r="G1455" s="1" t="str">
        <f>""</f>
        <v/>
      </c>
      <c r="H1455" s="1" t="str">
        <f>"0017"</f>
        <v>0017</v>
      </c>
      <c r="I1455" s="1" t="s">
        <v>135</v>
      </c>
      <c r="J1455" s="1" t="str">
        <f>"01043989717"</f>
        <v>01043989717</v>
      </c>
      <c r="K1455" s="1" t="str">
        <f>"2017-03-31 15:35:39"</f>
        <v>2017-03-31 15:35:39</v>
      </c>
      <c r="L1455" s="1" t="str">
        <f>"2017-03-31 15:35:43"</f>
        <v>2017-03-31 15:35:43</v>
      </c>
      <c r="M1455" s="2">
        <v>4.9189814814814816E-3</v>
      </c>
      <c r="N1455" s="1" t="s">
        <v>26</v>
      </c>
      <c r="O1455" s="1" t="s">
        <v>27</v>
      </c>
      <c r="P1455" s="2">
        <v>4.9652777777777777E-3</v>
      </c>
      <c r="Q1455" s="1" t="s">
        <v>1115</v>
      </c>
      <c r="R1455" s="1">
        <v>0</v>
      </c>
      <c r="S1455" s="1" t="str">
        <f>""</f>
        <v/>
      </c>
      <c r="T1455" s="1" t="s">
        <v>29</v>
      </c>
      <c r="U1455" s="1" t="s">
        <v>30</v>
      </c>
      <c r="V1455" s="1">
        <v>0</v>
      </c>
    </row>
    <row r="1456" spans="2:22" x14ac:dyDescent="0.15">
      <c r="B1456" s="1" t="str">
        <f>"187****8895"</f>
        <v>187****8895</v>
      </c>
      <c r="C1456" s="1" t="s">
        <v>23</v>
      </c>
      <c r="D1456" s="1" t="str">
        <f t="shared" si="153"/>
        <v>89177328</v>
      </c>
      <c r="E1456" s="1" t="s">
        <v>24</v>
      </c>
      <c r="F1456" s="1" t="str">
        <f t="shared" si="154"/>
        <v>0010</v>
      </c>
      <c r="G1456" s="1" t="str">
        <f>""</f>
        <v/>
      </c>
      <c r="H1456" s="1" t="str">
        <f>"0017"</f>
        <v>0017</v>
      </c>
      <c r="I1456" s="1" t="s">
        <v>135</v>
      </c>
      <c r="J1456" s="1" t="str">
        <f>"01043989717"</f>
        <v>01043989717</v>
      </c>
      <c r="K1456" s="1" t="str">
        <f>"2017-03-31 15:35:21"</f>
        <v>2017-03-31 15:35:21</v>
      </c>
      <c r="L1456" s="1" t="str">
        <f>"-"</f>
        <v>-</v>
      </c>
      <c r="M1456" s="2">
        <v>0</v>
      </c>
      <c r="N1456" s="1" t="s">
        <v>33</v>
      </c>
      <c r="O1456" s="1" t="s">
        <v>34</v>
      </c>
      <c r="P1456" s="2">
        <v>8.1018518518518516E-5</v>
      </c>
      <c r="Q1456" s="1" t="str">
        <f>""</f>
        <v/>
      </c>
      <c r="R1456" s="1">
        <v>0</v>
      </c>
      <c r="S1456" s="1" t="str">
        <f>""</f>
        <v/>
      </c>
      <c r="T1456" s="1" t="s">
        <v>29</v>
      </c>
      <c r="U1456" s="1" t="s">
        <v>30</v>
      </c>
      <c r="V1456" s="1">
        <v>0</v>
      </c>
    </row>
    <row r="1457" spans="2:22" x14ac:dyDescent="0.15">
      <c r="B1457" s="1" t="str">
        <f>"187****8895"</f>
        <v>187****8895</v>
      </c>
      <c r="C1457" s="1" t="s">
        <v>23</v>
      </c>
      <c r="D1457" s="1" t="str">
        <f t="shared" si="153"/>
        <v>89177328</v>
      </c>
      <c r="E1457" s="1" t="s">
        <v>24</v>
      </c>
      <c r="F1457" s="1" t="str">
        <f t="shared" si="154"/>
        <v>0010</v>
      </c>
      <c r="G1457" s="1" t="str">
        <f>""</f>
        <v/>
      </c>
      <c r="H1457" s="1" t="str">
        <f>"0035"</f>
        <v>0035</v>
      </c>
      <c r="I1457" s="1" t="s">
        <v>25</v>
      </c>
      <c r="J1457" s="1" t="str">
        <f>"01043977569"</f>
        <v>01043977569</v>
      </c>
      <c r="K1457" s="1" t="str">
        <f>"2017-03-31 15:30:17"</f>
        <v>2017-03-31 15:30:17</v>
      </c>
      <c r="L1457" s="1" t="str">
        <f>"-"</f>
        <v>-</v>
      </c>
      <c r="M1457" s="2">
        <v>0</v>
      </c>
      <c r="N1457" s="1" t="s">
        <v>33</v>
      </c>
      <c r="O1457" s="1" t="s">
        <v>34</v>
      </c>
      <c r="P1457" s="2">
        <v>5.7870370370370366E-5</v>
      </c>
      <c r="Q1457" s="1" t="str">
        <f>""</f>
        <v/>
      </c>
      <c r="R1457" s="1">
        <v>0</v>
      </c>
      <c r="S1457" s="1" t="str">
        <f>""</f>
        <v/>
      </c>
      <c r="T1457" s="1" t="s">
        <v>29</v>
      </c>
      <c r="U1457" s="1" t="s">
        <v>30</v>
      </c>
      <c r="V1457" s="1">
        <v>0</v>
      </c>
    </row>
    <row r="1458" spans="2:22" x14ac:dyDescent="0.15">
      <c r="B1458" s="1" t="str">
        <f>"186****7783"</f>
        <v>186****7783</v>
      </c>
      <c r="C1458" s="1" t="s">
        <v>23</v>
      </c>
      <c r="D1458" s="1" t="str">
        <f t="shared" si="153"/>
        <v>89177328</v>
      </c>
      <c r="E1458" s="1" t="s">
        <v>24</v>
      </c>
      <c r="F1458" s="1" t="str">
        <f t="shared" si="154"/>
        <v>0010</v>
      </c>
      <c r="G1458" s="1" t="str">
        <f>""</f>
        <v/>
      </c>
      <c r="H1458" s="1" t="str">
        <f>"0033"</f>
        <v>0033</v>
      </c>
      <c r="I1458" s="1" t="s">
        <v>106</v>
      </c>
      <c r="J1458" s="1" t="str">
        <f>"01043977567"</f>
        <v>01043977567</v>
      </c>
      <c r="K1458" s="1" t="str">
        <f>"2017-03-31 15:29:49"</f>
        <v>2017-03-31 15:29:49</v>
      </c>
      <c r="L1458" s="1" t="str">
        <f>"2017-03-31 15:29:59"</f>
        <v>2017-03-31 15:29:59</v>
      </c>
      <c r="M1458" s="2">
        <v>1.9814814814814816E-2</v>
      </c>
      <c r="N1458" s="1" t="s">
        <v>26</v>
      </c>
      <c r="O1458" s="1" t="s">
        <v>27</v>
      </c>
      <c r="P1458" s="2">
        <v>1.9930555555555556E-2</v>
      </c>
      <c r="Q1458" s="1" t="s">
        <v>1116</v>
      </c>
      <c r="R1458" s="1">
        <v>0</v>
      </c>
      <c r="S1458" s="1" t="str">
        <f>""</f>
        <v/>
      </c>
      <c r="T1458" s="1" t="s">
        <v>29</v>
      </c>
      <c r="U1458" s="1" t="s">
        <v>30</v>
      </c>
      <c r="V1458" s="1">
        <v>0</v>
      </c>
    </row>
    <row r="1459" spans="2:22" x14ac:dyDescent="0.15">
      <c r="B1459" s="1" t="str">
        <f>"187****8895"</f>
        <v>187****8895</v>
      </c>
      <c r="C1459" s="1" t="s">
        <v>23</v>
      </c>
      <c r="D1459" s="1" t="str">
        <f t="shared" si="153"/>
        <v>89177328</v>
      </c>
      <c r="E1459" s="1" t="s">
        <v>24</v>
      </c>
      <c r="F1459" s="1" t="str">
        <f t="shared" si="154"/>
        <v>0010</v>
      </c>
      <c r="G1459" s="1" t="str">
        <f>""</f>
        <v/>
      </c>
      <c r="H1459" s="1" t="str">
        <f>"0017"</f>
        <v>0017</v>
      </c>
      <c r="I1459" s="1" t="s">
        <v>135</v>
      </c>
      <c r="J1459" s="1" t="str">
        <f>"01043989717"</f>
        <v>01043989717</v>
      </c>
      <c r="K1459" s="1" t="str">
        <f>"2017-03-31 15:22:25"</f>
        <v>2017-03-31 15:22:25</v>
      </c>
      <c r="L1459" s="1" t="str">
        <f>"-"</f>
        <v>-</v>
      </c>
      <c r="M1459" s="2">
        <v>0</v>
      </c>
      <c r="N1459" s="1" t="s">
        <v>33</v>
      </c>
      <c r="O1459" s="1" t="s">
        <v>34</v>
      </c>
      <c r="P1459" s="2">
        <v>6.9444444444444444E-5</v>
      </c>
      <c r="Q1459" s="1" t="str">
        <f>""</f>
        <v/>
      </c>
      <c r="R1459" s="1">
        <v>0</v>
      </c>
      <c r="S1459" s="1" t="str">
        <f>""</f>
        <v/>
      </c>
      <c r="T1459" s="1" t="s">
        <v>29</v>
      </c>
      <c r="U1459" s="1" t="s">
        <v>30</v>
      </c>
      <c r="V1459" s="1">
        <v>0</v>
      </c>
    </row>
    <row r="1460" spans="2:22" x14ac:dyDescent="0.15">
      <c r="B1460" s="1" t="str">
        <f>"137****0734"</f>
        <v>137****0734</v>
      </c>
      <c r="C1460" s="1" t="s">
        <v>23</v>
      </c>
      <c r="D1460" s="1" t="str">
        <f t="shared" si="153"/>
        <v>89177328</v>
      </c>
      <c r="E1460" s="1" t="s">
        <v>24</v>
      </c>
      <c r="F1460" s="1" t="str">
        <f t="shared" si="154"/>
        <v>0010</v>
      </c>
      <c r="G1460" s="1" t="str">
        <f>""</f>
        <v/>
      </c>
      <c r="H1460" s="1" t="str">
        <f>"0033"</f>
        <v>0033</v>
      </c>
      <c r="I1460" s="1" t="s">
        <v>106</v>
      </c>
      <c r="J1460" s="1" t="str">
        <f>"01043977567"</f>
        <v>01043977567</v>
      </c>
      <c r="K1460" s="1" t="str">
        <f>"2017-03-31 15:20:40"</f>
        <v>2017-03-31 15:20:40</v>
      </c>
      <c r="L1460" s="1" t="str">
        <f>"2017-03-31 15:20:49"</f>
        <v>2017-03-31 15:20:49</v>
      </c>
      <c r="M1460" s="2">
        <v>4.5370370370370365E-3</v>
      </c>
      <c r="N1460" s="1" t="s">
        <v>26</v>
      </c>
      <c r="O1460" s="1" t="s">
        <v>27</v>
      </c>
      <c r="P1460" s="2">
        <v>4.6412037037037038E-3</v>
      </c>
      <c r="Q1460" s="1" t="s">
        <v>1117</v>
      </c>
      <c r="R1460" s="1">
        <v>0</v>
      </c>
      <c r="S1460" s="1" t="str">
        <f>""</f>
        <v/>
      </c>
      <c r="T1460" s="1" t="s">
        <v>29</v>
      </c>
      <c r="U1460" s="1" t="s">
        <v>30</v>
      </c>
      <c r="V1460" s="1">
        <v>0</v>
      </c>
    </row>
    <row r="1461" spans="2:22" x14ac:dyDescent="0.15">
      <c r="B1461" s="1" t="str">
        <f>"155****7776"</f>
        <v>155****7776</v>
      </c>
      <c r="C1461" s="1" t="s">
        <v>97</v>
      </c>
      <c r="D1461" s="1" t="str">
        <f t="shared" si="153"/>
        <v>89177328</v>
      </c>
      <c r="E1461" s="1" t="s">
        <v>24</v>
      </c>
      <c r="F1461" s="1" t="str">
        <f t="shared" si="154"/>
        <v>0010</v>
      </c>
      <c r="G1461" s="1" t="str">
        <f>""</f>
        <v/>
      </c>
      <c r="H1461" s="1" t="str">
        <f>"0034"</f>
        <v>0034</v>
      </c>
      <c r="I1461" s="1" t="s">
        <v>31</v>
      </c>
      <c r="J1461" s="1" t="str">
        <f>"01043977568"</f>
        <v>01043977568</v>
      </c>
      <c r="K1461" s="1" t="str">
        <f>"2017-03-31 15:19:22"</f>
        <v>2017-03-31 15:19:22</v>
      </c>
      <c r="L1461" s="1" t="str">
        <f>"2017-03-31 15:19:30"</f>
        <v>2017-03-31 15:19:30</v>
      </c>
      <c r="M1461" s="2">
        <v>0.02</v>
      </c>
      <c r="N1461" s="1" t="s">
        <v>26</v>
      </c>
      <c r="O1461" s="1" t="s">
        <v>27</v>
      </c>
      <c r="P1461" s="2">
        <v>2.0092592592592592E-2</v>
      </c>
      <c r="Q1461" s="1" t="s">
        <v>1118</v>
      </c>
      <c r="R1461" s="1">
        <v>0</v>
      </c>
      <c r="S1461" s="1" t="str">
        <f>""</f>
        <v/>
      </c>
      <c r="T1461" s="1" t="s">
        <v>29</v>
      </c>
      <c r="U1461" s="1" t="s">
        <v>30</v>
      </c>
      <c r="V1461" s="1">
        <v>0</v>
      </c>
    </row>
    <row r="1462" spans="2:22" x14ac:dyDescent="0.15">
      <c r="B1462" s="1" t="str">
        <f>"010****9795"</f>
        <v>010****9795</v>
      </c>
      <c r="C1462" s="1" t="s">
        <v>23</v>
      </c>
      <c r="D1462" s="1" t="str">
        <f t="shared" si="153"/>
        <v>89177328</v>
      </c>
      <c r="E1462" s="1" t="s">
        <v>24</v>
      </c>
      <c r="F1462" s="1" t="str">
        <f t="shared" si="154"/>
        <v>0010</v>
      </c>
      <c r="G1462" s="1" t="str">
        <f>""</f>
        <v/>
      </c>
      <c r="H1462" s="1" t="str">
        <f>"0010"</f>
        <v>0010</v>
      </c>
      <c r="I1462" s="1" t="s">
        <v>71</v>
      </c>
      <c r="J1462" s="1" t="str">
        <f>"01043977571"</f>
        <v>01043977571</v>
      </c>
      <c r="K1462" s="1" t="str">
        <f>"2017-03-31 15:17:39"</f>
        <v>2017-03-31 15:17:39</v>
      </c>
      <c r="L1462" s="1" t="str">
        <f>"2017-03-31 15:17:49"</f>
        <v>2017-03-31 15:17:49</v>
      </c>
      <c r="M1462" s="2">
        <v>8.8657407407407417E-3</v>
      </c>
      <c r="N1462" s="1" t="s">
        <v>26</v>
      </c>
      <c r="O1462" s="1" t="s">
        <v>27</v>
      </c>
      <c r="P1462" s="2">
        <v>8.9814814814814809E-3</v>
      </c>
      <c r="Q1462" s="1" t="s">
        <v>1119</v>
      </c>
      <c r="R1462" s="1">
        <v>0</v>
      </c>
      <c r="S1462" s="1" t="str">
        <f>""</f>
        <v/>
      </c>
      <c r="T1462" s="1" t="s">
        <v>29</v>
      </c>
      <c r="U1462" s="1" t="s">
        <v>30</v>
      </c>
      <c r="V1462" s="1">
        <v>0</v>
      </c>
    </row>
    <row r="1463" spans="2:22" x14ac:dyDescent="0.15">
      <c r="B1463" s="1" t="str">
        <f>"130****5656"</f>
        <v>130****5656</v>
      </c>
      <c r="C1463" s="1" t="s">
        <v>112</v>
      </c>
      <c r="D1463" s="1" t="str">
        <f t="shared" si="153"/>
        <v>89177328</v>
      </c>
      <c r="E1463" s="1" t="s">
        <v>24</v>
      </c>
      <c r="F1463" s="1" t="str">
        <f t="shared" si="154"/>
        <v>0010</v>
      </c>
      <c r="G1463" s="1" t="str">
        <f>""</f>
        <v/>
      </c>
      <c r="H1463" s="1" t="str">
        <f>"0017"</f>
        <v>0017</v>
      </c>
      <c r="I1463" s="1" t="s">
        <v>135</v>
      </c>
      <c r="J1463" s="1" t="str">
        <f>"01043989717"</f>
        <v>01043989717</v>
      </c>
      <c r="K1463" s="1" t="str">
        <f>"2017-03-31 15:15:13"</f>
        <v>2017-03-31 15:15:13</v>
      </c>
      <c r="L1463" s="1" t="str">
        <f>"-"</f>
        <v>-</v>
      </c>
      <c r="M1463" s="2">
        <v>0</v>
      </c>
      <c r="N1463" s="1" t="s">
        <v>33</v>
      </c>
      <c r="O1463" s="1" t="s">
        <v>34</v>
      </c>
      <c r="P1463" s="2">
        <v>5.7870370370370366E-5</v>
      </c>
      <c r="Q1463" s="1" t="str">
        <f>""</f>
        <v/>
      </c>
      <c r="R1463" s="1">
        <v>0</v>
      </c>
      <c r="S1463" s="1" t="str">
        <f>""</f>
        <v/>
      </c>
      <c r="T1463" s="1" t="s">
        <v>29</v>
      </c>
      <c r="U1463" s="1" t="s">
        <v>30</v>
      </c>
      <c r="V1463" s="1">
        <v>0</v>
      </c>
    </row>
    <row r="1464" spans="2:22" x14ac:dyDescent="0.15">
      <c r="B1464" s="1" t="str">
        <f>"0315151****6779"</f>
        <v>0315151****6779</v>
      </c>
      <c r="C1464" s="1" t="s">
        <v>76</v>
      </c>
      <c r="D1464" s="1" t="str">
        <f t="shared" si="153"/>
        <v>89177328</v>
      </c>
      <c r="E1464" s="1" t="s">
        <v>24</v>
      </c>
      <c r="F1464" s="1" t="str">
        <f t="shared" si="154"/>
        <v>0010</v>
      </c>
      <c r="G1464" s="1" t="str">
        <f>""</f>
        <v/>
      </c>
      <c r="H1464" s="1" t="str">
        <f>"0018"</f>
        <v>0018</v>
      </c>
      <c r="I1464" s="1" t="s">
        <v>36</v>
      </c>
      <c r="J1464" s="1" t="str">
        <f>"01043977572"</f>
        <v>01043977572</v>
      </c>
      <c r="K1464" s="1" t="str">
        <f>"2017-03-31 15:14:53"</f>
        <v>2017-03-31 15:14:53</v>
      </c>
      <c r="L1464" s="1" t="str">
        <f>"2017-03-31 15:15:02"</f>
        <v>2017-03-31 15:15:02</v>
      </c>
      <c r="M1464" s="2">
        <v>8.3217592592592596E-3</v>
      </c>
      <c r="N1464" s="1" t="s">
        <v>26</v>
      </c>
      <c r="O1464" s="1" t="s">
        <v>34</v>
      </c>
      <c r="P1464" s="2">
        <v>8.4259259259259253E-3</v>
      </c>
      <c r="Q1464" s="1" t="s">
        <v>1120</v>
      </c>
      <c r="R1464" s="1">
        <v>0</v>
      </c>
      <c r="S1464" s="1" t="str">
        <f>""</f>
        <v/>
      </c>
      <c r="T1464" s="1" t="s">
        <v>29</v>
      </c>
      <c r="U1464" s="1" t="s">
        <v>30</v>
      </c>
      <c r="V1464" s="1">
        <v>0</v>
      </c>
    </row>
    <row r="1465" spans="2:22" x14ac:dyDescent="0.15">
      <c r="B1465" s="1" t="str">
        <f>"130****5656"</f>
        <v>130****5656</v>
      </c>
      <c r="C1465" s="1" t="s">
        <v>112</v>
      </c>
      <c r="D1465" s="1" t="str">
        <f t="shared" si="153"/>
        <v>89177328</v>
      </c>
      <c r="E1465" s="1" t="s">
        <v>24</v>
      </c>
      <c r="F1465" s="1" t="str">
        <f t="shared" si="154"/>
        <v>0010</v>
      </c>
      <c r="G1465" s="1" t="str">
        <f>""</f>
        <v/>
      </c>
      <c r="H1465" s="1" t="str">
        <f>"0018"</f>
        <v>0018</v>
      </c>
      <c r="I1465" s="1" t="s">
        <v>36</v>
      </c>
      <c r="J1465" s="1" t="str">
        <f>"01043977572"</f>
        <v>01043977572</v>
      </c>
      <c r="K1465" s="1" t="str">
        <f>"2017-03-31 15:12:22"</f>
        <v>2017-03-31 15:12:22</v>
      </c>
      <c r="L1465" s="1" t="str">
        <f t="shared" ref="L1465:L1474" si="155">"-"</f>
        <v>-</v>
      </c>
      <c r="M1465" s="2">
        <v>0</v>
      </c>
      <c r="N1465" s="1" t="s">
        <v>33</v>
      </c>
      <c r="O1465" s="1" t="s">
        <v>34</v>
      </c>
      <c r="P1465" s="2">
        <v>1.0416666666666667E-4</v>
      </c>
      <c r="Q1465" s="1" t="str">
        <f>""</f>
        <v/>
      </c>
      <c r="R1465" s="1">
        <v>0</v>
      </c>
      <c r="S1465" s="1" t="str">
        <f>""</f>
        <v/>
      </c>
      <c r="T1465" s="1" t="s">
        <v>29</v>
      </c>
      <c r="U1465" s="1" t="s">
        <v>30</v>
      </c>
      <c r="V1465" s="1">
        <v>0</v>
      </c>
    </row>
    <row r="1466" spans="2:22" x14ac:dyDescent="0.15">
      <c r="B1466" s="1" t="str">
        <f>"188****7867"</f>
        <v>188****7867</v>
      </c>
      <c r="C1466" s="1" t="s">
        <v>23</v>
      </c>
      <c r="D1466" s="1" t="str">
        <f t="shared" si="153"/>
        <v>89177328</v>
      </c>
      <c r="E1466" s="1" t="s">
        <v>24</v>
      </c>
      <c r="F1466" s="1" t="str">
        <f t="shared" si="154"/>
        <v>0010</v>
      </c>
      <c r="G1466" s="1" t="str">
        <f>""</f>
        <v/>
      </c>
      <c r="H1466" s="1" t="str">
        <f>"0017"</f>
        <v>0017</v>
      </c>
      <c r="I1466" s="1" t="s">
        <v>135</v>
      </c>
      <c r="J1466" s="1" t="str">
        <f>"01043989717"</f>
        <v>01043989717</v>
      </c>
      <c r="K1466" s="1" t="str">
        <f>"2017-03-31 15:09:16"</f>
        <v>2017-03-31 15:09:16</v>
      </c>
      <c r="L1466" s="1" t="str">
        <f t="shared" si="155"/>
        <v>-</v>
      </c>
      <c r="M1466" s="2">
        <v>0</v>
      </c>
      <c r="N1466" s="1" t="s">
        <v>33</v>
      </c>
      <c r="O1466" s="1" t="s">
        <v>34</v>
      </c>
      <c r="P1466" s="2">
        <v>5.7870370370370366E-5</v>
      </c>
      <c r="Q1466" s="1" t="str">
        <f>""</f>
        <v/>
      </c>
      <c r="R1466" s="1">
        <v>0</v>
      </c>
      <c r="S1466" s="1" t="str">
        <f>""</f>
        <v/>
      </c>
      <c r="T1466" s="1" t="s">
        <v>29</v>
      </c>
      <c r="U1466" s="1" t="s">
        <v>30</v>
      </c>
      <c r="V1466" s="1">
        <v>0</v>
      </c>
    </row>
    <row r="1467" spans="2:22" x14ac:dyDescent="0.15">
      <c r="B1467" s="1" t="str">
        <f>"130****5656"</f>
        <v>130****5656</v>
      </c>
      <c r="C1467" s="1" t="s">
        <v>112</v>
      </c>
      <c r="D1467" s="1" t="str">
        <f t="shared" si="153"/>
        <v>89177328</v>
      </c>
      <c r="E1467" s="1" t="s">
        <v>24</v>
      </c>
      <c r="F1467" s="1" t="str">
        <f t="shared" si="154"/>
        <v>0010</v>
      </c>
      <c r="G1467" s="1" t="str">
        <f>""</f>
        <v/>
      </c>
      <c r="H1467" s="1" t="str">
        <f>"0017"</f>
        <v>0017</v>
      </c>
      <c r="I1467" s="1" t="s">
        <v>135</v>
      </c>
      <c r="J1467" s="1" t="str">
        <f>"01043989717"</f>
        <v>01043989717</v>
      </c>
      <c r="K1467" s="1" t="str">
        <f>"2017-03-31 15:08:45"</f>
        <v>2017-03-31 15:08:45</v>
      </c>
      <c r="L1467" s="1" t="str">
        <f t="shared" si="155"/>
        <v>-</v>
      </c>
      <c r="M1467" s="2">
        <v>0</v>
      </c>
      <c r="N1467" s="1" t="s">
        <v>33</v>
      </c>
      <c r="O1467" s="1" t="s">
        <v>34</v>
      </c>
      <c r="P1467" s="2">
        <v>8.1018518518518516E-5</v>
      </c>
      <c r="Q1467" s="1" t="str">
        <f>""</f>
        <v/>
      </c>
      <c r="R1467" s="1">
        <v>0</v>
      </c>
      <c r="S1467" s="1" t="str">
        <f>""</f>
        <v/>
      </c>
      <c r="T1467" s="1" t="s">
        <v>29</v>
      </c>
      <c r="U1467" s="1" t="s">
        <v>30</v>
      </c>
      <c r="V1467" s="1">
        <v>0</v>
      </c>
    </row>
    <row r="1468" spans="2:22" x14ac:dyDescent="0.15">
      <c r="B1468" s="1" t="str">
        <f>"188****7867"</f>
        <v>188****7867</v>
      </c>
      <c r="C1468" s="1" t="s">
        <v>23</v>
      </c>
      <c r="D1468" s="1" t="str">
        <f t="shared" si="153"/>
        <v>89177328</v>
      </c>
      <c r="E1468" s="1" t="s">
        <v>24</v>
      </c>
      <c r="F1468" s="1" t="str">
        <f t="shared" si="154"/>
        <v>0010</v>
      </c>
      <c r="G1468" s="1" t="str">
        <f>""</f>
        <v/>
      </c>
      <c r="H1468" s="1" t="str">
        <f>"0017"</f>
        <v>0017</v>
      </c>
      <c r="I1468" s="1" t="s">
        <v>135</v>
      </c>
      <c r="J1468" s="1" t="str">
        <f>"01043989717"</f>
        <v>01043989717</v>
      </c>
      <c r="K1468" s="1" t="str">
        <f>"2017-03-31 15:06:09"</f>
        <v>2017-03-31 15:06:09</v>
      </c>
      <c r="L1468" s="1" t="str">
        <f t="shared" si="155"/>
        <v>-</v>
      </c>
      <c r="M1468" s="2">
        <v>0</v>
      </c>
      <c r="N1468" s="1" t="s">
        <v>33</v>
      </c>
      <c r="O1468" s="1" t="s">
        <v>34</v>
      </c>
      <c r="P1468" s="2">
        <v>5.7870370370370366E-5</v>
      </c>
      <c r="Q1468" s="1" t="str">
        <f>""</f>
        <v/>
      </c>
      <c r="R1468" s="1">
        <v>0</v>
      </c>
      <c r="S1468" s="1" t="str">
        <f>""</f>
        <v/>
      </c>
      <c r="T1468" s="1" t="s">
        <v>29</v>
      </c>
      <c r="U1468" s="1" t="s">
        <v>30</v>
      </c>
      <c r="V1468" s="1">
        <v>0</v>
      </c>
    </row>
    <row r="1469" spans="2:22" x14ac:dyDescent="0.15">
      <c r="B1469" s="1" t="str">
        <f>"186****0604"</f>
        <v>186****0604</v>
      </c>
      <c r="C1469" s="1" t="s">
        <v>23</v>
      </c>
      <c r="D1469" s="1" t="str">
        <f t="shared" si="153"/>
        <v>89177328</v>
      </c>
      <c r="E1469" s="1" t="s">
        <v>24</v>
      </c>
      <c r="F1469" s="1" t="str">
        <f t="shared" si="154"/>
        <v>0010</v>
      </c>
      <c r="G1469" s="1" t="str">
        <f>""</f>
        <v/>
      </c>
      <c r="H1469" s="1" t="str">
        <f>"0017"</f>
        <v>0017</v>
      </c>
      <c r="I1469" s="1" t="s">
        <v>135</v>
      </c>
      <c r="J1469" s="1" t="str">
        <f>"01043989717"</f>
        <v>01043989717</v>
      </c>
      <c r="K1469" s="1" t="str">
        <f>"2017-03-31 15:05:05"</f>
        <v>2017-03-31 15:05:05</v>
      </c>
      <c r="L1469" s="1" t="str">
        <f t="shared" si="155"/>
        <v>-</v>
      </c>
      <c r="M1469" s="2">
        <v>0</v>
      </c>
      <c r="N1469" s="1" t="s">
        <v>33</v>
      </c>
      <c r="O1469" s="1" t="s">
        <v>34</v>
      </c>
      <c r="P1469" s="2">
        <v>5.7870370370370366E-5</v>
      </c>
      <c r="Q1469" s="1" t="str">
        <f>""</f>
        <v/>
      </c>
      <c r="R1469" s="1">
        <v>0</v>
      </c>
      <c r="S1469" s="1" t="str">
        <f>""</f>
        <v/>
      </c>
      <c r="T1469" s="1" t="s">
        <v>29</v>
      </c>
      <c r="U1469" s="1" t="s">
        <v>30</v>
      </c>
      <c r="V1469" s="1">
        <v>0</v>
      </c>
    </row>
    <row r="1470" spans="2:22" x14ac:dyDescent="0.15">
      <c r="B1470" s="1" t="str">
        <f>"188****7867"</f>
        <v>188****7867</v>
      </c>
      <c r="C1470" s="1" t="s">
        <v>23</v>
      </c>
      <c r="D1470" s="1" t="str">
        <f t="shared" si="153"/>
        <v>89177328</v>
      </c>
      <c r="E1470" s="1" t="s">
        <v>24</v>
      </c>
      <c r="F1470" s="1" t="str">
        <f t="shared" si="154"/>
        <v>0010</v>
      </c>
      <c r="G1470" s="1" t="str">
        <f>""</f>
        <v/>
      </c>
      <c r="H1470" s="1" t="str">
        <f>"0017"</f>
        <v>0017</v>
      </c>
      <c r="I1470" s="1" t="s">
        <v>135</v>
      </c>
      <c r="J1470" s="1" t="str">
        <f>"01043989717"</f>
        <v>01043989717</v>
      </c>
      <c r="K1470" s="1" t="str">
        <f>"2017-03-31 15:03:51"</f>
        <v>2017-03-31 15:03:51</v>
      </c>
      <c r="L1470" s="1" t="str">
        <f t="shared" si="155"/>
        <v>-</v>
      </c>
      <c r="M1470" s="2">
        <v>0</v>
      </c>
      <c r="N1470" s="1" t="s">
        <v>33</v>
      </c>
      <c r="O1470" s="1" t="s">
        <v>34</v>
      </c>
      <c r="P1470" s="2">
        <v>4.6296296296296294E-5</v>
      </c>
      <c r="Q1470" s="1" t="str">
        <f>""</f>
        <v/>
      </c>
      <c r="R1470" s="1">
        <v>0</v>
      </c>
      <c r="S1470" s="1" t="str">
        <f>""</f>
        <v/>
      </c>
      <c r="T1470" s="1" t="s">
        <v>29</v>
      </c>
      <c r="U1470" s="1" t="s">
        <v>30</v>
      </c>
      <c r="V1470" s="1">
        <v>0</v>
      </c>
    </row>
    <row r="1471" spans="2:22" x14ac:dyDescent="0.15">
      <c r="B1471" s="1" t="str">
        <f>"186****0604"</f>
        <v>186****0604</v>
      </c>
      <c r="C1471" s="1" t="s">
        <v>23</v>
      </c>
      <c r="D1471" s="1" t="str">
        <f t="shared" si="153"/>
        <v>89177328</v>
      </c>
      <c r="E1471" s="1" t="s">
        <v>24</v>
      </c>
      <c r="F1471" s="1" t="str">
        <f t="shared" si="154"/>
        <v>0010</v>
      </c>
      <c r="G1471" s="1" t="str">
        <f>""</f>
        <v/>
      </c>
      <c r="H1471" s="1" t="str">
        <f>"0035"</f>
        <v>0035</v>
      </c>
      <c r="I1471" s="1" t="s">
        <v>25</v>
      </c>
      <c r="J1471" s="1" t="str">
        <f>"01043977569"</f>
        <v>01043977569</v>
      </c>
      <c r="K1471" s="1" t="str">
        <f>"2017-03-31 15:02:14"</f>
        <v>2017-03-31 15:02:14</v>
      </c>
      <c r="L1471" s="1" t="str">
        <f t="shared" si="155"/>
        <v>-</v>
      </c>
      <c r="M1471" s="2">
        <v>0</v>
      </c>
      <c r="N1471" s="1" t="s">
        <v>33</v>
      </c>
      <c r="O1471" s="1" t="s">
        <v>34</v>
      </c>
      <c r="P1471" s="2">
        <v>5.7870370370370366E-5</v>
      </c>
      <c r="Q1471" s="1" t="str">
        <f>""</f>
        <v/>
      </c>
      <c r="R1471" s="1">
        <v>0</v>
      </c>
      <c r="S1471" s="1" t="str">
        <f>""</f>
        <v/>
      </c>
      <c r="T1471" s="1" t="s">
        <v>29</v>
      </c>
      <c r="U1471" s="1" t="s">
        <v>30</v>
      </c>
      <c r="V1471" s="1">
        <v>0</v>
      </c>
    </row>
    <row r="1472" spans="2:22" x14ac:dyDescent="0.15">
      <c r="B1472" s="1" t="str">
        <f>"010****7570"</f>
        <v>010****7570</v>
      </c>
      <c r="C1472" s="1" t="s">
        <v>23</v>
      </c>
      <c r="D1472" s="1" t="str">
        <f t="shared" si="153"/>
        <v>89177328</v>
      </c>
      <c r="E1472" s="1" t="s">
        <v>24</v>
      </c>
      <c r="F1472" s="1" t="str">
        <f t="shared" si="154"/>
        <v>0010</v>
      </c>
      <c r="G1472" s="1" t="str">
        <f>""</f>
        <v/>
      </c>
      <c r="H1472" s="1" t="str">
        <f>"0018"</f>
        <v>0018</v>
      </c>
      <c r="I1472" s="1" t="s">
        <v>36</v>
      </c>
      <c r="J1472" s="1" t="str">
        <f>"01043977572"</f>
        <v>01043977572</v>
      </c>
      <c r="K1472" s="1" t="str">
        <f>"2017-03-31 14:52:12"</f>
        <v>2017-03-31 14:52:12</v>
      </c>
      <c r="L1472" s="1" t="str">
        <f t="shared" si="155"/>
        <v>-</v>
      </c>
      <c r="M1472" s="2">
        <v>0</v>
      </c>
      <c r="N1472" s="1" t="s">
        <v>33</v>
      </c>
      <c r="O1472" s="1" t="s">
        <v>34</v>
      </c>
      <c r="P1472" s="2">
        <v>5.7870370370370366E-5</v>
      </c>
      <c r="Q1472" s="1" t="str">
        <f>""</f>
        <v/>
      </c>
      <c r="R1472" s="1">
        <v>0</v>
      </c>
      <c r="S1472" s="1" t="str">
        <f>""</f>
        <v/>
      </c>
      <c r="T1472" s="1" t="s">
        <v>29</v>
      </c>
      <c r="U1472" s="1" t="s">
        <v>30</v>
      </c>
      <c r="V1472" s="1">
        <v>0</v>
      </c>
    </row>
    <row r="1473" spans="2:22" x14ac:dyDescent="0.15">
      <c r="B1473" s="1" t="str">
        <f>"010****7570"</f>
        <v>010****7570</v>
      </c>
      <c r="C1473" s="1" t="s">
        <v>23</v>
      </c>
      <c r="D1473" s="1" t="str">
        <f t="shared" si="153"/>
        <v>89177328</v>
      </c>
      <c r="E1473" s="1" t="s">
        <v>24</v>
      </c>
      <c r="F1473" s="1" t="str">
        <f t="shared" si="154"/>
        <v>0010</v>
      </c>
      <c r="G1473" s="1" t="str">
        <f>""</f>
        <v/>
      </c>
      <c r="H1473" s="1" t="str">
        <f>"0010"</f>
        <v>0010</v>
      </c>
      <c r="I1473" s="1" t="s">
        <v>71</v>
      </c>
      <c r="J1473" s="1" t="str">
        <f>"01043977571"</f>
        <v>01043977571</v>
      </c>
      <c r="K1473" s="1" t="str">
        <f>"2017-03-31 14:45:13"</f>
        <v>2017-03-31 14:45:13</v>
      </c>
      <c r="L1473" s="1" t="str">
        <f t="shared" si="155"/>
        <v>-</v>
      </c>
      <c r="M1473" s="2">
        <v>0</v>
      </c>
      <c r="N1473" s="1" t="s">
        <v>33</v>
      </c>
      <c r="O1473" s="1" t="s">
        <v>34</v>
      </c>
      <c r="P1473" s="2">
        <v>5.7870370370370366E-5</v>
      </c>
      <c r="Q1473" s="1" t="str">
        <f>""</f>
        <v/>
      </c>
      <c r="R1473" s="1">
        <v>0</v>
      </c>
      <c r="S1473" s="1" t="str">
        <f>""</f>
        <v/>
      </c>
      <c r="T1473" s="1" t="s">
        <v>29</v>
      </c>
      <c r="U1473" s="1" t="s">
        <v>30</v>
      </c>
      <c r="V1473" s="1">
        <v>0</v>
      </c>
    </row>
    <row r="1474" spans="2:22" x14ac:dyDescent="0.15">
      <c r="B1474" s="1" t="str">
        <f>"189****1935"</f>
        <v>189****1935</v>
      </c>
      <c r="C1474" s="1" t="s">
        <v>23</v>
      </c>
      <c r="D1474" s="1" t="str">
        <f t="shared" si="153"/>
        <v>89177328</v>
      </c>
      <c r="E1474" s="1" t="s">
        <v>24</v>
      </c>
      <c r="F1474" s="1" t="str">
        <f t="shared" si="154"/>
        <v>0010</v>
      </c>
      <c r="G1474" s="1" t="str">
        <f>""</f>
        <v/>
      </c>
      <c r="H1474" s="1" t="str">
        <f>"0010"</f>
        <v>0010</v>
      </c>
      <c r="I1474" s="1" t="s">
        <v>71</v>
      </c>
      <c r="J1474" s="1" t="str">
        <f>"01043977571"</f>
        <v>01043977571</v>
      </c>
      <c r="K1474" s="1" t="str">
        <f>"2017-03-31 14:27:15"</f>
        <v>2017-03-31 14:27:15</v>
      </c>
      <c r="L1474" s="1" t="str">
        <f t="shared" si="155"/>
        <v>-</v>
      </c>
      <c r="M1474" s="2">
        <v>0</v>
      </c>
      <c r="N1474" s="1" t="s">
        <v>33</v>
      </c>
      <c r="O1474" s="1" t="s">
        <v>34</v>
      </c>
      <c r="P1474" s="2">
        <v>2.3148148148148147E-5</v>
      </c>
      <c r="Q1474" s="1" t="str">
        <f>""</f>
        <v/>
      </c>
      <c r="R1474" s="1">
        <v>0</v>
      </c>
      <c r="S1474" s="1" t="str">
        <f>""</f>
        <v/>
      </c>
      <c r="T1474" s="1" t="s">
        <v>29</v>
      </c>
      <c r="U1474" s="1" t="s">
        <v>30</v>
      </c>
      <c r="V1474" s="1">
        <v>0</v>
      </c>
    </row>
    <row r="1475" spans="2:22" x14ac:dyDescent="0.15">
      <c r="B1475" s="1" t="str">
        <f>"186****5369"</f>
        <v>186****5369</v>
      </c>
      <c r="C1475" s="1" t="s">
        <v>911</v>
      </c>
      <c r="D1475" s="1" t="str">
        <f t="shared" si="153"/>
        <v>89177328</v>
      </c>
      <c r="E1475" s="1" t="s">
        <v>24</v>
      </c>
      <c r="F1475" s="1" t="str">
        <f t="shared" si="154"/>
        <v>0010</v>
      </c>
      <c r="G1475" s="1" t="str">
        <f>""</f>
        <v/>
      </c>
      <c r="H1475" s="1" t="str">
        <f>"0035"</f>
        <v>0035</v>
      </c>
      <c r="I1475" s="1" t="s">
        <v>25</v>
      </c>
      <c r="J1475" s="1" t="str">
        <f>"01043977569"</f>
        <v>01043977569</v>
      </c>
      <c r="K1475" s="1" t="str">
        <f>"2017-03-31 14:24:43"</f>
        <v>2017-03-31 14:24:43</v>
      </c>
      <c r="L1475" s="1" t="str">
        <f>"2017-03-31 14:24:50"</f>
        <v>2017-03-31 14:24:50</v>
      </c>
      <c r="M1475" s="2">
        <v>1.6574074074074074E-2</v>
      </c>
      <c r="N1475" s="1" t="s">
        <v>26</v>
      </c>
      <c r="O1475" s="1" t="s">
        <v>27</v>
      </c>
      <c r="P1475" s="2">
        <v>1.6655092592592593E-2</v>
      </c>
      <c r="Q1475" s="1" t="s">
        <v>1121</v>
      </c>
      <c r="R1475" s="1">
        <v>0</v>
      </c>
      <c r="S1475" s="1" t="str">
        <f>""</f>
        <v/>
      </c>
      <c r="T1475" s="1" t="s">
        <v>29</v>
      </c>
      <c r="U1475" s="1" t="s">
        <v>30</v>
      </c>
      <c r="V1475" s="1">
        <v>0</v>
      </c>
    </row>
    <row r="1476" spans="2:22" x14ac:dyDescent="0.15">
      <c r="B1476" s="1" t="str">
        <f>"186****8400"</f>
        <v>186****8400</v>
      </c>
      <c r="C1476" s="1" t="s">
        <v>23</v>
      </c>
      <c r="D1476" s="1" t="str">
        <f t="shared" si="153"/>
        <v>89177328</v>
      </c>
      <c r="E1476" s="1" t="s">
        <v>24</v>
      </c>
      <c r="F1476" s="1" t="str">
        <f t="shared" si="154"/>
        <v>0010</v>
      </c>
      <c r="G1476" s="1" t="str">
        <f>""</f>
        <v/>
      </c>
      <c r="H1476" s="1" t="str">
        <f>"0017"</f>
        <v>0017</v>
      </c>
      <c r="I1476" s="1" t="s">
        <v>135</v>
      </c>
      <c r="J1476" s="1" t="str">
        <f>"01043989717"</f>
        <v>01043989717</v>
      </c>
      <c r="K1476" s="1" t="str">
        <f>"2017-03-31 14:17:29"</f>
        <v>2017-03-31 14:17:29</v>
      </c>
      <c r="L1476" s="1" t="str">
        <f>"2017-03-31 14:17:34"</f>
        <v>2017-03-31 14:17:34</v>
      </c>
      <c r="M1476" s="2">
        <v>8.1481481481481474E-3</v>
      </c>
      <c r="N1476" s="1" t="s">
        <v>26</v>
      </c>
      <c r="O1476" s="1" t="s">
        <v>34</v>
      </c>
      <c r="P1476" s="2">
        <v>8.2060185185185187E-3</v>
      </c>
      <c r="Q1476" s="1" t="s">
        <v>1122</v>
      </c>
      <c r="R1476" s="1">
        <v>0</v>
      </c>
      <c r="S1476" s="1" t="str">
        <f>""</f>
        <v/>
      </c>
      <c r="T1476" s="1" t="s">
        <v>29</v>
      </c>
      <c r="U1476" s="1" t="s">
        <v>30</v>
      </c>
      <c r="V1476" s="1">
        <v>0</v>
      </c>
    </row>
    <row r="1477" spans="2:22" x14ac:dyDescent="0.15">
      <c r="B1477" s="1" t="str">
        <f>"150****6798"</f>
        <v>150****6798</v>
      </c>
      <c r="C1477" s="1" t="s">
        <v>872</v>
      </c>
      <c r="D1477" s="1" t="str">
        <f>"4000108333"</f>
        <v>4000108333</v>
      </c>
      <c r="E1477" s="1" t="s">
        <v>53</v>
      </c>
      <c r="F1477" s="1" t="str">
        <f>"0000"</f>
        <v>0000</v>
      </c>
      <c r="G1477" s="1" t="str">
        <f>""</f>
        <v/>
      </c>
      <c r="H1477" s="1" t="str">
        <f>"1010"</f>
        <v>1010</v>
      </c>
      <c r="I1477" s="1" t="s">
        <v>148</v>
      </c>
      <c r="J1477" s="1" t="str">
        <f>"13718091869"</f>
        <v>13718091869</v>
      </c>
      <c r="K1477" s="1" t="str">
        <f>"2017-03-31 14:14:53"</f>
        <v>2017-03-31 14:14:53</v>
      </c>
      <c r="L1477" s="1" t="str">
        <f>"2017-03-31 14:16:00"</f>
        <v>2017-03-31 14:16:00</v>
      </c>
      <c r="M1477" s="2">
        <v>3.2870370370370367E-3</v>
      </c>
      <c r="N1477" s="1" t="s">
        <v>26</v>
      </c>
      <c r="O1477" s="1" t="s">
        <v>27</v>
      </c>
      <c r="P1477" s="2">
        <v>4.0624999999999993E-3</v>
      </c>
      <c r="Q1477" s="1" t="s">
        <v>1123</v>
      </c>
      <c r="R1477" s="1">
        <v>0.72</v>
      </c>
      <c r="S1477" s="1" t="str">
        <f>""</f>
        <v/>
      </c>
      <c r="T1477" s="1" t="s">
        <v>29</v>
      </c>
      <c r="U1477" s="1" t="s">
        <v>30</v>
      </c>
      <c r="V1477" s="1">
        <v>0</v>
      </c>
    </row>
    <row r="1478" spans="2:22" x14ac:dyDescent="0.15">
      <c r="B1478" s="1" t="str">
        <f>"137****8726"</f>
        <v>137****8726</v>
      </c>
      <c r="C1478" s="1" t="s">
        <v>23</v>
      </c>
      <c r="D1478" s="1" t="str">
        <f>"89177328"</f>
        <v>89177328</v>
      </c>
      <c r="E1478" s="1" t="s">
        <v>24</v>
      </c>
      <c r="F1478" s="1" t="str">
        <f>"0010"</f>
        <v>0010</v>
      </c>
      <c r="G1478" s="1" t="str">
        <f>""</f>
        <v/>
      </c>
      <c r="H1478" s="1" t="str">
        <f>"0018"</f>
        <v>0018</v>
      </c>
      <c r="I1478" s="1" t="s">
        <v>36</v>
      </c>
      <c r="J1478" s="1" t="str">
        <f>"01043977572"</f>
        <v>01043977572</v>
      </c>
      <c r="K1478" s="1" t="str">
        <f>"2017-03-31 14:00:33"</f>
        <v>2017-03-31 14:00:33</v>
      </c>
      <c r="L1478" s="1" t="str">
        <f>"2017-03-31 14:00:41"</f>
        <v>2017-03-31 14:00:41</v>
      </c>
      <c r="M1478" s="2">
        <v>6.7592592592592591E-3</v>
      </c>
      <c r="N1478" s="1" t="s">
        <v>26</v>
      </c>
      <c r="O1478" s="1" t="s">
        <v>34</v>
      </c>
      <c r="P1478" s="2">
        <v>6.851851851851852E-3</v>
      </c>
      <c r="Q1478" s="1" t="s">
        <v>1124</v>
      </c>
      <c r="R1478" s="1">
        <v>0</v>
      </c>
      <c r="S1478" s="1" t="str">
        <f>""</f>
        <v/>
      </c>
      <c r="T1478" s="1" t="s">
        <v>29</v>
      </c>
      <c r="U1478" s="1" t="s">
        <v>30</v>
      </c>
      <c r="V1478" s="1">
        <v>0</v>
      </c>
    </row>
    <row r="1479" spans="2:22" x14ac:dyDescent="0.15">
      <c r="B1479" s="1" t="str">
        <f>"132****4819"</f>
        <v>132****4819</v>
      </c>
      <c r="C1479" s="1" t="s">
        <v>44</v>
      </c>
      <c r="D1479" s="1" t="str">
        <f>"89177328"</f>
        <v>89177328</v>
      </c>
      <c r="E1479" s="1" t="s">
        <v>24</v>
      </c>
      <c r="F1479" s="1" t="str">
        <f>"0010"</f>
        <v>0010</v>
      </c>
      <c r="G1479" s="1" t="str">
        <f>""</f>
        <v/>
      </c>
      <c r="H1479" s="1" t="str">
        <f>"0034"</f>
        <v>0034</v>
      </c>
      <c r="I1479" s="1" t="s">
        <v>31</v>
      </c>
      <c r="J1479" s="1" t="str">
        <f>"01043977568"</f>
        <v>01043977568</v>
      </c>
      <c r="K1479" s="1" t="str">
        <f>"2017-03-31 13:38:44"</f>
        <v>2017-03-31 13:38:44</v>
      </c>
      <c r="L1479" s="1" t="str">
        <f>"2017-03-31 13:38:57"</f>
        <v>2017-03-31 13:38:57</v>
      </c>
      <c r="M1479" s="2">
        <v>1.0567129629629629E-2</v>
      </c>
      <c r="N1479" s="1" t="s">
        <v>26</v>
      </c>
      <c r="O1479" s="1" t="s">
        <v>34</v>
      </c>
      <c r="P1479" s="2">
        <v>1.0717592592592593E-2</v>
      </c>
      <c r="Q1479" s="1" t="s">
        <v>1125</v>
      </c>
      <c r="R1479" s="1">
        <v>0</v>
      </c>
      <c r="S1479" s="1" t="str">
        <f>""</f>
        <v/>
      </c>
      <c r="T1479" s="1" t="s">
        <v>29</v>
      </c>
      <c r="U1479" s="1" t="s">
        <v>30</v>
      </c>
      <c r="V1479" s="1">
        <v>0</v>
      </c>
    </row>
    <row r="1480" spans="2:22" x14ac:dyDescent="0.15">
      <c r="B1480" s="1" t="str">
        <f>"133****5629"</f>
        <v>133****5629</v>
      </c>
      <c r="C1480" s="1" t="s">
        <v>23</v>
      </c>
      <c r="D1480" s="1" t="str">
        <f>"89177328"</f>
        <v>89177328</v>
      </c>
      <c r="E1480" s="1" t="s">
        <v>24</v>
      </c>
      <c r="F1480" s="1" t="str">
        <f>"0010"</f>
        <v>0010</v>
      </c>
      <c r="G1480" s="1" t="str">
        <f>""</f>
        <v/>
      </c>
      <c r="H1480" s="1" t="str">
        <f>"0034"</f>
        <v>0034</v>
      </c>
      <c r="I1480" s="1" t="s">
        <v>31</v>
      </c>
      <c r="J1480" s="1" t="str">
        <f>"01043977568"</f>
        <v>01043977568</v>
      </c>
      <c r="K1480" s="1" t="str">
        <f>"2017-03-31 13:26:23"</f>
        <v>2017-03-31 13:26:23</v>
      </c>
      <c r="L1480" s="1" t="str">
        <f>"2017-03-31 13:26:30"</f>
        <v>2017-03-31 13:26:30</v>
      </c>
      <c r="M1480" s="2">
        <v>2.5347222222222221E-3</v>
      </c>
      <c r="N1480" s="1" t="s">
        <v>26</v>
      </c>
      <c r="O1480" s="1" t="s">
        <v>34</v>
      </c>
      <c r="P1480" s="2">
        <v>2.615740740740741E-3</v>
      </c>
      <c r="Q1480" s="1" t="s">
        <v>1126</v>
      </c>
      <c r="R1480" s="1">
        <v>0</v>
      </c>
      <c r="S1480" s="1" t="str">
        <f>""</f>
        <v/>
      </c>
      <c r="T1480" s="1" t="s">
        <v>29</v>
      </c>
      <c r="U1480" s="1" t="s">
        <v>30</v>
      </c>
      <c r="V1480" s="1">
        <v>0</v>
      </c>
    </row>
    <row r="1481" spans="2:22" x14ac:dyDescent="0.15">
      <c r="B1481" s="1" t="str">
        <f>"139****4201"</f>
        <v>139****4201</v>
      </c>
      <c r="C1481" s="1" t="s">
        <v>1127</v>
      </c>
      <c r="D1481" s="1" t="str">
        <f>"4000108333"</f>
        <v>4000108333</v>
      </c>
      <c r="E1481" s="1" t="s">
        <v>53</v>
      </c>
      <c r="F1481" s="1" t="str">
        <f>""</f>
        <v/>
      </c>
      <c r="G1481" s="1" t="str">
        <f>""</f>
        <v/>
      </c>
      <c r="H1481" s="1" t="str">
        <f>""</f>
        <v/>
      </c>
      <c r="I1481" s="1" t="str">
        <f>""</f>
        <v/>
      </c>
      <c r="J1481" s="1" t="str">
        <f>""</f>
        <v/>
      </c>
      <c r="K1481" s="1" t="str">
        <f>"2017-03-31 13:16:41"</f>
        <v>2017-03-31 13:16:41</v>
      </c>
      <c r="L1481" s="1" t="str">
        <f>"-"</f>
        <v>-</v>
      </c>
      <c r="M1481" s="2">
        <v>0</v>
      </c>
      <c r="N1481" s="1" t="s">
        <v>55</v>
      </c>
      <c r="O1481" s="1" t="s">
        <v>34</v>
      </c>
      <c r="P1481" s="2">
        <v>9.2592592592592588E-5</v>
      </c>
      <c r="Q1481" s="1" t="str">
        <f>""</f>
        <v/>
      </c>
      <c r="R1481" s="1">
        <v>0.12</v>
      </c>
      <c r="S1481" s="1" t="str">
        <f>""</f>
        <v/>
      </c>
      <c r="T1481" s="1" t="s">
        <v>29</v>
      </c>
      <c r="U1481" s="1" t="s">
        <v>30</v>
      </c>
      <c r="V1481" s="1">
        <v>0</v>
      </c>
    </row>
    <row r="1482" spans="2:22" x14ac:dyDescent="0.15">
      <c r="B1482" s="1" t="str">
        <f>"138****4340"</f>
        <v>138****4340</v>
      </c>
      <c r="C1482" s="1" t="s">
        <v>23</v>
      </c>
      <c r="D1482" s="1" t="str">
        <f>"89177328"</f>
        <v>89177328</v>
      </c>
      <c r="E1482" s="1" t="s">
        <v>24</v>
      </c>
      <c r="F1482" s="1" t="str">
        <f>"0010"</f>
        <v>0010</v>
      </c>
      <c r="G1482" s="1" t="str">
        <f>""</f>
        <v/>
      </c>
      <c r="H1482" s="1" t="str">
        <f>"0034"</f>
        <v>0034</v>
      </c>
      <c r="I1482" s="1" t="s">
        <v>31</v>
      </c>
      <c r="J1482" s="1" t="str">
        <f>"01043977568"</f>
        <v>01043977568</v>
      </c>
      <c r="K1482" s="1" t="str">
        <f>"2017-03-31 13:02:41"</f>
        <v>2017-03-31 13:02:41</v>
      </c>
      <c r="L1482" s="1" t="str">
        <f>"2017-03-31 13:02:52"</f>
        <v>2017-03-31 13:02:52</v>
      </c>
      <c r="M1482" s="2">
        <v>1.8634259259259261E-3</v>
      </c>
      <c r="N1482" s="1" t="s">
        <v>26</v>
      </c>
      <c r="O1482" s="1" t="s">
        <v>27</v>
      </c>
      <c r="P1482" s="2">
        <v>1.9907407407407408E-3</v>
      </c>
      <c r="Q1482" s="1" t="s">
        <v>1128</v>
      </c>
      <c r="R1482" s="1">
        <v>0</v>
      </c>
      <c r="S1482" s="1" t="str">
        <f>""</f>
        <v/>
      </c>
      <c r="T1482" s="1" t="s">
        <v>29</v>
      </c>
      <c r="U1482" s="1" t="s">
        <v>30</v>
      </c>
      <c r="V1482" s="1">
        <v>0</v>
      </c>
    </row>
    <row r="1483" spans="2:22" x14ac:dyDescent="0.15">
      <c r="B1483" s="1" t="str">
        <f>"022****6786"</f>
        <v>022****6786</v>
      </c>
      <c r="C1483" s="1" t="s">
        <v>35</v>
      </c>
      <c r="D1483" s="1" t="str">
        <f>"4000108333"</f>
        <v>4000108333</v>
      </c>
      <c r="E1483" s="1" t="s">
        <v>53</v>
      </c>
      <c r="F1483" s="1" t="str">
        <f>"0000"</f>
        <v>0000</v>
      </c>
      <c r="G1483" s="1" t="str">
        <f>""</f>
        <v/>
      </c>
      <c r="H1483" s="1" t="str">
        <f>"1010"</f>
        <v>1010</v>
      </c>
      <c r="I1483" s="1" t="s">
        <v>148</v>
      </c>
      <c r="J1483" s="1" t="str">
        <f>"13718091869"</f>
        <v>13718091869</v>
      </c>
      <c r="K1483" s="1" t="str">
        <f>"2017-03-31 13:02:26"</f>
        <v>2017-03-31 13:02:26</v>
      </c>
      <c r="L1483" s="1" t="str">
        <f>"2017-03-31 13:03:34"</f>
        <v>2017-03-31 13:03:34</v>
      </c>
      <c r="M1483" s="2">
        <v>9.3055555555555548E-3</v>
      </c>
      <c r="N1483" s="1" t="s">
        <v>26</v>
      </c>
      <c r="O1483" s="1" t="s">
        <v>27</v>
      </c>
      <c r="P1483" s="2">
        <v>1.0092592592592592E-2</v>
      </c>
      <c r="Q1483" s="1" t="s">
        <v>1129</v>
      </c>
      <c r="R1483" s="1">
        <v>1.8</v>
      </c>
      <c r="S1483" s="1" t="str">
        <f>""</f>
        <v/>
      </c>
      <c r="T1483" s="1" t="s">
        <v>29</v>
      </c>
      <c r="U1483" s="1" t="s">
        <v>30</v>
      </c>
      <c r="V1483" s="1">
        <v>0</v>
      </c>
    </row>
    <row r="1484" spans="2:22" x14ac:dyDescent="0.15">
      <c r="B1484" s="1" t="str">
        <f>"136****7565"</f>
        <v>136****7565</v>
      </c>
      <c r="C1484" s="1" t="s">
        <v>23</v>
      </c>
      <c r="D1484" s="1" t="str">
        <f t="shared" ref="D1484:D1526" si="156">"89177328"</f>
        <v>89177328</v>
      </c>
      <c r="E1484" s="1" t="s">
        <v>24</v>
      </c>
      <c r="F1484" s="1" t="str">
        <f t="shared" ref="F1484:F1521" si="157">"0010"</f>
        <v>0010</v>
      </c>
      <c r="G1484" s="1" t="str">
        <f>""</f>
        <v/>
      </c>
      <c r="H1484" s="1" t="str">
        <f>"0018"</f>
        <v>0018</v>
      </c>
      <c r="I1484" s="1" t="s">
        <v>36</v>
      </c>
      <c r="J1484" s="1" t="str">
        <f>"01043977572"</f>
        <v>01043977572</v>
      </c>
      <c r="K1484" s="1" t="str">
        <f>"2017-03-31 12:59:41"</f>
        <v>2017-03-31 12:59:41</v>
      </c>
      <c r="L1484" s="1" t="str">
        <f>"2017-03-31 12:59:51"</f>
        <v>2017-03-31 12:59:51</v>
      </c>
      <c r="M1484" s="2">
        <v>1.9537037037037037E-2</v>
      </c>
      <c r="N1484" s="1" t="s">
        <v>26</v>
      </c>
      <c r="O1484" s="1" t="s">
        <v>34</v>
      </c>
      <c r="P1484" s="2">
        <v>1.9652777777777779E-2</v>
      </c>
      <c r="Q1484" s="1" t="s">
        <v>1130</v>
      </c>
      <c r="R1484" s="1">
        <v>0</v>
      </c>
      <c r="S1484" s="1" t="str">
        <f>""</f>
        <v/>
      </c>
      <c r="T1484" s="1" t="s">
        <v>29</v>
      </c>
      <c r="U1484" s="1" t="s">
        <v>30</v>
      </c>
      <c r="V1484" s="1">
        <v>0</v>
      </c>
    </row>
    <row r="1485" spans="2:22" x14ac:dyDescent="0.15">
      <c r="B1485" s="1" t="str">
        <f>"181****3510"</f>
        <v>181****3510</v>
      </c>
      <c r="C1485" s="1" t="s">
        <v>291</v>
      </c>
      <c r="D1485" s="1" t="str">
        <f t="shared" si="156"/>
        <v>89177328</v>
      </c>
      <c r="E1485" s="1" t="s">
        <v>24</v>
      </c>
      <c r="F1485" s="1" t="str">
        <f t="shared" si="157"/>
        <v>0010</v>
      </c>
      <c r="G1485" s="1" t="str">
        <f>""</f>
        <v/>
      </c>
      <c r="H1485" s="1" t="str">
        <f>""</f>
        <v/>
      </c>
      <c r="I1485" s="1" t="str">
        <f>""</f>
        <v/>
      </c>
      <c r="J1485" s="1" t="str">
        <f>""</f>
        <v/>
      </c>
      <c r="K1485" s="1" t="str">
        <f>"2017-03-31 12:29:16"</f>
        <v>2017-03-31 12:29:16</v>
      </c>
      <c r="L1485" s="1" t="str">
        <f>"-"</f>
        <v>-</v>
      </c>
      <c r="M1485" s="2">
        <v>0</v>
      </c>
      <c r="N1485" s="1" t="s">
        <v>55</v>
      </c>
      <c r="O1485" s="1" t="s">
        <v>34</v>
      </c>
      <c r="P1485" s="2">
        <v>1.6319444444444445E-3</v>
      </c>
      <c r="Q1485" s="1" t="str">
        <f>""</f>
        <v/>
      </c>
      <c r="R1485" s="1">
        <v>0</v>
      </c>
      <c r="S1485" s="1" t="str">
        <f>""</f>
        <v/>
      </c>
      <c r="T1485" s="1" t="s">
        <v>29</v>
      </c>
      <c r="U1485" s="1" t="s">
        <v>30</v>
      </c>
      <c r="V1485" s="1">
        <v>0</v>
      </c>
    </row>
    <row r="1486" spans="2:22" x14ac:dyDescent="0.15">
      <c r="B1486" s="1" t="str">
        <f>"182****7351"</f>
        <v>182****7351</v>
      </c>
      <c r="C1486" s="1" t="s">
        <v>137</v>
      </c>
      <c r="D1486" s="1" t="str">
        <f t="shared" si="156"/>
        <v>89177328</v>
      </c>
      <c r="E1486" s="1" t="s">
        <v>24</v>
      </c>
      <c r="F1486" s="1" t="str">
        <f t="shared" si="157"/>
        <v>0010</v>
      </c>
      <c r="G1486" s="1" t="str">
        <f>""</f>
        <v/>
      </c>
      <c r="H1486" s="1" t="str">
        <f>"0018"</f>
        <v>0018</v>
      </c>
      <c r="I1486" s="1" t="s">
        <v>36</v>
      </c>
      <c r="J1486" s="1" t="str">
        <f>"01043977572"</f>
        <v>01043977572</v>
      </c>
      <c r="K1486" s="1" t="str">
        <f>"2017-03-31 12:28:16"</f>
        <v>2017-03-31 12:28:16</v>
      </c>
      <c r="L1486" s="1" t="str">
        <f>"2017-03-31 12:28:27"</f>
        <v>2017-03-31 12:28:27</v>
      </c>
      <c r="M1486" s="2">
        <v>5.6018518518518518E-3</v>
      </c>
      <c r="N1486" s="1" t="s">
        <v>26</v>
      </c>
      <c r="O1486" s="1" t="s">
        <v>34</v>
      </c>
      <c r="P1486" s="2">
        <v>5.7291666666666671E-3</v>
      </c>
      <c r="Q1486" s="1" t="s">
        <v>1131</v>
      </c>
      <c r="R1486" s="1">
        <v>0</v>
      </c>
      <c r="S1486" s="1" t="str">
        <f>""</f>
        <v/>
      </c>
      <c r="T1486" s="1" t="s">
        <v>29</v>
      </c>
      <c r="U1486" s="1" t="s">
        <v>30</v>
      </c>
      <c r="V1486" s="1">
        <v>0</v>
      </c>
    </row>
    <row r="1487" spans="2:22" x14ac:dyDescent="0.15">
      <c r="B1487" s="1" t="str">
        <f>"155****2937"</f>
        <v>155****2937</v>
      </c>
      <c r="C1487" s="1" t="s">
        <v>244</v>
      </c>
      <c r="D1487" s="1" t="str">
        <f t="shared" si="156"/>
        <v>89177328</v>
      </c>
      <c r="E1487" s="1" t="s">
        <v>24</v>
      </c>
      <c r="F1487" s="1" t="str">
        <f t="shared" si="157"/>
        <v>0010</v>
      </c>
      <c r="G1487" s="1" t="str">
        <f>""</f>
        <v/>
      </c>
      <c r="H1487" s="1" t="str">
        <f t="shared" ref="H1487:H1492" si="158">"0033"</f>
        <v>0033</v>
      </c>
      <c r="I1487" s="1" t="s">
        <v>106</v>
      </c>
      <c r="J1487" s="1" t="str">
        <f t="shared" ref="J1487:J1492" si="159">"01043977567"</f>
        <v>01043977567</v>
      </c>
      <c r="K1487" s="1" t="str">
        <f>"2017-03-31 11:59:20"</f>
        <v>2017-03-31 11:59:20</v>
      </c>
      <c r="L1487" s="1" t="str">
        <f>"2017-03-31 11:59:30"</f>
        <v>2017-03-31 11:59:30</v>
      </c>
      <c r="M1487" s="2">
        <v>5.4745370370370373E-3</v>
      </c>
      <c r="N1487" s="1" t="s">
        <v>26</v>
      </c>
      <c r="O1487" s="1" t="s">
        <v>34</v>
      </c>
      <c r="P1487" s="2">
        <v>5.5902777777777782E-3</v>
      </c>
      <c r="Q1487" s="1" t="s">
        <v>1132</v>
      </c>
      <c r="R1487" s="1">
        <v>0</v>
      </c>
      <c r="S1487" s="1" t="str">
        <f>""</f>
        <v/>
      </c>
      <c r="T1487" s="1" t="s">
        <v>29</v>
      </c>
      <c r="U1487" s="1" t="s">
        <v>30</v>
      </c>
      <c r="V1487" s="1">
        <v>0</v>
      </c>
    </row>
    <row r="1488" spans="2:22" x14ac:dyDescent="0.15">
      <c r="B1488" s="1" t="str">
        <f>"133****9597"</f>
        <v>133****9597</v>
      </c>
      <c r="C1488" s="1" t="s">
        <v>23</v>
      </c>
      <c r="D1488" s="1" t="str">
        <f t="shared" si="156"/>
        <v>89177328</v>
      </c>
      <c r="E1488" s="1" t="s">
        <v>24</v>
      </c>
      <c r="F1488" s="1" t="str">
        <f t="shared" si="157"/>
        <v>0010</v>
      </c>
      <c r="G1488" s="1" t="str">
        <f>""</f>
        <v/>
      </c>
      <c r="H1488" s="1" t="str">
        <f t="shared" si="158"/>
        <v>0033</v>
      </c>
      <c r="I1488" s="1" t="s">
        <v>106</v>
      </c>
      <c r="J1488" s="1" t="str">
        <f t="shared" si="159"/>
        <v>01043977567</v>
      </c>
      <c r="K1488" s="1" t="str">
        <f>"2017-03-31 11:16:51"</f>
        <v>2017-03-31 11:16:51</v>
      </c>
      <c r="L1488" s="1" t="str">
        <f>"-"</f>
        <v>-</v>
      </c>
      <c r="M1488" s="2">
        <v>0</v>
      </c>
      <c r="N1488" s="1" t="s">
        <v>33</v>
      </c>
      <c r="O1488" s="1" t="s">
        <v>34</v>
      </c>
      <c r="P1488" s="2">
        <v>5.7870370370370366E-5</v>
      </c>
      <c r="Q1488" s="1" t="str">
        <f>""</f>
        <v/>
      </c>
      <c r="R1488" s="1">
        <v>0</v>
      </c>
      <c r="S1488" s="1" t="str">
        <f>""</f>
        <v/>
      </c>
      <c r="T1488" s="1" t="s">
        <v>29</v>
      </c>
      <c r="U1488" s="1" t="s">
        <v>30</v>
      </c>
      <c r="V1488" s="1">
        <v>0</v>
      </c>
    </row>
    <row r="1489" spans="2:22" x14ac:dyDescent="0.15">
      <c r="B1489" s="1" t="str">
        <f>"133****9597"</f>
        <v>133****9597</v>
      </c>
      <c r="C1489" s="1" t="s">
        <v>23</v>
      </c>
      <c r="D1489" s="1" t="str">
        <f t="shared" si="156"/>
        <v>89177328</v>
      </c>
      <c r="E1489" s="1" t="s">
        <v>24</v>
      </c>
      <c r="F1489" s="1" t="str">
        <f t="shared" si="157"/>
        <v>0010</v>
      </c>
      <c r="G1489" s="1" t="str">
        <f>""</f>
        <v/>
      </c>
      <c r="H1489" s="1" t="str">
        <f t="shared" si="158"/>
        <v>0033</v>
      </c>
      <c r="I1489" s="1" t="s">
        <v>106</v>
      </c>
      <c r="J1489" s="1" t="str">
        <f t="shared" si="159"/>
        <v>01043977567</v>
      </c>
      <c r="K1489" s="1" t="str">
        <f>"2017-03-31 11:14:09"</f>
        <v>2017-03-31 11:14:09</v>
      </c>
      <c r="L1489" s="1" t="str">
        <f>"-"</f>
        <v>-</v>
      </c>
      <c r="M1489" s="2">
        <v>0</v>
      </c>
      <c r="N1489" s="1" t="s">
        <v>33</v>
      </c>
      <c r="O1489" s="1" t="s">
        <v>34</v>
      </c>
      <c r="P1489" s="2">
        <v>4.6296296296296294E-5</v>
      </c>
      <c r="Q1489" s="1" t="str">
        <f>""</f>
        <v/>
      </c>
      <c r="R1489" s="1">
        <v>0</v>
      </c>
      <c r="S1489" s="1" t="str">
        <f>""</f>
        <v/>
      </c>
      <c r="T1489" s="1" t="s">
        <v>29</v>
      </c>
      <c r="U1489" s="1" t="s">
        <v>30</v>
      </c>
      <c r="V1489" s="1">
        <v>0</v>
      </c>
    </row>
    <row r="1490" spans="2:22" x14ac:dyDescent="0.15">
      <c r="B1490" s="1" t="str">
        <f>"133****9597"</f>
        <v>133****9597</v>
      </c>
      <c r="C1490" s="1" t="s">
        <v>23</v>
      </c>
      <c r="D1490" s="1" t="str">
        <f t="shared" si="156"/>
        <v>89177328</v>
      </c>
      <c r="E1490" s="1" t="s">
        <v>24</v>
      </c>
      <c r="F1490" s="1" t="str">
        <f t="shared" si="157"/>
        <v>0010</v>
      </c>
      <c r="G1490" s="1" t="str">
        <f>""</f>
        <v/>
      </c>
      <c r="H1490" s="1" t="str">
        <f t="shared" si="158"/>
        <v>0033</v>
      </c>
      <c r="I1490" s="1" t="s">
        <v>106</v>
      </c>
      <c r="J1490" s="1" t="str">
        <f t="shared" si="159"/>
        <v>01043977567</v>
      </c>
      <c r="K1490" s="1" t="str">
        <f>"2017-03-31 11:11:08"</f>
        <v>2017-03-31 11:11:08</v>
      </c>
      <c r="L1490" s="1" t="str">
        <f>"2017-03-31 11:11:25"</f>
        <v>2017-03-31 11:11:25</v>
      </c>
      <c r="M1490" s="2">
        <v>4.6296296296296294E-5</v>
      </c>
      <c r="N1490" s="1" t="s">
        <v>26</v>
      </c>
      <c r="O1490" s="1" t="s">
        <v>34</v>
      </c>
      <c r="P1490" s="2">
        <v>2.4305555555555552E-4</v>
      </c>
      <c r="Q1490" s="1" t="str">
        <f>""</f>
        <v/>
      </c>
      <c r="R1490" s="1">
        <v>0</v>
      </c>
      <c r="S1490" s="1" t="str">
        <f>""</f>
        <v/>
      </c>
      <c r="T1490" s="1" t="s">
        <v>29</v>
      </c>
      <c r="U1490" s="1" t="s">
        <v>30</v>
      </c>
      <c r="V1490" s="1">
        <v>0</v>
      </c>
    </row>
    <row r="1491" spans="2:22" x14ac:dyDescent="0.15">
      <c r="B1491" s="1" t="str">
        <f>"157****4678"</f>
        <v>157****4678</v>
      </c>
      <c r="C1491" s="1" t="s">
        <v>23</v>
      </c>
      <c r="D1491" s="1" t="str">
        <f t="shared" si="156"/>
        <v>89177328</v>
      </c>
      <c r="E1491" s="1" t="s">
        <v>24</v>
      </c>
      <c r="F1491" s="1" t="str">
        <f t="shared" si="157"/>
        <v>0010</v>
      </c>
      <c r="G1491" s="1" t="str">
        <f>""</f>
        <v/>
      </c>
      <c r="H1491" s="1" t="str">
        <f t="shared" si="158"/>
        <v>0033</v>
      </c>
      <c r="I1491" s="1" t="s">
        <v>106</v>
      </c>
      <c r="J1491" s="1" t="str">
        <f t="shared" si="159"/>
        <v>01043977567</v>
      </c>
      <c r="K1491" s="1" t="str">
        <f>"2017-03-31 11:10:15"</f>
        <v>2017-03-31 11:10:15</v>
      </c>
      <c r="L1491" s="1" t="str">
        <f>"-"</f>
        <v>-</v>
      </c>
      <c r="M1491" s="2">
        <v>0</v>
      </c>
      <c r="N1491" s="1" t="s">
        <v>33</v>
      </c>
      <c r="O1491" s="1" t="s">
        <v>34</v>
      </c>
      <c r="P1491" s="2">
        <v>6.9444444444444444E-5</v>
      </c>
      <c r="Q1491" s="1" t="str">
        <f>""</f>
        <v/>
      </c>
      <c r="R1491" s="1">
        <v>0</v>
      </c>
      <c r="S1491" s="1" t="str">
        <f>""</f>
        <v/>
      </c>
      <c r="T1491" s="1" t="s">
        <v>29</v>
      </c>
      <c r="U1491" s="1" t="s">
        <v>30</v>
      </c>
      <c r="V1491" s="1">
        <v>0</v>
      </c>
    </row>
    <row r="1492" spans="2:22" x14ac:dyDescent="0.15">
      <c r="B1492" s="1" t="str">
        <f>"157****4678"</f>
        <v>157****4678</v>
      </c>
      <c r="C1492" s="1" t="s">
        <v>23</v>
      </c>
      <c r="D1492" s="1" t="str">
        <f t="shared" si="156"/>
        <v>89177328</v>
      </c>
      <c r="E1492" s="1" t="s">
        <v>24</v>
      </c>
      <c r="F1492" s="1" t="str">
        <f t="shared" si="157"/>
        <v>0010</v>
      </c>
      <c r="G1492" s="1" t="str">
        <f>""</f>
        <v/>
      </c>
      <c r="H1492" s="1" t="str">
        <f t="shared" si="158"/>
        <v>0033</v>
      </c>
      <c r="I1492" s="1" t="s">
        <v>106</v>
      </c>
      <c r="J1492" s="1" t="str">
        <f t="shared" si="159"/>
        <v>01043977567</v>
      </c>
      <c r="K1492" s="1" t="str">
        <f>"2017-03-31 11:07:15"</f>
        <v>2017-03-31 11:07:15</v>
      </c>
      <c r="L1492" s="1" t="str">
        <f>"-"</f>
        <v>-</v>
      </c>
      <c r="M1492" s="2">
        <v>0</v>
      </c>
      <c r="N1492" s="1" t="s">
        <v>33</v>
      </c>
      <c r="O1492" s="1" t="s">
        <v>34</v>
      </c>
      <c r="P1492" s="2">
        <v>8.1018518518518516E-5</v>
      </c>
      <c r="Q1492" s="1" t="str">
        <f>""</f>
        <v/>
      </c>
      <c r="R1492" s="1">
        <v>0</v>
      </c>
      <c r="S1492" s="1" t="str">
        <f>""</f>
        <v/>
      </c>
      <c r="T1492" s="1" t="s">
        <v>29</v>
      </c>
      <c r="U1492" s="1" t="s">
        <v>30</v>
      </c>
      <c r="V1492" s="1">
        <v>0</v>
      </c>
    </row>
    <row r="1493" spans="2:22" x14ac:dyDescent="0.15">
      <c r="B1493" s="1" t="str">
        <f>"157****4678"</f>
        <v>157****4678</v>
      </c>
      <c r="C1493" s="1" t="s">
        <v>23</v>
      </c>
      <c r="D1493" s="1" t="str">
        <f t="shared" si="156"/>
        <v>89177328</v>
      </c>
      <c r="E1493" s="1" t="s">
        <v>24</v>
      </c>
      <c r="F1493" s="1" t="str">
        <f t="shared" si="157"/>
        <v>0010</v>
      </c>
      <c r="G1493" s="1" t="str">
        <f>""</f>
        <v/>
      </c>
      <c r="H1493" s="1" t="str">
        <f>"0017"</f>
        <v>0017</v>
      </c>
      <c r="I1493" s="1" t="s">
        <v>135</v>
      </c>
      <c r="J1493" s="1" t="str">
        <f>"01043989717"</f>
        <v>01043989717</v>
      </c>
      <c r="K1493" s="1" t="str">
        <f>"2017-03-31 11:03:46"</f>
        <v>2017-03-31 11:03:46</v>
      </c>
      <c r="L1493" s="1" t="str">
        <f>"-"</f>
        <v>-</v>
      </c>
      <c r="M1493" s="2">
        <v>0</v>
      </c>
      <c r="N1493" s="1" t="s">
        <v>33</v>
      </c>
      <c r="O1493" s="1" t="s">
        <v>34</v>
      </c>
      <c r="P1493" s="2">
        <v>6.9444444444444444E-5</v>
      </c>
      <c r="Q1493" s="1" t="str">
        <f>""</f>
        <v/>
      </c>
      <c r="R1493" s="1">
        <v>0</v>
      </c>
      <c r="S1493" s="1" t="str">
        <f>""</f>
        <v/>
      </c>
      <c r="T1493" s="1" t="s">
        <v>29</v>
      </c>
      <c r="U1493" s="1" t="s">
        <v>30</v>
      </c>
      <c r="V1493" s="1">
        <v>0</v>
      </c>
    </row>
    <row r="1494" spans="2:22" x14ac:dyDescent="0.15">
      <c r="B1494" s="1" t="str">
        <f>"183****4280"</f>
        <v>183****4280</v>
      </c>
      <c r="C1494" s="1" t="s">
        <v>23</v>
      </c>
      <c r="D1494" s="1" t="str">
        <f t="shared" si="156"/>
        <v>89177328</v>
      </c>
      <c r="E1494" s="1" t="s">
        <v>24</v>
      </c>
      <c r="F1494" s="1" t="str">
        <f t="shared" si="157"/>
        <v>0010</v>
      </c>
      <c r="G1494" s="1" t="str">
        <f>""</f>
        <v/>
      </c>
      <c r="H1494" s="1" t="str">
        <f>"0017"</f>
        <v>0017</v>
      </c>
      <c r="I1494" s="1" t="s">
        <v>135</v>
      </c>
      <c r="J1494" s="1" t="str">
        <f>"01043989717"</f>
        <v>01043989717</v>
      </c>
      <c r="K1494" s="1" t="str">
        <f>"2017-03-31 10:57:37"</f>
        <v>2017-03-31 10:57:37</v>
      </c>
      <c r="L1494" s="1" t="str">
        <f>"-"</f>
        <v>-</v>
      </c>
      <c r="M1494" s="2">
        <v>0</v>
      </c>
      <c r="N1494" s="1" t="s">
        <v>33</v>
      </c>
      <c r="O1494" s="1" t="s">
        <v>34</v>
      </c>
      <c r="P1494" s="2">
        <v>3.4722222222222222E-5</v>
      </c>
      <c r="Q1494" s="1" t="str">
        <f>""</f>
        <v/>
      </c>
      <c r="R1494" s="1">
        <v>0</v>
      </c>
      <c r="S1494" s="1" t="str">
        <f>""</f>
        <v/>
      </c>
      <c r="T1494" s="1" t="s">
        <v>29</v>
      </c>
      <c r="U1494" s="1" t="s">
        <v>30</v>
      </c>
      <c r="V1494" s="1">
        <v>0</v>
      </c>
    </row>
    <row r="1495" spans="2:22" x14ac:dyDescent="0.15">
      <c r="B1495" s="1" t="str">
        <f>"183****4280"</f>
        <v>183****4280</v>
      </c>
      <c r="C1495" s="1" t="s">
        <v>23</v>
      </c>
      <c r="D1495" s="1" t="str">
        <f t="shared" si="156"/>
        <v>89177328</v>
      </c>
      <c r="E1495" s="1" t="s">
        <v>24</v>
      </c>
      <c r="F1495" s="1" t="str">
        <f t="shared" si="157"/>
        <v>0010</v>
      </c>
      <c r="G1495" s="1" t="str">
        <f>""</f>
        <v/>
      </c>
      <c r="H1495" s="1" t="str">
        <f>"0017"</f>
        <v>0017</v>
      </c>
      <c r="I1495" s="1" t="s">
        <v>135</v>
      </c>
      <c r="J1495" s="1" t="str">
        <f>"01043989717"</f>
        <v>01043989717</v>
      </c>
      <c r="K1495" s="1" t="str">
        <f>"2017-03-31 10:53:27"</f>
        <v>2017-03-31 10:53:27</v>
      </c>
      <c r="L1495" s="1" t="str">
        <f>"-"</f>
        <v>-</v>
      </c>
      <c r="M1495" s="2">
        <v>0</v>
      </c>
      <c r="N1495" s="1" t="s">
        <v>33</v>
      </c>
      <c r="O1495" s="1" t="s">
        <v>34</v>
      </c>
      <c r="P1495" s="2">
        <v>4.6296296296296294E-5</v>
      </c>
      <c r="Q1495" s="1" t="str">
        <f>""</f>
        <v/>
      </c>
      <c r="R1495" s="1">
        <v>0</v>
      </c>
      <c r="S1495" s="1" t="str">
        <f>""</f>
        <v/>
      </c>
      <c r="T1495" s="1" t="s">
        <v>29</v>
      </c>
      <c r="U1495" s="1" t="s">
        <v>30</v>
      </c>
      <c r="V1495" s="1">
        <v>0</v>
      </c>
    </row>
    <row r="1496" spans="2:22" x14ac:dyDescent="0.15">
      <c r="B1496" s="1" t="str">
        <f>"186****6217"</f>
        <v>186****6217</v>
      </c>
      <c r="C1496" s="1" t="s">
        <v>132</v>
      </c>
      <c r="D1496" s="1" t="str">
        <f t="shared" si="156"/>
        <v>89177328</v>
      </c>
      <c r="E1496" s="1" t="s">
        <v>24</v>
      </c>
      <c r="F1496" s="1" t="str">
        <f t="shared" si="157"/>
        <v>0010</v>
      </c>
      <c r="G1496" s="1" t="str">
        <f>""</f>
        <v/>
      </c>
      <c r="H1496" s="1" t="str">
        <f>"0012"</f>
        <v>0012</v>
      </c>
      <c r="I1496" s="1" t="s">
        <v>612</v>
      </c>
      <c r="J1496" s="1" t="str">
        <f>"01043989720"</f>
        <v>01043989720</v>
      </c>
      <c r="K1496" s="1" t="str">
        <f>"2017-03-31 10:52:11"</f>
        <v>2017-03-31 10:52:11</v>
      </c>
      <c r="L1496" s="1" t="str">
        <f>"2017-03-31 10:52:21"</f>
        <v>2017-03-31 10:52:21</v>
      </c>
      <c r="M1496" s="2">
        <v>2.4375000000000004E-2</v>
      </c>
      <c r="N1496" s="1" t="s">
        <v>26</v>
      </c>
      <c r="O1496" s="1" t="s">
        <v>27</v>
      </c>
      <c r="P1496" s="2">
        <v>2.449074074074074E-2</v>
      </c>
      <c r="Q1496" s="1" t="s">
        <v>1133</v>
      </c>
      <c r="R1496" s="1">
        <v>0</v>
      </c>
      <c r="S1496" s="1" t="str">
        <f>""</f>
        <v/>
      </c>
      <c r="T1496" s="1" t="s">
        <v>29</v>
      </c>
      <c r="U1496" s="1" t="s">
        <v>30</v>
      </c>
      <c r="V1496" s="1">
        <v>0</v>
      </c>
    </row>
    <row r="1497" spans="2:22" x14ac:dyDescent="0.15">
      <c r="B1497" s="1" t="str">
        <f>"188****7867"</f>
        <v>188****7867</v>
      </c>
      <c r="C1497" s="1" t="s">
        <v>23</v>
      </c>
      <c r="D1497" s="1" t="str">
        <f t="shared" si="156"/>
        <v>89177328</v>
      </c>
      <c r="E1497" s="1" t="s">
        <v>24</v>
      </c>
      <c r="F1497" s="1" t="str">
        <f t="shared" si="157"/>
        <v>0010</v>
      </c>
      <c r="G1497" s="1" t="str">
        <f>""</f>
        <v/>
      </c>
      <c r="H1497" s="1" t="str">
        <f>"0012"</f>
        <v>0012</v>
      </c>
      <c r="I1497" s="1" t="s">
        <v>612</v>
      </c>
      <c r="J1497" s="1" t="str">
        <f>"01043989720"</f>
        <v>01043989720</v>
      </c>
      <c r="K1497" s="1" t="str">
        <f>"2017-03-31 10:50:29"</f>
        <v>2017-03-31 10:50:29</v>
      </c>
      <c r="L1497" s="1" t="str">
        <f>"-"</f>
        <v>-</v>
      </c>
      <c r="M1497" s="2">
        <v>0</v>
      </c>
      <c r="N1497" s="1" t="s">
        <v>33</v>
      </c>
      <c r="O1497" s="1" t="s">
        <v>34</v>
      </c>
      <c r="P1497" s="2">
        <v>6.9444444444444444E-5</v>
      </c>
      <c r="Q1497" s="1" t="str">
        <f>""</f>
        <v/>
      </c>
      <c r="R1497" s="1">
        <v>0</v>
      </c>
      <c r="S1497" s="1" t="str">
        <f>""</f>
        <v/>
      </c>
      <c r="T1497" s="1" t="s">
        <v>29</v>
      </c>
      <c r="U1497" s="1" t="s">
        <v>30</v>
      </c>
      <c r="V1497" s="1">
        <v>0</v>
      </c>
    </row>
    <row r="1498" spans="2:22" x14ac:dyDescent="0.15">
      <c r="B1498" s="1" t="str">
        <f>"188****7867"</f>
        <v>188****7867</v>
      </c>
      <c r="C1498" s="1" t="s">
        <v>23</v>
      </c>
      <c r="D1498" s="1" t="str">
        <f t="shared" si="156"/>
        <v>89177328</v>
      </c>
      <c r="E1498" s="1" t="s">
        <v>24</v>
      </c>
      <c r="F1498" s="1" t="str">
        <f t="shared" si="157"/>
        <v>0010</v>
      </c>
      <c r="G1498" s="1" t="str">
        <f>""</f>
        <v/>
      </c>
      <c r="H1498" s="1" t="str">
        <f>"0012"</f>
        <v>0012</v>
      </c>
      <c r="I1498" s="1" t="s">
        <v>612</v>
      </c>
      <c r="J1498" s="1" t="str">
        <f>"01043989720"</f>
        <v>01043989720</v>
      </c>
      <c r="K1498" s="1" t="str">
        <f>"2017-03-31 10:47:35"</f>
        <v>2017-03-31 10:47:35</v>
      </c>
      <c r="L1498" s="1" t="str">
        <f>"-"</f>
        <v>-</v>
      </c>
      <c r="M1498" s="2">
        <v>0</v>
      </c>
      <c r="N1498" s="1" t="s">
        <v>33</v>
      </c>
      <c r="O1498" s="1" t="s">
        <v>34</v>
      </c>
      <c r="P1498" s="2">
        <v>6.9444444444444444E-5</v>
      </c>
      <c r="Q1498" s="1" t="str">
        <f>""</f>
        <v/>
      </c>
      <c r="R1498" s="1">
        <v>0</v>
      </c>
      <c r="S1498" s="1" t="str">
        <f>""</f>
        <v/>
      </c>
      <c r="T1498" s="1" t="s">
        <v>29</v>
      </c>
      <c r="U1498" s="1" t="s">
        <v>30</v>
      </c>
      <c r="V1498" s="1">
        <v>0</v>
      </c>
    </row>
    <row r="1499" spans="2:22" x14ac:dyDescent="0.15">
      <c r="B1499" s="1" t="str">
        <f>"188****7867"</f>
        <v>188****7867</v>
      </c>
      <c r="C1499" s="1" t="s">
        <v>23</v>
      </c>
      <c r="D1499" s="1" t="str">
        <f t="shared" si="156"/>
        <v>89177328</v>
      </c>
      <c r="E1499" s="1" t="s">
        <v>24</v>
      </c>
      <c r="F1499" s="1" t="str">
        <f t="shared" si="157"/>
        <v>0010</v>
      </c>
      <c r="G1499" s="1" t="str">
        <f>""</f>
        <v/>
      </c>
      <c r="H1499" s="1" t="str">
        <f>"0032"</f>
        <v>0032</v>
      </c>
      <c r="I1499" s="1" t="s">
        <v>119</v>
      </c>
      <c r="J1499" s="1" t="str">
        <f>"01043977566"</f>
        <v>01043977566</v>
      </c>
      <c r="K1499" s="1" t="str">
        <f>"2017-03-31 10:44:45"</f>
        <v>2017-03-31 10:44:45</v>
      </c>
      <c r="L1499" s="1" t="str">
        <f>"-"</f>
        <v>-</v>
      </c>
      <c r="M1499" s="2">
        <v>0</v>
      </c>
      <c r="N1499" s="1" t="s">
        <v>33</v>
      </c>
      <c r="O1499" s="1" t="s">
        <v>34</v>
      </c>
      <c r="P1499" s="2">
        <v>1.1574074074074073E-4</v>
      </c>
      <c r="Q1499" s="1" t="str">
        <f>""</f>
        <v/>
      </c>
      <c r="R1499" s="1">
        <v>0</v>
      </c>
      <c r="S1499" s="1" t="str">
        <f>""</f>
        <v/>
      </c>
      <c r="T1499" s="1" t="s">
        <v>29</v>
      </c>
      <c r="U1499" s="1" t="s">
        <v>30</v>
      </c>
      <c r="V1499" s="1">
        <v>0</v>
      </c>
    </row>
    <row r="1500" spans="2:22" x14ac:dyDescent="0.15">
      <c r="B1500" s="1" t="str">
        <f>"135****1679"</f>
        <v>135****1679</v>
      </c>
      <c r="C1500" s="1" t="s">
        <v>170</v>
      </c>
      <c r="D1500" s="1" t="str">
        <f t="shared" si="156"/>
        <v>89177328</v>
      </c>
      <c r="E1500" s="1" t="s">
        <v>24</v>
      </c>
      <c r="F1500" s="1" t="str">
        <f t="shared" si="157"/>
        <v>0010</v>
      </c>
      <c r="G1500" s="1" t="str">
        <f>""</f>
        <v/>
      </c>
      <c r="H1500" s="1" t="str">
        <f>"0018"</f>
        <v>0018</v>
      </c>
      <c r="I1500" s="1" t="s">
        <v>36</v>
      </c>
      <c r="J1500" s="1" t="str">
        <f>"01043977572"</f>
        <v>01043977572</v>
      </c>
      <c r="K1500" s="1" t="str">
        <f>"2017-03-31 10:41:08"</f>
        <v>2017-03-31 10:41:08</v>
      </c>
      <c r="L1500" s="1" t="str">
        <f>"2017-03-31 10:41:19"</f>
        <v>2017-03-31 10:41:19</v>
      </c>
      <c r="M1500" s="2">
        <v>3.6689814814814814E-3</v>
      </c>
      <c r="N1500" s="1" t="s">
        <v>26</v>
      </c>
      <c r="O1500" s="1" t="s">
        <v>34</v>
      </c>
      <c r="P1500" s="2">
        <v>3.7962962962962963E-3</v>
      </c>
      <c r="Q1500" s="1" t="s">
        <v>1134</v>
      </c>
      <c r="R1500" s="1">
        <v>0</v>
      </c>
      <c r="S1500" s="1" t="str">
        <f>""</f>
        <v/>
      </c>
      <c r="T1500" s="1" t="s">
        <v>29</v>
      </c>
      <c r="U1500" s="1" t="s">
        <v>30</v>
      </c>
      <c r="V1500" s="1">
        <v>0</v>
      </c>
    </row>
    <row r="1501" spans="2:22" x14ac:dyDescent="0.15">
      <c r="B1501" s="1" t="str">
        <f>"186****0604"</f>
        <v>186****0604</v>
      </c>
      <c r="C1501" s="1" t="s">
        <v>23</v>
      </c>
      <c r="D1501" s="1" t="str">
        <f t="shared" si="156"/>
        <v>89177328</v>
      </c>
      <c r="E1501" s="1" t="s">
        <v>24</v>
      </c>
      <c r="F1501" s="1" t="str">
        <f t="shared" si="157"/>
        <v>0010</v>
      </c>
      <c r="G1501" s="1" t="str">
        <f>""</f>
        <v/>
      </c>
      <c r="H1501" s="1" t="str">
        <f>"0018"</f>
        <v>0018</v>
      </c>
      <c r="I1501" s="1" t="s">
        <v>36</v>
      </c>
      <c r="J1501" s="1" t="str">
        <f>"01043977572"</f>
        <v>01043977572</v>
      </c>
      <c r="K1501" s="1" t="str">
        <f>"2017-03-31 10:35:28"</f>
        <v>2017-03-31 10:35:28</v>
      </c>
      <c r="L1501" s="1" t="str">
        <f>"-"</f>
        <v>-</v>
      </c>
      <c r="M1501" s="2">
        <v>0</v>
      </c>
      <c r="N1501" s="1" t="s">
        <v>33</v>
      </c>
      <c r="O1501" s="1" t="s">
        <v>34</v>
      </c>
      <c r="P1501" s="2">
        <v>6.9444444444444444E-5</v>
      </c>
      <c r="Q1501" s="1" t="str">
        <f>""</f>
        <v/>
      </c>
      <c r="R1501" s="1">
        <v>0</v>
      </c>
      <c r="S1501" s="1" t="str">
        <f>""</f>
        <v/>
      </c>
      <c r="T1501" s="1" t="s">
        <v>29</v>
      </c>
      <c r="U1501" s="1" t="s">
        <v>30</v>
      </c>
      <c r="V1501" s="1">
        <v>0</v>
      </c>
    </row>
    <row r="1502" spans="2:22" x14ac:dyDescent="0.15">
      <c r="B1502" s="1" t="str">
        <f>"158****3268"</f>
        <v>158****3268</v>
      </c>
      <c r="C1502" s="1" t="s">
        <v>379</v>
      </c>
      <c r="D1502" s="1" t="str">
        <f t="shared" si="156"/>
        <v>89177328</v>
      </c>
      <c r="E1502" s="1" t="s">
        <v>24</v>
      </c>
      <c r="F1502" s="1" t="str">
        <f t="shared" si="157"/>
        <v>0010</v>
      </c>
      <c r="G1502" s="1" t="str">
        <f>""</f>
        <v/>
      </c>
      <c r="H1502" s="1" t="str">
        <f>"0034"</f>
        <v>0034</v>
      </c>
      <c r="I1502" s="1" t="s">
        <v>31</v>
      </c>
      <c r="J1502" s="1" t="str">
        <f>"01043977568"</f>
        <v>01043977568</v>
      </c>
      <c r="K1502" s="1" t="str">
        <f>"2017-03-31 10:33:48"</f>
        <v>2017-03-31 10:33:48</v>
      </c>
      <c r="L1502" s="1" t="str">
        <f>"2017-03-31 10:33:58"</f>
        <v>2017-03-31 10:33:58</v>
      </c>
      <c r="M1502" s="2">
        <v>3.3738425925925929E-2</v>
      </c>
      <c r="N1502" s="1" t="s">
        <v>26</v>
      </c>
      <c r="O1502" s="1" t="s">
        <v>34</v>
      </c>
      <c r="P1502" s="2">
        <v>3.3854166666666664E-2</v>
      </c>
      <c r="Q1502" s="1" t="s">
        <v>1135</v>
      </c>
      <c r="R1502" s="1">
        <v>0</v>
      </c>
      <c r="S1502" s="1" t="str">
        <f>""</f>
        <v/>
      </c>
      <c r="T1502" s="1" t="s">
        <v>29</v>
      </c>
      <c r="U1502" s="1" t="s">
        <v>30</v>
      </c>
      <c r="V1502" s="1">
        <v>0</v>
      </c>
    </row>
    <row r="1503" spans="2:22" x14ac:dyDescent="0.15">
      <c r="B1503" s="1" t="str">
        <f>"186****0604"</f>
        <v>186****0604</v>
      </c>
      <c r="C1503" s="1" t="s">
        <v>23</v>
      </c>
      <c r="D1503" s="1" t="str">
        <f t="shared" si="156"/>
        <v>89177328</v>
      </c>
      <c r="E1503" s="1" t="s">
        <v>24</v>
      </c>
      <c r="F1503" s="1" t="str">
        <f t="shared" si="157"/>
        <v>0010</v>
      </c>
      <c r="G1503" s="1" t="str">
        <f>""</f>
        <v/>
      </c>
      <c r="H1503" s="1" t="str">
        <f>"0034"</f>
        <v>0034</v>
      </c>
      <c r="I1503" s="1" t="s">
        <v>31</v>
      </c>
      <c r="J1503" s="1" t="str">
        <f>"01043977568"</f>
        <v>01043977568</v>
      </c>
      <c r="K1503" s="1" t="str">
        <f>"2017-03-31 10:31:08"</f>
        <v>2017-03-31 10:31:08</v>
      </c>
      <c r="L1503" s="1" t="str">
        <f>"-"</f>
        <v>-</v>
      </c>
      <c r="M1503" s="2">
        <v>0</v>
      </c>
      <c r="N1503" s="1" t="s">
        <v>33</v>
      </c>
      <c r="O1503" s="1" t="s">
        <v>34</v>
      </c>
      <c r="P1503" s="2">
        <v>9.2592592592592588E-5</v>
      </c>
      <c r="Q1503" s="1" t="str">
        <f>""</f>
        <v/>
      </c>
      <c r="R1503" s="1">
        <v>0</v>
      </c>
      <c r="S1503" s="1" t="str">
        <f>""</f>
        <v/>
      </c>
      <c r="T1503" s="1" t="s">
        <v>29</v>
      </c>
      <c r="U1503" s="1" t="s">
        <v>30</v>
      </c>
      <c r="V1503" s="1">
        <v>0</v>
      </c>
    </row>
    <row r="1504" spans="2:22" x14ac:dyDescent="0.15">
      <c r="B1504" s="1" t="str">
        <f>"130****5656"</f>
        <v>130****5656</v>
      </c>
      <c r="C1504" s="1" t="s">
        <v>112</v>
      </c>
      <c r="D1504" s="1" t="str">
        <f t="shared" si="156"/>
        <v>89177328</v>
      </c>
      <c r="E1504" s="1" t="s">
        <v>24</v>
      </c>
      <c r="F1504" s="1" t="str">
        <f t="shared" si="157"/>
        <v>0010</v>
      </c>
      <c r="G1504" s="1" t="str">
        <f>""</f>
        <v/>
      </c>
      <c r="H1504" s="1" t="str">
        <f>"0017"</f>
        <v>0017</v>
      </c>
      <c r="I1504" s="1" t="s">
        <v>135</v>
      </c>
      <c r="J1504" s="1" t="str">
        <f>"01043989717"</f>
        <v>01043989717</v>
      </c>
      <c r="K1504" s="1" t="str">
        <f>"2017-03-31 10:22:47"</f>
        <v>2017-03-31 10:22:47</v>
      </c>
      <c r="L1504" s="1" t="str">
        <f>"-"</f>
        <v>-</v>
      </c>
      <c r="M1504" s="2">
        <v>0</v>
      </c>
      <c r="N1504" s="1" t="s">
        <v>33</v>
      </c>
      <c r="O1504" s="1" t="s">
        <v>34</v>
      </c>
      <c r="P1504" s="2">
        <v>5.7870370370370366E-5</v>
      </c>
      <c r="Q1504" s="1" t="str">
        <f>""</f>
        <v/>
      </c>
      <c r="R1504" s="1">
        <v>0</v>
      </c>
      <c r="S1504" s="1" t="str">
        <f>""</f>
        <v/>
      </c>
      <c r="T1504" s="1" t="s">
        <v>29</v>
      </c>
      <c r="U1504" s="1" t="s">
        <v>30</v>
      </c>
      <c r="V1504" s="1">
        <v>0</v>
      </c>
    </row>
    <row r="1505" spans="2:22" x14ac:dyDescent="0.15">
      <c r="B1505" s="1" t="str">
        <f>"130****5656"</f>
        <v>130****5656</v>
      </c>
      <c r="C1505" s="1" t="s">
        <v>112</v>
      </c>
      <c r="D1505" s="1" t="str">
        <f t="shared" si="156"/>
        <v>89177328</v>
      </c>
      <c r="E1505" s="1" t="s">
        <v>24</v>
      </c>
      <c r="F1505" s="1" t="str">
        <f t="shared" si="157"/>
        <v>0010</v>
      </c>
      <c r="G1505" s="1" t="str">
        <f>""</f>
        <v/>
      </c>
      <c r="H1505" s="1" t="str">
        <f>"0032"</f>
        <v>0032</v>
      </c>
      <c r="I1505" s="1" t="s">
        <v>119</v>
      </c>
      <c r="J1505" s="1" t="str">
        <f>"01043977566"</f>
        <v>01043977566</v>
      </c>
      <c r="K1505" s="1" t="str">
        <f>"2017-03-31 10:18:53"</f>
        <v>2017-03-31 10:18:53</v>
      </c>
      <c r="L1505" s="1" t="str">
        <f>"-"</f>
        <v>-</v>
      </c>
      <c r="M1505" s="2">
        <v>0</v>
      </c>
      <c r="N1505" s="1" t="s">
        <v>33</v>
      </c>
      <c r="O1505" s="1" t="s">
        <v>34</v>
      </c>
      <c r="P1505" s="2">
        <v>5.7870370370370366E-5</v>
      </c>
      <c r="Q1505" s="1" t="str">
        <f>""</f>
        <v/>
      </c>
      <c r="R1505" s="1">
        <v>0</v>
      </c>
      <c r="S1505" s="1" t="str">
        <f>""</f>
        <v/>
      </c>
      <c r="T1505" s="1" t="s">
        <v>29</v>
      </c>
      <c r="U1505" s="1" t="s">
        <v>30</v>
      </c>
      <c r="V1505" s="1">
        <v>0</v>
      </c>
    </row>
    <row r="1506" spans="2:22" x14ac:dyDescent="0.15">
      <c r="B1506" s="1" t="str">
        <f>"130****5656"</f>
        <v>130****5656</v>
      </c>
      <c r="C1506" s="1" t="s">
        <v>112</v>
      </c>
      <c r="D1506" s="1" t="str">
        <f t="shared" si="156"/>
        <v>89177328</v>
      </c>
      <c r="E1506" s="1" t="s">
        <v>24</v>
      </c>
      <c r="F1506" s="1" t="str">
        <f t="shared" si="157"/>
        <v>0010</v>
      </c>
      <c r="G1506" s="1" t="str">
        <f>""</f>
        <v/>
      </c>
      <c r="H1506" s="1" t="str">
        <f>"0018"</f>
        <v>0018</v>
      </c>
      <c r="I1506" s="1" t="s">
        <v>36</v>
      </c>
      <c r="J1506" s="1" t="str">
        <f>"01043977572"</f>
        <v>01043977572</v>
      </c>
      <c r="K1506" s="1" t="str">
        <f>"2017-03-31 10:15:36"</f>
        <v>2017-03-31 10:15:36</v>
      </c>
      <c r="L1506" s="1" t="str">
        <f>"-"</f>
        <v>-</v>
      </c>
      <c r="M1506" s="2">
        <v>0</v>
      </c>
      <c r="N1506" s="1" t="s">
        <v>33</v>
      </c>
      <c r="O1506" s="1" t="s">
        <v>34</v>
      </c>
      <c r="P1506" s="2">
        <v>6.9444444444444444E-5</v>
      </c>
      <c r="Q1506" s="1" t="str">
        <f>""</f>
        <v/>
      </c>
      <c r="R1506" s="1">
        <v>0</v>
      </c>
      <c r="S1506" s="1" t="str">
        <f>""</f>
        <v/>
      </c>
      <c r="T1506" s="1" t="s">
        <v>29</v>
      </c>
      <c r="U1506" s="1" t="s">
        <v>30</v>
      </c>
      <c r="V1506" s="1">
        <v>0</v>
      </c>
    </row>
    <row r="1507" spans="2:22" x14ac:dyDescent="0.15">
      <c r="B1507" s="1" t="str">
        <f>"133****3938"</f>
        <v>133****3938</v>
      </c>
      <c r="C1507" s="1" t="s">
        <v>23</v>
      </c>
      <c r="D1507" s="1" t="str">
        <f t="shared" si="156"/>
        <v>89177328</v>
      </c>
      <c r="E1507" s="1" t="s">
        <v>24</v>
      </c>
      <c r="F1507" s="1" t="str">
        <f t="shared" si="157"/>
        <v>0010</v>
      </c>
      <c r="G1507" s="1" t="str">
        <f>""</f>
        <v/>
      </c>
      <c r="H1507" s="1" t="str">
        <f>"0031"</f>
        <v>0031</v>
      </c>
      <c r="I1507" s="1" t="s">
        <v>95</v>
      </c>
      <c r="J1507" s="1" t="str">
        <f>"01043977565"</f>
        <v>01043977565</v>
      </c>
      <c r="K1507" s="1" t="str">
        <f>"2017-03-31 10:01:42"</f>
        <v>2017-03-31 10:01:42</v>
      </c>
      <c r="L1507" s="1" t="str">
        <f>"2017-03-31 10:01:50"</f>
        <v>2017-03-31 10:01:50</v>
      </c>
      <c r="M1507" s="2">
        <v>2.1944444444444447E-2</v>
      </c>
      <c r="N1507" s="1" t="s">
        <v>26</v>
      </c>
      <c r="O1507" s="1" t="s">
        <v>27</v>
      </c>
      <c r="P1507" s="2">
        <v>2.2037037037037036E-2</v>
      </c>
      <c r="Q1507" s="1" t="s">
        <v>1136</v>
      </c>
      <c r="R1507" s="1">
        <v>0</v>
      </c>
      <c r="S1507" s="1" t="str">
        <f>""</f>
        <v/>
      </c>
      <c r="T1507" s="1" t="s">
        <v>29</v>
      </c>
      <c r="U1507" s="1" t="s">
        <v>30</v>
      </c>
      <c r="V1507" s="1">
        <v>0</v>
      </c>
    </row>
    <row r="1508" spans="2:22" x14ac:dyDescent="0.15">
      <c r="B1508" s="1" t="str">
        <f>"185****9905"</f>
        <v>185****9905</v>
      </c>
      <c r="C1508" s="1" t="s">
        <v>23</v>
      </c>
      <c r="D1508" s="1" t="str">
        <f t="shared" si="156"/>
        <v>89177328</v>
      </c>
      <c r="E1508" s="1" t="s">
        <v>24</v>
      </c>
      <c r="F1508" s="1" t="str">
        <f t="shared" si="157"/>
        <v>0010</v>
      </c>
      <c r="G1508" s="1" t="str">
        <f>""</f>
        <v/>
      </c>
      <c r="H1508" s="1" t="str">
        <f>"0034"</f>
        <v>0034</v>
      </c>
      <c r="I1508" s="1" t="s">
        <v>31</v>
      </c>
      <c r="J1508" s="1" t="str">
        <f>"01043977568"</f>
        <v>01043977568</v>
      </c>
      <c r="K1508" s="1" t="str">
        <f>"2017-03-31 09:42:45"</f>
        <v>2017-03-31 09:42:45</v>
      </c>
      <c r="L1508" s="1" t="str">
        <f>"2017-03-31 09:42:55"</f>
        <v>2017-03-31 09:42:55</v>
      </c>
      <c r="M1508" s="2">
        <v>1.1446759259259261E-2</v>
      </c>
      <c r="N1508" s="1" t="s">
        <v>26</v>
      </c>
      <c r="O1508" s="1" t="s">
        <v>27</v>
      </c>
      <c r="P1508" s="2">
        <v>1.1562499999999998E-2</v>
      </c>
      <c r="Q1508" s="1" t="s">
        <v>1137</v>
      </c>
      <c r="R1508" s="1">
        <v>0</v>
      </c>
      <c r="S1508" s="1" t="str">
        <f>""</f>
        <v/>
      </c>
      <c r="T1508" s="1" t="s">
        <v>29</v>
      </c>
      <c r="U1508" s="1" t="s">
        <v>30</v>
      </c>
      <c r="V1508" s="1">
        <v>0</v>
      </c>
    </row>
    <row r="1509" spans="2:22" x14ac:dyDescent="0.15">
      <c r="B1509" s="1" t="str">
        <f>"184****3336"</f>
        <v>184****3336</v>
      </c>
      <c r="C1509" s="1" t="s">
        <v>170</v>
      </c>
      <c r="D1509" s="1" t="str">
        <f t="shared" si="156"/>
        <v>89177328</v>
      </c>
      <c r="E1509" s="1" t="s">
        <v>24</v>
      </c>
      <c r="F1509" s="1" t="str">
        <f t="shared" si="157"/>
        <v>0010</v>
      </c>
      <c r="G1509" s="1" t="str">
        <f>""</f>
        <v/>
      </c>
      <c r="H1509" s="1" t="str">
        <f>"0012"</f>
        <v>0012</v>
      </c>
      <c r="I1509" s="1" t="s">
        <v>612</v>
      </c>
      <c r="J1509" s="1" t="str">
        <f>"01043989720"</f>
        <v>01043989720</v>
      </c>
      <c r="K1509" s="1" t="str">
        <f>"2017-03-31 09:38:25"</f>
        <v>2017-03-31 09:38:25</v>
      </c>
      <c r="L1509" s="1" t="str">
        <f>"2017-03-31 09:38:34"</f>
        <v>2017-03-31 09:38:34</v>
      </c>
      <c r="M1509" s="2">
        <v>3.4282407407407407E-2</v>
      </c>
      <c r="N1509" s="1" t="s">
        <v>26</v>
      </c>
      <c r="O1509" s="1" t="s">
        <v>27</v>
      </c>
      <c r="P1509" s="2">
        <v>3.4386574074074076E-2</v>
      </c>
      <c r="Q1509" s="1" t="s">
        <v>1138</v>
      </c>
      <c r="R1509" s="1">
        <v>0</v>
      </c>
      <c r="S1509" s="1" t="str">
        <f>""</f>
        <v/>
      </c>
      <c r="T1509" s="1" t="s">
        <v>29</v>
      </c>
      <c r="U1509" s="1" t="s">
        <v>30</v>
      </c>
      <c r="V1509" s="1">
        <v>0</v>
      </c>
    </row>
    <row r="1510" spans="2:22" x14ac:dyDescent="0.15">
      <c r="B1510" s="1" t="str">
        <f>"186****8778"</f>
        <v>186****8778</v>
      </c>
      <c r="C1510" s="1" t="s">
        <v>23</v>
      </c>
      <c r="D1510" s="1" t="str">
        <f t="shared" si="156"/>
        <v>89177328</v>
      </c>
      <c r="E1510" s="1" t="s">
        <v>24</v>
      </c>
      <c r="F1510" s="1" t="str">
        <f t="shared" si="157"/>
        <v>0010</v>
      </c>
      <c r="G1510" s="1" t="str">
        <f>""</f>
        <v/>
      </c>
      <c r="H1510" s="1" t="str">
        <f>"0033"</f>
        <v>0033</v>
      </c>
      <c r="I1510" s="1" t="s">
        <v>106</v>
      </c>
      <c r="J1510" s="1" t="str">
        <f>"01043977567"</f>
        <v>01043977567</v>
      </c>
      <c r="K1510" s="1" t="str">
        <f>"2017-03-31 09:30:54"</f>
        <v>2017-03-31 09:30:54</v>
      </c>
      <c r="L1510" s="1" t="str">
        <f>"2017-03-31 09:31:00"</f>
        <v>2017-03-31 09:31:00</v>
      </c>
      <c r="M1510" s="2">
        <v>9.2708333333333341E-3</v>
      </c>
      <c r="N1510" s="1" t="s">
        <v>26</v>
      </c>
      <c r="O1510" s="1" t="s">
        <v>27</v>
      </c>
      <c r="P1510" s="2">
        <v>9.3402777777777772E-3</v>
      </c>
      <c r="Q1510" s="1" t="s">
        <v>1139</v>
      </c>
      <c r="R1510" s="1">
        <v>0</v>
      </c>
      <c r="S1510" s="1" t="str">
        <f>""</f>
        <v/>
      </c>
      <c r="T1510" s="1" t="s">
        <v>29</v>
      </c>
      <c r="U1510" s="1" t="s">
        <v>30</v>
      </c>
      <c r="V1510" s="1">
        <v>0</v>
      </c>
    </row>
    <row r="1511" spans="2:22" x14ac:dyDescent="0.15">
      <c r="B1511" s="1" t="str">
        <f>"188****3202"</f>
        <v>188****3202</v>
      </c>
      <c r="C1511" s="1" t="s">
        <v>23</v>
      </c>
      <c r="D1511" s="1" t="str">
        <f t="shared" si="156"/>
        <v>89177328</v>
      </c>
      <c r="E1511" s="1" t="s">
        <v>24</v>
      </c>
      <c r="F1511" s="1" t="str">
        <f t="shared" si="157"/>
        <v>0010</v>
      </c>
      <c r="G1511" s="1" t="str">
        <f>""</f>
        <v/>
      </c>
      <c r="H1511" s="1" t="str">
        <f>"0012"</f>
        <v>0012</v>
      </c>
      <c r="I1511" s="1" t="s">
        <v>612</v>
      </c>
      <c r="J1511" s="1" t="str">
        <f>"01043989720"</f>
        <v>01043989720</v>
      </c>
      <c r="K1511" s="1" t="str">
        <f>"2017-03-31 09:28:20"</f>
        <v>2017-03-31 09:28:20</v>
      </c>
      <c r="L1511" s="1" t="str">
        <f>"2017-03-31 09:28:30"</f>
        <v>2017-03-31 09:28:30</v>
      </c>
      <c r="M1511" s="2">
        <v>4.7800925925925919E-3</v>
      </c>
      <c r="N1511" s="1" t="s">
        <v>26</v>
      </c>
      <c r="O1511" s="1" t="s">
        <v>34</v>
      </c>
      <c r="P1511" s="2">
        <v>4.8958333333333328E-3</v>
      </c>
      <c r="Q1511" s="1" t="s">
        <v>1140</v>
      </c>
      <c r="R1511" s="1">
        <v>0</v>
      </c>
      <c r="S1511" s="1" t="str">
        <f>""</f>
        <v/>
      </c>
      <c r="T1511" s="1" t="s">
        <v>29</v>
      </c>
      <c r="U1511" s="1" t="s">
        <v>30</v>
      </c>
      <c r="V1511" s="1">
        <v>0</v>
      </c>
    </row>
    <row r="1512" spans="2:22" x14ac:dyDescent="0.15">
      <c r="B1512" s="1" t="str">
        <f>"0316015801221944"</f>
        <v>0316015801221944</v>
      </c>
      <c r="C1512" s="1" t="s">
        <v>51</v>
      </c>
      <c r="D1512" s="1" t="str">
        <f t="shared" si="156"/>
        <v>89177328</v>
      </c>
      <c r="E1512" s="1" t="s">
        <v>24</v>
      </c>
      <c r="F1512" s="1" t="str">
        <f t="shared" si="157"/>
        <v>0010</v>
      </c>
      <c r="G1512" s="1" t="str">
        <f>""</f>
        <v/>
      </c>
      <c r="H1512" s="1" t="str">
        <f>"0033"</f>
        <v>0033</v>
      </c>
      <c r="I1512" s="1" t="s">
        <v>106</v>
      </c>
      <c r="J1512" s="1" t="str">
        <f>"01043977567"</f>
        <v>01043977567</v>
      </c>
      <c r="K1512" s="1" t="str">
        <f>"2017-03-31 09:25:50"</f>
        <v>2017-03-31 09:25:50</v>
      </c>
      <c r="L1512" s="1" t="str">
        <f>"2017-03-31 09:25:59"</f>
        <v>2017-03-31 09:25:59</v>
      </c>
      <c r="M1512" s="2">
        <v>3.2523148148148151E-3</v>
      </c>
      <c r="N1512" s="1" t="s">
        <v>26</v>
      </c>
      <c r="O1512" s="1" t="s">
        <v>27</v>
      </c>
      <c r="P1512" s="2">
        <v>3.3564814814814811E-3</v>
      </c>
      <c r="Q1512" s="1" t="s">
        <v>1141</v>
      </c>
      <c r="R1512" s="1">
        <v>0</v>
      </c>
      <c r="S1512" s="1" t="str">
        <f>""</f>
        <v/>
      </c>
      <c r="T1512" s="1" t="s">
        <v>29</v>
      </c>
      <c r="U1512" s="1" t="s">
        <v>30</v>
      </c>
      <c r="V1512" s="1">
        <v>0</v>
      </c>
    </row>
    <row r="1513" spans="2:22" x14ac:dyDescent="0.15">
      <c r="B1513" s="1" t="str">
        <f>"010****1346"</f>
        <v>010****1346</v>
      </c>
      <c r="C1513" s="1" t="s">
        <v>23</v>
      </c>
      <c r="D1513" s="1" t="str">
        <f t="shared" si="156"/>
        <v>89177328</v>
      </c>
      <c r="E1513" s="1" t="s">
        <v>24</v>
      </c>
      <c r="F1513" s="1" t="str">
        <f t="shared" si="157"/>
        <v>0010</v>
      </c>
      <c r="G1513" s="1" t="str">
        <f>""</f>
        <v/>
      </c>
      <c r="H1513" s="1" t="str">
        <f>"0031"</f>
        <v>0031</v>
      </c>
      <c r="I1513" s="1" t="s">
        <v>95</v>
      </c>
      <c r="J1513" s="1" t="str">
        <f>"01043977565"</f>
        <v>01043977565</v>
      </c>
      <c r="K1513" s="1" t="str">
        <f>"2017-03-31 09:18:11"</f>
        <v>2017-03-31 09:18:11</v>
      </c>
      <c r="L1513" s="1" t="str">
        <f>"2017-03-31 09:18:20"</f>
        <v>2017-03-31 09:18:20</v>
      </c>
      <c r="M1513" s="2">
        <v>5.2893518518518515E-3</v>
      </c>
      <c r="N1513" s="1" t="s">
        <v>26</v>
      </c>
      <c r="O1513" s="1" t="s">
        <v>27</v>
      </c>
      <c r="P1513" s="2">
        <v>5.3935185185185188E-3</v>
      </c>
      <c r="Q1513" s="1" t="s">
        <v>1142</v>
      </c>
      <c r="R1513" s="1">
        <v>0</v>
      </c>
      <c r="S1513" s="1" t="str">
        <f>""</f>
        <v/>
      </c>
      <c r="T1513" s="1" t="s">
        <v>29</v>
      </c>
      <c r="U1513" s="1" t="s">
        <v>30</v>
      </c>
      <c r="V1513" s="1">
        <v>0</v>
      </c>
    </row>
    <row r="1514" spans="2:22" x14ac:dyDescent="0.15">
      <c r="B1514" s="1" t="str">
        <f>"183****0335"</f>
        <v>183****0335</v>
      </c>
      <c r="C1514" s="1" t="s">
        <v>23</v>
      </c>
      <c r="D1514" s="1" t="str">
        <f t="shared" si="156"/>
        <v>89177328</v>
      </c>
      <c r="E1514" s="1" t="s">
        <v>24</v>
      </c>
      <c r="F1514" s="1" t="str">
        <f t="shared" si="157"/>
        <v>0010</v>
      </c>
      <c r="G1514" s="1" t="str">
        <f>""</f>
        <v/>
      </c>
      <c r="H1514" s="1" t="str">
        <f>"0033"</f>
        <v>0033</v>
      </c>
      <c r="I1514" s="1" t="s">
        <v>106</v>
      </c>
      <c r="J1514" s="1" t="str">
        <f>"01043977567"</f>
        <v>01043977567</v>
      </c>
      <c r="K1514" s="1" t="str">
        <f>"2017-03-31 09:16:35"</f>
        <v>2017-03-31 09:16:35</v>
      </c>
      <c r="L1514" s="1" t="str">
        <f>"2017-03-31 09:16:45"</f>
        <v>2017-03-31 09:16:45</v>
      </c>
      <c r="M1514" s="2">
        <v>4.9074074074074072E-3</v>
      </c>
      <c r="N1514" s="1" t="s">
        <v>26</v>
      </c>
      <c r="O1514" s="1" t="s">
        <v>27</v>
      </c>
      <c r="P1514" s="2">
        <v>5.0231481481481481E-3</v>
      </c>
      <c r="Q1514" s="1" t="s">
        <v>1143</v>
      </c>
      <c r="R1514" s="1">
        <v>0</v>
      </c>
      <c r="S1514" s="1" t="str">
        <f>""</f>
        <v/>
      </c>
      <c r="T1514" s="1" t="s">
        <v>29</v>
      </c>
      <c r="U1514" s="1" t="s">
        <v>30</v>
      </c>
      <c r="V1514" s="1">
        <v>0</v>
      </c>
    </row>
    <row r="1515" spans="2:22" x14ac:dyDescent="0.15">
      <c r="B1515" s="1" t="str">
        <f>"010****0684"</f>
        <v>010****0684</v>
      </c>
      <c r="C1515" s="1" t="s">
        <v>23</v>
      </c>
      <c r="D1515" s="1" t="str">
        <f t="shared" si="156"/>
        <v>89177328</v>
      </c>
      <c r="E1515" s="1" t="s">
        <v>24</v>
      </c>
      <c r="F1515" s="1" t="str">
        <f t="shared" si="157"/>
        <v>0010</v>
      </c>
      <c r="G1515" s="1" t="str">
        <f>""</f>
        <v/>
      </c>
      <c r="H1515" s="1" t="str">
        <f>"0034"</f>
        <v>0034</v>
      </c>
      <c r="I1515" s="1" t="s">
        <v>31</v>
      </c>
      <c r="J1515" s="1" t="str">
        <f>"01043977568"</f>
        <v>01043977568</v>
      </c>
      <c r="K1515" s="1" t="str">
        <f>"2017-03-31 09:14:01"</f>
        <v>2017-03-31 09:14:01</v>
      </c>
      <c r="L1515" s="1" t="str">
        <f>"2017-03-31 09:14:10"</f>
        <v>2017-03-31 09:14:10</v>
      </c>
      <c r="M1515" s="2">
        <v>1.4513888888888889E-2</v>
      </c>
      <c r="N1515" s="1" t="s">
        <v>26</v>
      </c>
      <c r="O1515" s="1" t="s">
        <v>27</v>
      </c>
      <c r="P1515" s="2">
        <v>1.4618055555555556E-2</v>
      </c>
      <c r="Q1515" s="1" t="s">
        <v>1144</v>
      </c>
      <c r="R1515" s="1">
        <v>0</v>
      </c>
      <c r="S1515" s="1" t="str">
        <f>""</f>
        <v/>
      </c>
      <c r="T1515" s="1" t="s">
        <v>29</v>
      </c>
      <c r="U1515" s="1" t="s">
        <v>30</v>
      </c>
      <c r="V1515" s="1">
        <v>0</v>
      </c>
    </row>
    <row r="1516" spans="2:22" x14ac:dyDescent="0.15">
      <c r="B1516" s="1" t="str">
        <f>"136****4221"</f>
        <v>136****4221</v>
      </c>
      <c r="C1516" s="1" t="s">
        <v>23</v>
      </c>
      <c r="D1516" s="1" t="str">
        <f t="shared" si="156"/>
        <v>89177328</v>
      </c>
      <c r="E1516" s="1" t="s">
        <v>24</v>
      </c>
      <c r="F1516" s="1" t="str">
        <f t="shared" si="157"/>
        <v>0010</v>
      </c>
      <c r="G1516" s="1" t="str">
        <f>""</f>
        <v/>
      </c>
      <c r="H1516" s="1" t="str">
        <f>"0035"</f>
        <v>0035</v>
      </c>
      <c r="I1516" s="1" t="s">
        <v>25</v>
      </c>
      <c r="J1516" s="1" t="str">
        <f>"01043977569"</f>
        <v>01043977569</v>
      </c>
      <c r="K1516" s="1" t="str">
        <f>"2017-03-31 09:02:28"</f>
        <v>2017-03-31 09:02:28</v>
      </c>
      <c r="L1516" s="1" t="str">
        <f>"2017-03-31 09:02:38"</f>
        <v>2017-03-31 09:02:38</v>
      </c>
      <c r="M1516" s="2">
        <v>5.2893518518518515E-3</v>
      </c>
      <c r="N1516" s="1" t="s">
        <v>26</v>
      </c>
      <c r="O1516" s="1" t="s">
        <v>27</v>
      </c>
      <c r="P1516" s="2">
        <v>5.4050925925925924E-3</v>
      </c>
      <c r="Q1516" s="1" t="s">
        <v>1145</v>
      </c>
      <c r="R1516" s="1">
        <v>0</v>
      </c>
      <c r="S1516" s="1" t="str">
        <f>""</f>
        <v/>
      </c>
      <c r="T1516" s="1" t="s">
        <v>29</v>
      </c>
      <c r="U1516" s="1" t="s">
        <v>30</v>
      </c>
      <c r="V1516" s="1">
        <v>0</v>
      </c>
    </row>
    <row r="1517" spans="2:22" x14ac:dyDescent="0.15">
      <c r="B1517" s="1" t="str">
        <f>"0316133****5825"</f>
        <v>0316133****5825</v>
      </c>
      <c r="C1517" s="1" t="s">
        <v>51</v>
      </c>
      <c r="D1517" s="1" t="str">
        <f t="shared" si="156"/>
        <v>89177328</v>
      </c>
      <c r="E1517" s="1" t="s">
        <v>24</v>
      </c>
      <c r="F1517" s="1" t="str">
        <f t="shared" si="157"/>
        <v>0010</v>
      </c>
      <c r="G1517" s="1" t="str">
        <f>""</f>
        <v/>
      </c>
      <c r="H1517" s="1" t="str">
        <f>"0012"</f>
        <v>0012</v>
      </c>
      <c r="I1517" s="1" t="s">
        <v>612</v>
      </c>
      <c r="J1517" s="1" t="str">
        <f>"01043989720"</f>
        <v>01043989720</v>
      </c>
      <c r="K1517" s="1" t="str">
        <f>"2017-03-31 09:00:45"</f>
        <v>2017-03-31 09:00:45</v>
      </c>
      <c r="L1517" s="1" t="str">
        <f>"2017-03-31 09:00:56"</f>
        <v>2017-03-31 09:00:56</v>
      </c>
      <c r="M1517" s="2">
        <v>3.1944444444444442E-3</v>
      </c>
      <c r="N1517" s="1" t="s">
        <v>26</v>
      </c>
      <c r="O1517" s="1" t="s">
        <v>27</v>
      </c>
      <c r="P1517" s="2">
        <v>3.3217592592592591E-3</v>
      </c>
      <c r="Q1517" s="1" t="s">
        <v>1146</v>
      </c>
      <c r="R1517" s="1">
        <v>0</v>
      </c>
      <c r="S1517" s="1" t="str">
        <f>""</f>
        <v/>
      </c>
      <c r="T1517" s="1" t="s">
        <v>29</v>
      </c>
      <c r="U1517" s="1" t="s">
        <v>30</v>
      </c>
      <c r="V1517" s="1">
        <v>0</v>
      </c>
    </row>
    <row r="1518" spans="2:22" x14ac:dyDescent="0.15">
      <c r="B1518" s="1" t="str">
        <f>"155****1139"</f>
        <v>155****1139</v>
      </c>
      <c r="C1518" s="1" t="s">
        <v>1147</v>
      </c>
      <c r="D1518" s="1" t="str">
        <f t="shared" si="156"/>
        <v>89177328</v>
      </c>
      <c r="E1518" s="1" t="s">
        <v>24</v>
      </c>
      <c r="F1518" s="1" t="str">
        <f t="shared" si="157"/>
        <v>0010</v>
      </c>
      <c r="G1518" s="1" t="str">
        <f>""</f>
        <v/>
      </c>
      <c r="H1518" s="1" t="str">
        <f>"0010"</f>
        <v>0010</v>
      </c>
      <c r="I1518" s="1" t="s">
        <v>71</v>
      </c>
      <c r="J1518" s="1" t="str">
        <f>"01043977571"</f>
        <v>01043977571</v>
      </c>
      <c r="K1518" s="1" t="str">
        <f>"2017-03-31 08:59:42"</f>
        <v>2017-03-31 08:59:42</v>
      </c>
      <c r="L1518" s="1" t="str">
        <f>"2017-03-31 08:59:52"</f>
        <v>2017-03-31 08:59:52</v>
      </c>
      <c r="M1518" s="2">
        <v>1.8287037037037036E-2</v>
      </c>
      <c r="N1518" s="1" t="s">
        <v>26</v>
      </c>
      <c r="O1518" s="1" t="s">
        <v>27</v>
      </c>
      <c r="P1518" s="2">
        <v>1.8402777777777778E-2</v>
      </c>
      <c r="Q1518" s="1" t="s">
        <v>1148</v>
      </c>
      <c r="R1518" s="1">
        <v>0</v>
      </c>
      <c r="S1518" s="1" t="str">
        <f>""</f>
        <v/>
      </c>
      <c r="T1518" s="1" t="s">
        <v>29</v>
      </c>
      <c r="U1518" s="1" t="s">
        <v>30</v>
      </c>
      <c r="V1518" s="1">
        <v>0</v>
      </c>
    </row>
    <row r="1519" spans="2:22" x14ac:dyDescent="0.15">
      <c r="B1519" s="1" t="str">
        <f>"185****7481"</f>
        <v>185****7481</v>
      </c>
      <c r="C1519" s="1" t="s">
        <v>23</v>
      </c>
      <c r="D1519" s="1" t="str">
        <f t="shared" si="156"/>
        <v>89177328</v>
      </c>
      <c r="E1519" s="1" t="s">
        <v>24</v>
      </c>
      <c r="F1519" s="1" t="str">
        <f t="shared" si="157"/>
        <v>0010</v>
      </c>
      <c r="G1519" s="1" t="str">
        <f>""</f>
        <v/>
      </c>
      <c r="H1519" s="1" t="str">
        <f>"0034"</f>
        <v>0034</v>
      </c>
      <c r="I1519" s="1" t="s">
        <v>31</v>
      </c>
      <c r="J1519" s="1" t="str">
        <f>"01043977568"</f>
        <v>01043977568</v>
      </c>
      <c r="K1519" s="1" t="str">
        <f>"2017-03-31 08:40:59"</f>
        <v>2017-03-31 08:40:59</v>
      </c>
      <c r="L1519" s="1" t="str">
        <f>"2017-03-31 08:41:11"</f>
        <v>2017-03-31 08:41:11</v>
      </c>
      <c r="M1519" s="2">
        <v>3.0902777777777782E-3</v>
      </c>
      <c r="N1519" s="1" t="s">
        <v>26</v>
      </c>
      <c r="O1519" s="1" t="s">
        <v>34</v>
      </c>
      <c r="P1519" s="2">
        <v>3.2291666666666666E-3</v>
      </c>
      <c r="Q1519" s="1" t="s">
        <v>1149</v>
      </c>
      <c r="R1519" s="1">
        <v>0</v>
      </c>
      <c r="S1519" s="1" t="str">
        <f>""</f>
        <v/>
      </c>
      <c r="T1519" s="1" t="s">
        <v>29</v>
      </c>
      <c r="U1519" s="1" t="s">
        <v>30</v>
      </c>
      <c r="V1519" s="1">
        <v>0</v>
      </c>
    </row>
    <row r="1520" spans="2:22" x14ac:dyDescent="0.15">
      <c r="B1520" s="1" t="str">
        <f>"130****1705"</f>
        <v>130****1705</v>
      </c>
      <c r="C1520" s="1" t="s">
        <v>78</v>
      </c>
      <c r="D1520" s="1" t="str">
        <f t="shared" si="156"/>
        <v>89177328</v>
      </c>
      <c r="E1520" s="1" t="s">
        <v>24</v>
      </c>
      <c r="F1520" s="1" t="str">
        <f t="shared" si="157"/>
        <v>0010</v>
      </c>
      <c r="G1520" s="1" t="str">
        <f>""</f>
        <v/>
      </c>
      <c r="H1520" s="1" t="str">
        <f>"0034"</f>
        <v>0034</v>
      </c>
      <c r="I1520" s="1" t="s">
        <v>31</v>
      </c>
      <c r="J1520" s="1" t="str">
        <f>"01043977568"</f>
        <v>01043977568</v>
      </c>
      <c r="K1520" s="1" t="str">
        <f>"2017-03-31 08:20:29"</f>
        <v>2017-03-31 08:20:29</v>
      </c>
      <c r="L1520" s="1" t="str">
        <f>"2017-03-31 08:20:42"</f>
        <v>2017-03-31 08:20:42</v>
      </c>
      <c r="M1520" s="2">
        <v>1.2974537037037036E-2</v>
      </c>
      <c r="N1520" s="1" t="s">
        <v>26</v>
      </c>
      <c r="O1520" s="1" t="s">
        <v>27</v>
      </c>
      <c r="P1520" s="2">
        <v>1.3125E-2</v>
      </c>
      <c r="Q1520" s="1" t="s">
        <v>1150</v>
      </c>
      <c r="R1520" s="1">
        <v>0</v>
      </c>
      <c r="S1520" s="1" t="str">
        <f>""</f>
        <v/>
      </c>
      <c r="T1520" s="1" t="s">
        <v>29</v>
      </c>
      <c r="U1520" s="1" t="s">
        <v>30</v>
      </c>
      <c r="V1520" s="1">
        <v>0</v>
      </c>
    </row>
    <row r="1521" spans="2:22" x14ac:dyDescent="0.15">
      <c r="B1521" s="1" t="str">
        <f>"114"</f>
        <v>114</v>
      </c>
      <c r="C1521" s="1" t="s">
        <v>159</v>
      </c>
      <c r="D1521" s="1" t="str">
        <f t="shared" si="156"/>
        <v>89177328</v>
      </c>
      <c r="E1521" s="1" t="s">
        <v>24</v>
      </c>
      <c r="F1521" s="1" t="str">
        <f t="shared" si="157"/>
        <v>0010</v>
      </c>
      <c r="G1521" s="1" t="str">
        <f>""</f>
        <v/>
      </c>
      <c r="H1521" s="1" t="str">
        <f>"0031"</f>
        <v>0031</v>
      </c>
      <c r="I1521" s="1" t="s">
        <v>95</v>
      </c>
      <c r="J1521" s="1" t="str">
        <f>"01043977565"</f>
        <v>01043977565</v>
      </c>
      <c r="K1521" s="1" t="str">
        <f>"2017-03-31 08:01:42"</f>
        <v>2017-03-31 08:01:42</v>
      </c>
      <c r="L1521" s="1" t="str">
        <f>"2017-03-31 08:01:53"</f>
        <v>2017-03-31 08:01:53</v>
      </c>
      <c r="M1521" s="2">
        <v>3.0162037037037032E-2</v>
      </c>
      <c r="N1521" s="1" t="s">
        <v>26</v>
      </c>
      <c r="O1521" s="1" t="s">
        <v>27</v>
      </c>
      <c r="P1521" s="2">
        <v>3.0289351851851855E-2</v>
      </c>
      <c r="Q1521" s="1" t="s">
        <v>1151</v>
      </c>
      <c r="R1521" s="1">
        <v>0</v>
      </c>
      <c r="S1521" s="1" t="str">
        <f>""</f>
        <v/>
      </c>
      <c r="T1521" s="1" t="s">
        <v>29</v>
      </c>
      <c r="U1521" s="1" t="s">
        <v>30</v>
      </c>
      <c r="V1521" s="1">
        <v>0</v>
      </c>
    </row>
    <row r="1522" spans="2:22" x14ac:dyDescent="0.15">
      <c r="B1522" s="1" t="str">
        <f>"139****9539"</f>
        <v>139****9539</v>
      </c>
      <c r="C1522" s="1" t="s">
        <v>904</v>
      </c>
      <c r="D1522" s="1" t="str">
        <f t="shared" si="156"/>
        <v>89177328</v>
      </c>
      <c r="E1522" s="1" t="s">
        <v>181</v>
      </c>
      <c r="F1522" s="1" t="str">
        <f>""</f>
        <v/>
      </c>
      <c r="G1522" s="1" t="str">
        <f>""</f>
        <v/>
      </c>
      <c r="H1522" s="1" t="str">
        <f>""</f>
        <v/>
      </c>
      <c r="I1522" s="1" t="str">
        <f>""</f>
        <v/>
      </c>
      <c r="J1522" s="1" t="str">
        <f>""</f>
        <v/>
      </c>
      <c r="K1522" s="1" t="str">
        <f>"2017-03-30 21:06:05"</f>
        <v>2017-03-30 21:06:05</v>
      </c>
      <c r="L1522" s="1" t="str">
        <f>"2017-03-30 21:06:16"</f>
        <v>2017-03-30 21:06:16</v>
      </c>
      <c r="M1522" s="2">
        <v>0</v>
      </c>
      <c r="N1522" s="1" t="s">
        <v>55</v>
      </c>
      <c r="O1522" s="1" t="s">
        <v>27</v>
      </c>
      <c r="P1522" s="2">
        <v>1.9675925925925926E-4</v>
      </c>
      <c r="Q1522" s="1" t="str">
        <f>""</f>
        <v/>
      </c>
      <c r="R1522" s="1">
        <v>0</v>
      </c>
      <c r="S1522" s="1" t="str">
        <f>""</f>
        <v/>
      </c>
      <c r="T1522" s="1" t="s">
        <v>183</v>
      </c>
      <c r="U1522" s="1" t="s">
        <v>30</v>
      </c>
      <c r="V1522" s="1">
        <v>0</v>
      </c>
    </row>
    <row r="1523" spans="2:22" x14ac:dyDescent="0.15">
      <c r="B1523" s="1" t="str">
        <f>"035****0369"</f>
        <v>035****0369</v>
      </c>
      <c r="C1523" s="1" t="s">
        <v>904</v>
      </c>
      <c r="D1523" s="1" t="str">
        <f t="shared" si="156"/>
        <v>89177328</v>
      </c>
      <c r="E1523" s="1" t="s">
        <v>181</v>
      </c>
      <c r="F1523" s="1" t="str">
        <f>""</f>
        <v/>
      </c>
      <c r="G1523" s="1" t="str">
        <f>""</f>
        <v/>
      </c>
      <c r="H1523" s="1" t="str">
        <f>""</f>
        <v/>
      </c>
      <c r="I1523" s="1" t="str">
        <f>""</f>
        <v/>
      </c>
      <c r="J1523" s="1" t="str">
        <f>""</f>
        <v/>
      </c>
      <c r="K1523" s="1" t="str">
        <f>"2017-03-30 21:05:01"</f>
        <v>2017-03-30 21:05:01</v>
      </c>
      <c r="L1523" s="1" t="str">
        <f>"2017-03-30 21:05:11"</f>
        <v>2017-03-30 21:05:11</v>
      </c>
      <c r="M1523" s="2">
        <v>1.1574074074074073E-5</v>
      </c>
      <c r="N1523" s="1" t="s">
        <v>55</v>
      </c>
      <c r="O1523" s="1" t="s">
        <v>27</v>
      </c>
      <c r="P1523" s="2">
        <v>2.0833333333333335E-4</v>
      </c>
      <c r="Q1523" s="1" t="str">
        <f>""</f>
        <v/>
      </c>
      <c r="R1523" s="1">
        <v>0</v>
      </c>
      <c r="S1523" s="1" t="str">
        <f>""</f>
        <v/>
      </c>
      <c r="T1523" s="1" t="s">
        <v>183</v>
      </c>
      <c r="U1523" s="1" t="s">
        <v>30</v>
      </c>
      <c r="V1523" s="1">
        <v>0</v>
      </c>
    </row>
    <row r="1524" spans="2:22" x14ac:dyDescent="0.15">
      <c r="B1524" s="1" t="str">
        <f>"136****5873"</f>
        <v>136****5873</v>
      </c>
      <c r="C1524" s="1" t="s">
        <v>23</v>
      </c>
      <c r="D1524" s="1" t="str">
        <f t="shared" si="156"/>
        <v>89177328</v>
      </c>
      <c r="E1524" s="1" t="s">
        <v>24</v>
      </c>
      <c r="F1524" s="1" t="str">
        <f>"0010"</f>
        <v>0010</v>
      </c>
      <c r="G1524" s="1" t="str">
        <f>""</f>
        <v/>
      </c>
      <c r="H1524" s="1" t="str">
        <f>"0017"</f>
        <v>0017</v>
      </c>
      <c r="I1524" s="1" t="s">
        <v>135</v>
      </c>
      <c r="J1524" s="1" t="str">
        <f>"01043989717"</f>
        <v>01043989717</v>
      </c>
      <c r="K1524" s="1" t="str">
        <f>"2017-03-30 20:43:01"</f>
        <v>2017-03-30 20:43:01</v>
      </c>
      <c r="L1524" s="1" t="str">
        <f>"-"</f>
        <v>-</v>
      </c>
      <c r="M1524" s="2">
        <v>0</v>
      </c>
      <c r="N1524" s="1" t="s">
        <v>33</v>
      </c>
      <c r="O1524" s="1" t="s">
        <v>34</v>
      </c>
      <c r="P1524" s="2">
        <v>2.3148148148148147E-5</v>
      </c>
      <c r="Q1524" s="1" t="str">
        <f>""</f>
        <v/>
      </c>
      <c r="R1524" s="1">
        <v>0</v>
      </c>
      <c r="S1524" s="1" t="str">
        <f>""</f>
        <v/>
      </c>
      <c r="T1524" s="1" t="s">
        <v>29</v>
      </c>
      <c r="U1524" s="1" t="s">
        <v>30</v>
      </c>
      <c r="V1524" s="1">
        <v>0</v>
      </c>
    </row>
    <row r="1525" spans="2:22" x14ac:dyDescent="0.15">
      <c r="B1525" s="1" t="str">
        <f>"130****5656"</f>
        <v>130****5656</v>
      </c>
      <c r="C1525" s="1" t="s">
        <v>112</v>
      </c>
      <c r="D1525" s="1" t="str">
        <f t="shared" si="156"/>
        <v>89177328</v>
      </c>
      <c r="E1525" s="1" t="s">
        <v>24</v>
      </c>
      <c r="F1525" s="1" t="str">
        <f>"0010"</f>
        <v>0010</v>
      </c>
      <c r="G1525" s="1" t="str">
        <f>""</f>
        <v/>
      </c>
      <c r="H1525" s="1" t="str">
        <f>"0010"</f>
        <v>0010</v>
      </c>
      <c r="I1525" s="1" t="s">
        <v>71</v>
      </c>
      <c r="J1525" s="1" t="str">
        <f>"01043977571"</f>
        <v>01043977571</v>
      </c>
      <c r="K1525" s="1" t="str">
        <f>"2017-03-30 20:32:45"</f>
        <v>2017-03-30 20:32:45</v>
      </c>
      <c r="L1525" s="1" t="str">
        <f>"2017-03-30 20:32:49"</f>
        <v>2017-03-30 20:32:49</v>
      </c>
      <c r="M1525" s="2">
        <v>4.7453703703703704E-4</v>
      </c>
      <c r="N1525" s="1" t="s">
        <v>26</v>
      </c>
      <c r="O1525" s="1" t="s">
        <v>34</v>
      </c>
      <c r="P1525" s="2">
        <v>5.2083333333333333E-4</v>
      </c>
      <c r="Q1525" s="1" t="s">
        <v>1152</v>
      </c>
      <c r="R1525" s="1">
        <v>0</v>
      </c>
      <c r="S1525" s="1" t="str">
        <f>""</f>
        <v/>
      </c>
      <c r="T1525" s="1" t="s">
        <v>1153</v>
      </c>
      <c r="U1525" s="1" t="s">
        <v>30</v>
      </c>
      <c r="V1525" s="1">
        <v>0</v>
      </c>
    </row>
    <row r="1526" spans="2:22" x14ac:dyDescent="0.15">
      <c r="B1526" s="1" t="str">
        <f>"130****5656"</f>
        <v>130****5656</v>
      </c>
      <c r="C1526" s="1" t="s">
        <v>112</v>
      </c>
      <c r="D1526" s="1" t="str">
        <f t="shared" si="156"/>
        <v>89177328</v>
      </c>
      <c r="E1526" s="1" t="s">
        <v>24</v>
      </c>
      <c r="F1526" s="1" t="str">
        <f>"0010"</f>
        <v>0010</v>
      </c>
      <c r="G1526" s="1" t="str">
        <f>""</f>
        <v/>
      </c>
      <c r="H1526" s="1" t="str">
        <f>"0017"</f>
        <v>0017</v>
      </c>
      <c r="I1526" s="1" t="s">
        <v>135</v>
      </c>
      <c r="J1526" s="1" t="str">
        <f>"01043989717"</f>
        <v>01043989717</v>
      </c>
      <c r="K1526" s="1" t="str">
        <f>"2017-03-30 20:31:40"</f>
        <v>2017-03-30 20:31:40</v>
      </c>
      <c r="L1526" s="1" t="str">
        <f>"-"</f>
        <v>-</v>
      </c>
      <c r="M1526" s="2">
        <v>0</v>
      </c>
      <c r="N1526" s="1" t="s">
        <v>33</v>
      </c>
      <c r="O1526" s="1" t="s">
        <v>34</v>
      </c>
      <c r="P1526" s="2">
        <v>5.7870370370370366E-5</v>
      </c>
      <c r="Q1526" s="1" t="str">
        <f>""</f>
        <v/>
      </c>
      <c r="R1526" s="1">
        <v>0</v>
      </c>
      <c r="S1526" s="1" t="str">
        <f>""</f>
        <v/>
      </c>
      <c r="T1526" s="1" t="s">
        <v>29</v>
      </c>
      <c r="U1526" s="1" t="s">
        <v>30</v>
      </c>
      <c r="V1526" s="1">
        <v>0</v>
      </c>
    </row>
    <row r="1527" spans="2:22" x14ac:dyDescent="0.15">
      <c r="B1527" s="1" t="str">
        <f>"130****5656"</f>
        <v>130****5656</v>
      </c>
      <c r="C1527" s="1" t="s">
        <v>112</v>
      </c>
      <c r="D1527" s="1" t="str">
        <f>"4000108333"</f>
        <v>4000108333</v>
      </c>
      <c r="E1527" s="1" t="s">
        <v>53</v>
      </c>
      <c r="F1527" s="1" t="str">
        <f>""</f>
        <v/>
      </c>
      <c r="G1527" s="1" t="str">
        <f>""</f>
        <v/>
      </c>
      <c r="H1527" s="1" t="str">
        <f>""</f>
        <v/>
      </c>
      <c r="I1527" s="1" t="str">
        <f>""</f>
        <v/>
      </c>
      <c r="J1527" s="1" t="str">
        <f>""</f>
        <v/>
      </c>
      <c r="K1527" s="1" t="str">
        <f>"2017-03-30 20:30:21"</f>
        <v>2017-03-30 20:30:21</v>
      </c>
      <c r="L1527" s="1" t="str">
        <f>"-"</f>
        <v>-</v>
      </c>
      <c r="M1527" s="2">
        <v>0</v>
      </c>
      <c r="N1527" s="1" t="s">
        <v>55</v>
      </c>
      <c r="O1527" s="1" t="s">
        <v>34</v>
      </c>
      <c r="P1527" s="2">
        <v>6.9444444444444444E-5</v>
      </c>
      <c r="Q1527" s="1" t="str">
        <f>""</f>
        <v/>
      </c>
      <c r="R1527" s="1">
        <v>0.12</v>
      </c>
      <c r="S1527" s="1" t="str">
        <f>""</f>
        <v/>
      </c>
      <c r="T1527" s="1" t="s">
        <v>29</v>
      </c>
      <c r="U1527" s="1" t="s">
        <v>30</v>
      </c>
      <c r="V1527" s="1">
        <v>0</v>
      </c>
    </row>
    <row r="1528" spans="2:22" x14ac:dyDescent="0.15">
      <c r="B1528" s="1" t="str">
        <f>"131****3518"</f>
        <v>131****3518</v>
      </c>
      <c r="C1528" s="1" t="s">
        <v>23</v>
      </c>
      <c r="D1528" s="1" t="str">
        <f t="shared" ref="D1528:D1549" si="160">"89177328"</f>
        <v>89177328</v>
      </c>
      <c r="E1528" s="1" t="s">
        <v>24</v>
      </c>
      <c r="F1528" s="1" t="str">
        <f t="shared" ref="F1528:F1549" si="161">"0010"</f>
        <v>0010</v>
      </c>
      <c r="G1528" s="1" t="str">
        <f>""</f>
        <v/>
      </c>
      <c r="H1528" s="1" t="str">
        <f>""</f>
        <v/>
      </c>
      <c r="I1528" s="1" t="str">
        <f>""</f>
        <v/>
      </c>
      <c r="J1528" s="1" t="str">
        <f>""</f>
        <v/>
      </c>
      <c r="K1528" s="1" t="str">
        <f>"2017-03-30 20:22:22"</f>
        <v>2017-03-30 20:22:22</v>
      </c>
      <c r="L1528" s="1" t="str">
        <f>"-"</f>
        <v>-</v>
      </c>
      <c r="M1528" s="2">
        <v>0</v>
      </c>
      <c r="N1528" s="1" t="s">
        <v>55</v>
      </c>
      <c r="O1528" s="1" t="s">
        <v>34</v>
      </c>
      <c r="P1528" s="2">
        <v>1.2384259259259258E-3</v>
      </c>
      <c r="Q1528" s="1" t="str">
        <f>""</f>
        <v/>
      </c>
      <c r="R1528" s="1">
        <v>0</v>
      </c>
      <c r="S1528" s="1" t="str">
        <f>""</f>
        <v/>
      </c>
      <c r="T1528" s="1" t="s">
        <v>29</v>
      </c>
      <c r="U1528" s="1" t="s">
        <v>30</v>
      </c>
      <c r="V1528" s="1">
        <v>0</v>
      </c>
    </row>
    <row r="1529" spans="2:22" x14ac:dyDescent="0.15">
      <c r="B1529" s="1" t="str">
        <f>"114"</f>
        <v>114</v>
      </c>
      <c r="C1529" s="1" t="s">
        <v>159</v>
      </c>
      <c r="D1529" s="1" t="str">
        <f t="shared" si="160"/>
        <v>89177328</v>
      </c>
      <c r="E1529" s="1" t="s">
        <v>24</v>
      </c>
      <c r="F1529" s="1" t="str">
        <f t="shared" si="161"/>
        <v>0010</v>
      </c>
      <c r="G1529" s="1" t="str">
        <f>""</f>
        <v/>
      </c>
      <c r="H1529" s="1" t="str">
        <f>""</f>
        <v/>
      </c>
      <c r="I1529" s="1" t="str">
        <f>""</f>
        <v/>
      </c>
      <c r="J1529" s="1" t="str">
        <f>""</f>
        <v/>
      </c>
      <c r="K1529" s="1" t="str">
        <f>"2017-03-30 20:16:49"</f>
        <v>2017-03-30 20:16:49</v>
      </c>
      <c r="L1529" s="1" t="str">
        <f>"-"</f>
        <v>-</v>
      </c>
      <c r="M1529" s="2">
        <v>0</v>
      </c>
      <c r="N1529" s="1" t="s">
        <v>55</v>
      </c>
      <c r="O1529" s="1" t="s">
        <v>34</v>
      </c>
      <c r="P1529" s="2">
        <v>1.1574074074074073E-5</v>
      </c>
      <c r="Q1529" s="1" t="str">
        <f>""</f>
        <v/>
      </c>
      <c r="R1529" s="1">
        <v>0</v>
      </c>
      <c r="S1529" s="1" t="str">
        <f>""</f>
        <v/>
      </c>
      <c r="T1529" s="1" t="s">
        <v>29</v>
      </c>
      <c r="U1529" s="1" t="s">
        <v>30</v>
      </c>
      <c r="V1529" s="1">
        <v>0</v>
      </c>
    </row>
    <row r="1530" spans="2:22" x14ac:dyDescent="0.15">
      <c r="B1530" s="1" t="str">
        <f>"135****0601"</f>
        <v>135****0601</v>
      </c>
      <c r="C1530" s="1" t="s">
        <v>23</v>
      </c>
      <c r="D1530" s="1" t="str">
        <f t="shared" si="160"/>
        <v>89177328</v>
      </c>
      <c r="E1530" s="1" t="s">
        <v>24</v>
      </c>
      <c r="F1530" s="1" t="str">
        <f t="shared" si="161"/>
        <v>0010</v>
      </c>
      <c r="G1530" s="1" t="str">
        <f>""</f>
        <v/>
      </c>
      <c r="H1530" s="1" t="str">
        <f>""</f>
        <v/>
      </c>
      <c r="I1530" s="1" t="str">
        <f>""</f>
        <v/>
      </c>
      <c r="J1530" s="1" t="str">
        <f>""</f>
        <v/>
      </c>
      <c r="K1530" s="1" t="str">
        <f>"2017-03-30 20:13:38"</f>
        <v>2017-03-30 20:13:38</v>
      </c>
      <c r="L1530" s="1" t="str">
        <f>"-"</f>
        <v>-</v>
      </c>
      <c r="M1530" s="2">
        <v>0</v>
      </c>
      <c r="N1530" s="1" t="s">
        <v>55</v>
      </c>
      <c r="O1530" s="1" t="s">
        <v>34</v>
      </c>
      <c r="P1530" s="2">
        <v>1.1574074074074073E-5</v>
      </c>
      <c r="Q1530" s="1" t="str">
        <f>""</f>
        <v/>
      </c>
      <c r="R1530" s="1">
        <v>0</v>
      </c>
      <c r="S1530" s="1" t="str">
        <f>""</f>
        <v/>
      </c>
      <c r="T1530" s="1" t="s">
        <v>29</v>
      </c>
      <c r="U1530" s="1" t="s">
        <v>30</v>
      </c>
      <c r="V1530" s="1">
        <v>0</v>
      </c>
    </row>
    <row r="1531" spans="2:22" x14ac:dyDescent="0.15">
      <c r="B1531" s="1" t="str">
        <f>"137****3014"</f>
        <v>137****3014</v>
      </c>
      <c r="C1531" s="1" t="s">
        <v>23</v>
      </c>
      <c r="D1531" s="1" t="str">
        <f t="shared" si="160"/>
        <v>89177328</v>
      </c>
      <c r="E1531" s="1" t="s">
        <v>24</v>
      </c>
      <c r="F1531" s="1" t="str">
        <f t="shared" si="161"/>
        <v>0010</v>
      </c>
      <c r="G1531" s="1" t="str">
        <f>""</f>
        <v/>
      </c>
      <c r="H1531" s="1" t="str">
        <f>"0035"</f>
        <v>0035</v>
      </c>
      <c r="I1531" s="1" t="s">
        <v>25</v>
      </c>
      <c r="J1531" s="1" t="str">
        <f>"01043977569"</f>
        <v>01043977569</v>
      </c>
      <c r="K1531" s="1" t="str">
        <f>"2017-03-30 20:12:58"</f>
        <v>2017-03-30 20:12:58</v>
      </c>
      <c r="L1531" s="1" t="str">
        <f>"2017-03-30 20:13:07"</f>
        <v>2017-03-30 20:13:07</v>
      </c>
      <c r="M1531" s="2">
        <v>1.1018518518518518E-2</v>
      </c>
      <c r="N1531" s="1" t="s">
        <v>26</v>
      </c>
      <c r="O1531" s="1" t="s">
        <v>34</v>
      </c>
      <c r="P1531" s="2">
        <v>1.1122685185185185E-2</v>
      </c>
      <c r="Q1531" s="1" t="s">
        <v>1154</v>
      </c>
      <c r="R1531" s="1">
        <v>0</v>
      </c>
      <c r="S1531" s="1" t="str">
        <f>""</f>
        <v/>
      </c>
      <c r="T1531" s="1" t="s">
        <v>29</v>
      </c>
      <c r="U1531" s="1" t="s">
        <v>30</v>
      </c>
      <c r="V1531" s="1">
        <v>0</v>
      </c>
    </row>
    <row r="1532" spans="2:22" x14ac:dyDescent="0.15">
      <c r="B1532" s="1" t="str">
        <f>"159****0666"</f>
        <v>159****0666</v>
      </c>
      <c r="C1532" s="1" t="s">
        <v>1155</v>
      </c>
      <c r="D1532" s="1" t="str">
        <f t="shared" si="160"/>
        <v>89177328</v>
      </c>
      <c r="E1532" s="1" t="s">
        <v>24</v>
      </c>
      <c r="F1532" s="1" t="str">
        <f t="shared" si="161"/>
        <v>0010</v>
      </c>
      <c r="G1532" s="1" t="str">
        <f>""</f>
        <v/>
      </c>
      <c r="H1532" s="1" t="str">
        <f>"0035"</f>
        <v>0035</v>
      </c>
      <c r="I1532" s="1" t="s">
        <v>25</v>
      </c>
      <c r="J1532" s="1" t="str">
        <f>"01043977569"</f>
        <v>01043977569</v>
      </c>
      <c r="K1532" s="1" t="str">
        <f>"2017-03-30 19:48:12"</f>
        <v>2017-03-30 19:48:12</v>
      </c>
      <c r="L1532" s="1" t="str">
        <f>"2017-03-30 19:48:21"</f>
        <v>2017-03-30 19:48:21</v>
      </c>
      <c r="M1532" s="2">
        <v>1.4282407407407409E-2</v>
      </c>
      <c r="N1532" s="1" t="s">
        <v>26</v>
      </c>
      <c r="O1532" s="1" t="s">
        <v>27</v>
      </c>
      <c r="P1532" s="2">
        <v>1.4386574074074072E-2</v>
      </c>
      <c r="Q1532" s="1" t="s">
        <v>1156</v>
      </c>
      <c r="R1532" s="1">
        <v>0</v>
      </c>
      <c r="S1532" s="1" t="str">
        <f>""</f>
        <v/>
      </c>
      <c r="T1532" s="1" t="s">
        <v>29</v>
      </c>
      <c r="U1532" s="1" t="s">
        <v>30</v>
      </c>
      <c r="V1532" s="1">
        <v>0</v>
      </c>
    </row>
    <row r="1533" spans="2:22" x14ac:dyDescent="0.15">
      <c r="B1533" s="1" t="str">
        <f>"116114"</f>
        <v>116114</v>
      </c>
      <c r="C1533" s="1" t="s">
        <v>159</v>
      </c>
      <c r="D1533" s="1" t="str">
        <f t="shared" si="160"/>
        <v>89177328</v>
      </c>
      <c r="E1533" s="1" t="s">
        <v>24</v>
      </c>
      <c r="F1533" s="1" t="str">
        <f t="shared" si="161"/>
        <v>0010</v>
      </c>
      <c r="G1533" s="1" t="str">
        <f>""</f>
        <v/>
      </c>
      <c r="H1533" s="1" t="str">
        <f>"0017"</f>
        <v>0017</v>
      </c>
      <c r="I1533" s="1" t="s">
        <v>135</v>
      </c>
      <c r="J1533" s="1" t="str">
        <f>"01043989717"</f>
        <v>01043989717</v>
      </c>
      <c r="K1533" s="1" t="str">
        <f>"2017-03-30 19:36:57"</f>
        <v>2017-03-30 19:36:57</v>
      </c>
      <c r="L1533" s="1" t="str">
        <f>"-"</f>
        <v>-</v>
      </c>
      <c r="M1533" s="2">
        <v>0</v>
      </c>
      <c r="N1533" s="1" t="s">
        <v>33</v>
      </c>
      <c r="O1533" s="1" t="s">
        <v>34</v>
      </c>
      <c r="P1533" s="2">
        <v>1.1574074074074073E-5</v>
      </c>
      <c r="Q1533" s="1" t="str">
        <f>""</f>
        <v/>
      </c>
      <c r="R1533" s="1">
        <v>0</v>
      </c>
      <c r="S1533" s="1" t="str">
        <f>""</f>
        <v/>
      </c>
      <c r="T1533" s="1" t="s">
        <v>29</v>
      </c>
      <c r="U1533" s="1" t="s">
        <v>30</v>
      </c>
      <c r="V1533" s="1">
        <v>0</v>
      </c>
    </row>
    <row r="1534" spans="2:22" x14ac:dyDescent="0.15">
      <c r="B1534" s="1" t="str">
        <f>"138****7685"</f>
        <v>138****7685</v>
      </c>
      <c r="C1534" s="1" t="s">
        <v>23</v>
      </c>
      <c r="D1534" s="1" t="str">
        <f t="shared" si="160"/>
        <v>89177328</v>
      </c>
      <c r="E1534" s="1" t="s">
        <v>24</v>
      </c>
      <c r="F1534" s="1" t="str">
        <f t="shared" si="161"/>
        <v>0010</v>
      </c>
      <c r="G1534" s="1" t="str">
        <f>""</f>
        <v/>
      </c>
      <c r="H1534" s="1" t="str">
        <f>"0018"</f>
        <v>0018</v>
      </c>
      <c r="I1534" s="1" t="s">
        <v>36</v>
      </c>
      <c r="J1534" s="1" t="str">
        <f>"01043977572"</f>
        <v>01043977572</v>
      </c>
      <c r="K1534" s="1" t="str">
        <f>"2017-03-30 19:33:38"</f>
        <v>2017-03-30 19:33:38</v>
      </c>
      <c r="L1534" s="1" t="str">
        <f>"2017-03-30 19:33:48"</f>
        <v>2017-03-30 19:33:48</v>
      </c>
      <c r="M1534" s="2">
        <v>1.5972222222222224E-2</v>
      </c>
      <c r="N1534" s="1" t="s">
        <v>26</v>
      </c>
      <c r="O1534" s="1" t="s">
        <v>34</v>
      </c>
      <c r="P1534" s="2">
        <v>1.6087962962962964E-2</v>
      </c>
      <c r="Q1534" s="1" t="s">
        <v>1157</v>
      </c>
      <c r="R1534" s="1">
        <v>0</v>
      </c>
      <c r="S1534" s="1" t="str">
        <f>""</f>
        <v/>
      </c>
      <c r="T1534" s="1" t="s">
        <v>29</v>
      </c>
      <c r="U1534" s="1" t="s">
        <v>30</v>
      </c>
      <c r="V1534" s="1">
        <v>0</v>
      </c>
    </row>
    <row r="1535" spans="2:22" x14ac:dyDescent="0.15">
      <c r="B1535" s="1" t="str">
        <f>"136****2361"</f>
        <v>136****2361</v>
      </c>
      <c r="C1535" s="1" t="s">
        <v>23</v>
      </c>
      <c r="D1535" s="1" t="str">
        <f t="shared" si="160"/>
        <v>89177328</v>
      </c>
      <c r="E1535" s="1" t="s">
        <v>24</v>
      </c>
      <c r="F1535" s="1" t="str">
        <f t="shared" si="161"/>
        <v>0010</v>
      </c>
      <c r="G1535" s="1" t="str">
        <f>""</f>
        <v/>
      </c>
      <c r="H1535" s="1" t="str">
        <f>"0035"</f>
        <v>0035</v>
      </c>
      <c r="I1535" s="1" t="s">
        <v>25</v>
      </c>
      <c r="J1535" s="1" t="str">
        <f>"01043977569"</f>
        <v>01043977569</v>
      </c>
      <c r="K1535" s="1" t="str">
        <f>"2017-03-30 19:15:53"</f>
        <v>2017-03-30 19:15:53</v>
      </c>
      <c r="L1535" s="1" t="str">
        <f>"2017-03-30 19:16:03"</f>
        <v>2017-03-30 19:16:03</v>
      </c>
      <c r="M1535" s="2">
        <v>7.4537037037037028E-3</v>
      </c>
      <c r="N1535" s="1" t="s">
        <v>26</v>
      </c>
      <c r="O1535" s="1" t="s">
        <v>27</v>
      </c>
      <c r="P1535" s="2">
        <v>7.5694444444444446E-3</v>
      </c>
      <c r="Q1535" s="1" t="s">
        <v>1158</v>
      </c>
      <c r="R1535" s="1">
        <v>0</v>
      </c>
      <c r="S1535" s="1" t="str">
        <f>""</f>
        <v/>
      </c>
      <c r="T1535" s="1" t="s">
        <v>29</v>
      </c>
      <c r="U1535" s="1" t="s">
        <v>30</v>
      </c>
      <c r="V1535" s="1">
        <v>0</v>
      </c>
    </row>
    <row r="1536" spans="2:22" x14ac:dyDescent="0.15">
      <c r="B1536" s="1" t="str">
        <f>"155****1932"</f>
        <v>155****1932</v>
      </c>
      <c r="C1536" s="1" t="s">
        <v>126</v>
      </c>
      <c r="D1536" s="1" t="str">
        <f t="shared" si="160"/>
        <v>89177328</v>
      </c>
      <c r="E1536" s="1" t="s">
        <v>24</v>
      </c>
      <c r="F1536" s="1" t="str">
        <f t="shared" si="161"/>
        <v>0010</v>
      </c>
      <c r="G1536" s="1" t="str">
        <f>""</f>
        <v/>
      </c>
      <c r="H1536" s="1" t="str">
        <f>"0017"</f>
        <v>0017</v>
      </c>
      <c r="I1536" s="1" t="s">
        <v>135</v>
      </c>
      <c r="J1536" s="1" t="str">
        <f>"01043989717"</f>
        <v>01043989717</v>
      </c>
      <c r="K1536" s="1" t="str">
        <f>"2017-03-30 18:56:20"</f>
        <v>2017-03-30 18:56:20</v>
      </c>
      <c r="L1536" s="1" t="str">
        <f>"2017-03-30 18:56:25"</f>
        <v>2017-03-30 18:56:25</v>
      </c>
      <c r="M1536" s="2">
        <v>2.5462962962962961E-3</v>
      </c>
      <c r="N1536" s="1" t="s">
        <v>26</v>
      </c>
      <c r="O1536" s="1" t="s">
        <v>34</v>
      </c>
      <c r="P1536" s="2">
        <v>2.6041666666666665E-3</v>
      </c>
      <c r="Q1536" s="1" t="s">
        <v>1159</v>
      </c>
      <c r="R1536" s="1">
        <v>0</v>
      </c>
      <c r="S1536" s="1" t="str">
        <f>""</f>
        <v/>
      </c>
      <c r="T1536" s="1" t="s">
        <v>29</v>
      </c>
      <c r="U1536" s="1" t="s">
        <v>30</v>
      </c>
      <c r="V1536" s="1">
        <v>0</v>
      </c>
    </row>
    <row r="1537" spans="2:22" x14ac:dyDescent="0.15">
      <c r="B1537" s="1" t="str">
        <f>"133****9217"</f>
        <v>133****9217</v>
      </c>
      <c r="C1537" s="1" t="s">
        <v>23</v>
      </c>
      <c r="D1537" s="1" t="str">
        <f t="shared" si="160"/>
        <v>89177328</v>
      </c>
      <c r="E1537" s="1" t="s">
        <v>24</v>
      </c>
      <c r="F1537" s="1" t="str">
        <f t="shared" si="161"/>
        <v>0010</v>
      </c>
      <c r="G1537" s="1" t="str">
        <f>""</f>
        <v/>
      </c>
      <c r="H1537" s="1" t="str">
        <f>"0034"</f>
        <v>0034</v>
      </c>
      <c r="I1537" s="1" t="s">
        <v>31</v>
      </c>
      <c r="J1537" s="1" t="str">
        <f>"01043977568"</f>
        <v>01043977568</v>
      </c>
      <c r="K1537" s="1" t="str">
        <f>"2017-03-30 18:43:49"</f>
        <v>2017-03-30 18:43:49</v>
      </c>
      <c r="L1537" s="1" t="str">
        <f>"2017-03-30 18:44:02"</f>
        <v>2017-03-30 18:44:02</v>
      </c>
      <c r="M1537" s="2">
        <v>9.2129629629629627E-3</v>
      </c>
      <c r="N1537" s="1" t="s">
        <v>26</v>
      </c>
      <c r="O1537" s="1" t="s">
        <v>34</v>
      </c>
      <c r="P1537" s="2">
        <v>9.3634259259259261E-3</v>
      </c>
      <c r="Q1537" s="1" t="s">
        <v>1160</v>
      </c>
      <c r="R1537" s="1">
        <v>0</v>
      </c>
      <c r="S1537" s="1" t="str">
        <f>""</f>
        <v/>
      </c>
      <c r="T1537" s="1" t="s">
        <v>29</v>
      </c>
      <c r="U1537" s="1" t="s">
        <v>30</v>
      </c>
      <c r="V1537" s="1">
        <v>0</v>
      </c>
    </row>
    <row r="1538" spans="2:22" x14ac:dyDescent="0.15">
      <c r="B1538" s="1" t="str">
        <f>"139****1086"</f>
        <v>139****1086</v>
      </c>
      <c r="C1538" s="1" t="s">
        <v>23</v>
      </c>
      <c r="D1538" s="1" t="str">
        <f t="shared" si="160"/>
        <v>89177328</v>
      </c>
      <c r="E1538" s="1" t="s">
        <v>24</v>
      </c>
      <c r="F1538" s="1" t="str">
        <f t="shared" si="161"/>
        <v>0010</v>
      </c>
      <c r="G1538" s="1" t="str">
        <f>""</f>
        <v/>
      </c>
      <c r="H1538" s="1" t="str">
        <f>"0017"</f>
        <v>0017</v>
      </c>
      <c r="I1538" s="1" t="s">
        <v>135</v>
      </c>
      <c r="J1538" s="1" t="str">
        <f>"01043989717"</f>
        <v>01043989717</v>
      </c>
      <c r="K1538" s="1" t="str">
        <f>"2017-03-30 18:33:30"</f>
        <v>2017-03-30 18:33:30</v>
      </c>
      <c r="L1538" s="1" t="str">
        <f>"2017-03-30 18:33:38"</f>
        <v>2017-03-30 18:33:38</v>
      </c>
      <c r="M1538" s="2">
        <v>6.7361111111111103E-3</v>
      </c>
      <c r="N1538" s="1" t="s">
        <v>26</v>
      </c>
      <c r="O1538" s="1" t="s">
        <v>27</v>
      </c>
      <c r="P1538" s="2">
        <v>6.828703703703704E-3</v>
      </c>
      <c r="Q1538" s="1" t="s">
        <v>1161</v>
      </c>
      <c r="R1538" s="1">
        <v>0</v>
      </c>
      <c r="S1538" s="1" t="str">
        <f>""</f>
        <v/>
      </c>
      <c r="T1538" s="1" t="s">
        <v>29</v>
      </c>
      <c r="U1538" s="1" t="s">
        <v>30</v>
      </c>
      <c r="V1538" s="1">
        <v>0</v>
      </c>
    </row>
    <row r="1539" spans="2:22" x14ac:dyDescent="0.15">
      <c r="B1539" s="1" t="str">
        <f>"136****2361"</f>
        <v>136****2361</v>
      </c>
      <c r="C1539" s="1" t="s">
        <v>23</v>
      </c>
      <c r="D1539" s="1" t="str">
        <f t="shared" si="160"/>
        <v>89177328</v>
      </c>
      <c r="E1539" s="1" t="s">
        <v>24</v>
      </c>
      <c r="F1539" s="1" t="str">
        <f t="shared" si="161"/>
        <v>0010</v>
      </c>
      <c r="G1539" s="1" t="str">
        <f>""</f>
        <v/>
      </c>
      <c r="H1539" s="1" t="str">
        <f>"0017"</f>
        <v>0017</v>
      </c>
      <c r="I1539" s="1" t="s">
        <v>135</v>
      </c>
      <c r="J1539" s="1" t="str">
        <f>"01043989717"</f>
        <v>01043989717</v>
      </c>
      <c r="K1539" s="1" t="str">
        <f>"2017-03-30 18:26:06"</f>
        <v>2017-03-30 18:26:06</v>
      </c>
      <c r="L1539" s="1" t="str">
        <f>"2017-03-30 18:26:14"</f>
        <v>2017-03-30 18:26:14</v>
      </c>
      <c r="M1539" s="2">
        <v>1.9212962962962962E-3</v>
      </c>
      <c r="N1539" s="1" t="s">
        <v>26</v>
      </c>
      <c r="O1539" s="1" t="s">
        <v>34</v>
      </c>
      <c r="P1539" s="2">
        <v>2.0138888888888888E-3</v>
      </c>
      <c r="Q1539" s="1" t="s">
        <v>1162</v>
      </c>
      <c r="R1539" s="1">
        <v>0</v>
      </c>
      <c r="S1539" s="1" t="str">
        <f>""</f>
        <v/>
      </c>
      <c r="T1539" s="1" t="s">
        <v>29</v>
      </c>
      <c r="U1539" s="1" t="s">
        <v>30</v>
      </c>
      <c r="V1539" s="1">
        <v>0</v>
      </c>
    </row>
    <row r="1540" spans="2:22" x14ac:dyDescent="0.15">
      <c r="B1540" s="1" t="str">
        <f>"176****5270"</f>
        <v>176****5270</v>
      </c>
      <c r="C1540" s="1" t="s">
        <v>23</v>
      </c>
      <c r="D1540" s="1" t="str">
        <f t="shared" si="160"/>
        <v>89177328</v>
      </c>
      <c r="E1540" s="1" t="s">
        <v>24</v>
      </c>
      <c r="F1540" s="1" t="str">
        <f t="shared" si="161"/>
        <v>0010</v>
      </c>
      <c r="G1540" s="1" t="str">
        <f>""</f>
        <v/>
      </c>
      <c r="H1540" s="1" t="str">
        <f>"0017"</f>
        <v>0017</v>
      </c>
      <c r="I1540" s="1" t="s">
        <v>135</v>
      </c>
      <c r="J1540" s="1" t="str">
        <f>"01043989717"</f>
        <v>01043989717</v>
      </c>
      <c r="K1540" s="1" t="str">
        <f>"2017-03-30 17:55:07"</f>
        <v>2017-03-30 17:55:07</v>
      </c>
      <c r="L1540" s="1" t="str">
        <f>"-"</f>
        <v>-</v>
      </c>
      <c r="M1540" s="2">
        <v>0</v>
      </c>
      <c r="N1540" s="1" t="s">
        <v>33</v>
      </c>
      <c r="O1540" s="1" t="s">
        <v>34</v>
      </c>
      <c r="P1540" s="2">
        <v>5.7870370370370366E-5</v>
      </c>
      <c r="Q1540" s="1" t="str">
        <f>""</f>
        <v/>
      </c>
      <c r="R1540" s="1">
        <v>0</v>
      </c>
      <c r="S1540" s="1" t="str">
        <f>""</f>
        <v/>
      </c>
      <c r="T1540" s="1" t="s">
        <v>29</v>
      </c>
      <c r="U1540" s="1" t="s">
        <v>30</v>
      </c>
      <c r="V1540" s="1">
        <v>0</v>
      </c>
    </row>
    <row r="1541" spans="2:22" x14ac:dyDescent="0.15">
      <c r="B1541" s="1" t="str">
        <f>"176****5270"</f>
        <v>176****5270</v>
      </c>
      <c r="C1541" s="1" t="s">
        <v>23</v>
      </c>
      <c r="D1541" s="1" t="str">
        <f t="shared" si="160"/>
        <v>89177328</v>
      </c>
      <c r="E1541" s="1" t="s">
        <v>24</v>
      </c>
      <c r="F1541" s="1" t="str">
        <f t="shared" si="161"/>
        <v>0010</v>
      </c>
      <c r="G1541" s="1" t="str">
        <f>""</f>
        <v/>
      </c>
      <c r="H1541" s="1" t="str">
        <f>"0012"</f>
        <v>0012</v>
      </c>
      <c r="I1541" s="1" t="s">
        <v>612</v>
      </c>
      <c r="J1541" s="1" t="str">
        <f>"01043989720"</f>
        <v>01043989720</v>
      </c>
      <c r="K1541" s="1" t="str">
        <f>"2017-03-30 17:52:26"</f>
        <v>2017-03-30 17:52:26</v>
      </c>
      <c r="L1541" s="1" t="str">
        <f>"-"</f>
        <v>-</v>
      </c>
      <c r="M1541" s="2">
        <v>0</v>
      </c>
      <c r="N1541" s="1" t="s">
        <v>33</v>
      </c>
      <c r="O1541" s="1" t="s">
        <v>34</v>
      </c>
      <c r="P1541" s="2">
        <v>6.9444444444444444E-5</v>
      </c>
      <c r="Q1541" s="1" t="str">
        <f>""</f>
        <v/>
      </c>
      <c r="R1541" s="1">
        <v>0</v>
      </c>
      <c r="S1541" s="1" t="str">
        <f>""</f>
        <v/>
      </c>
      <c r="T1541" s="1" t="s">
        <v>29</v>
      </c>
      <c r="U1541" s="1" t="s">
        <v>30</v>
      </c>
      <c r="V1541" s="1">
        <v>0</v>
      </c>
    </row>
    <row r="1542" spans="2:22" x14ac:dyDescent="0.15">
      <c r="B1542" s="1" t="str">
        <f>"188****7867"</f>
        <v>188****7867</v>
      </c>
      <c r="C1542" s="1" t="s">
        <v>23</v>
      </c>
      <c r="D1542" s="1" t="str">
        <f t="shared" si="160"/>
        <v>89177328</v>
      </c>
      <c r="E1542" s="1" t="s">
        <v>24</v>
      </c>
      <c r="F1542" s="1" t="str">
        <f t="shared" si="161"/>
        <v>0010</v>
      </c>
      <c r="G1542" s="1" t="str">
        <f>""</f>
        <v/>
      </c>
      <c r="H1542" s="1" t="str">
        <f>"0012"</f>
        <v>0012</v>
      </c>
      <c r="I1542" s="1" t="s">
        <v>612</v>
      </c>
      <c r="J1542" s="1" t="str">
        <f>"01043989720"</f>
        <v>01043989720</v>
      </c>
      <c r="K1542" s="1" t="str">
        <f>"2017-03-30 17:48:48"</f>
        <v>2017-03-30 17:48:48</v>
      </c>
      <c r="L1542" s="1" t="str">
        <f>"-"</f>
        <v>-</v>
      </c>
      <c r="M1542" s="2">
        <v>0</v>
      </c>
      <c r="N1542" s="1" t="s">
        <v>33</v>
      </c>
      <c r="O1542" s="1" t="s">
        <v>34</v>
      </c>
      <c r="P1542" s="2">
        <v>2.3148148148148147E-5</v>
      </c>
      <c r="Q1542" s="1" t="str">
        <f>""</f>
        <v/>
      </c>
      <c r="R1542" s="1">
        <v>0</v>
      </c>
      <c r="S1542" s="1" t="str">
        <f>""</f>
        <v/>
      </c>
      <c r="T1542" s="1" t="s">
        <v>29</v>
      </c>
      <c r="U1542" s="1" t="s">
        <v>30</v>
      </c>
      <c r="V1542" s="1">
        <v>0</v>
      </c>
    </row>
    <row r="1543" spans="2:22" x14ac:dyDescent="0.15">
      <c r="B1543" s="1" t="str">
        <f>"187****8895"</f>
        <v>187****8895</v>
      </c>
      <c r="C1543" s="1" t="s">
        <v>23</v>
      </c>
      <c r="D1543" s="1" t="str">
        <f t="shared" si="160"/>
        <v>89177328</v>
      </c>
      <c r="E1543" s="1" t="s">
        <v>24</v>
      </c>
      <c r="F1543" s="1" t="str">
        <f t="shared" si="161"/>
        <v>0010</v>
      </c>
      <c r="G1543" s="1" t="str">
        <f>""</f>
        <v/>
      </c>
      <c r="H1543" s="1" t="str">
        <f>"0012"</f>
        <v>0012</v>
      </c>
      <c r="I1543" s="1" t="s">
        <v>612</v>
      </c>
      <c r="J1543" s="1" t="str">
        <f>"01043989720"</f>
        <v>01043989720</v>
      </c>
      <c r="K1543" s="1" t="str">
        <f>"2017-03-30 17:43:09"</f>
        <v>2017-03-30 17:43:09</v>
      </c>
      <c r="L1543" s="1" t="str">
        <f>"-"</f>
        <v>-</v>
      </c>
      <c r="M1543" s="2">
        <v>0</v>
      </c>
      <c r="N1543" s="1" t="s">
        <v>33</v>
      </c>
      <c r="O1543" s="1" t="s">
        <v>34</v>
      </c>
      <c r="P1543" s="2">
        <v>6.9444444444444444E-5</v>
      </c>
      <c r="Q1543" s="1" t="str">
        <f>""</f>
        <v/>
      </c>
      <c r="R1543" s="1">
        <v>0</v>
      </c>
      <c r="S1543" s="1" t="str">
        <f>""</f>
        <v/>
      </c>
      <c r="T1543" s="1" t="s">
        <v>29</v>
      </c>
      <c r="U1543" s="1" t="s">
        <v>30</v>
      </c>
      <c r="V1543" s="1">
        <v>0</v>
      </c>
    </row>
    <row r="1544" spans="2:22" x14ac:dyDescent="0.15">
      <c r="B1544" s="1" t="str">
        <f>"151****3112"</f>
        <v>151****3112</v>
      </c>
      <c r="C1544" s="1" t="s">
        <v>283</v>
      </c>
      <c r="D1544" s="1" t="str">
        <f t="shared" si="160"/>
        <v>89177328</v>
      </c>
      <c r="E1544" s="1" t="s">
        <v>24</v>
      </c>
      <c r="F1544" s="1" t="str">
        <f t="shared" si="161"/>
        <v>0010</v>
      </c>
      <c r="G1544" s="1" t="str">
        <f>""</f>
        <v/>
      </c>
      <c r="H1544" s="1" t="str">
        <f>"0035"</f>
        <v>0035</v>
      </c>
      <c r="I1544" s="1" t="s">
        <v>25</v>
      </c>
      <c r="J1544" s="1" t="str">
        <f>"01043977569"</f>
        <v>01043977569</v>
      </c>
      <c r="K1544" s="1" t="str">
        <f>"2017-03-30 17:41:07"</f>
        <v>2017-03-30 17:41:07</v>
      </c>
      <c r="L1544" s="1" t="str">
        <f>"2017-03-30 17:41:22"</f>
        <v>2017-03-30 17:41:22</v>
      </c>
      <c r="M1544" s="2">
        <v>9.2592592592592588E-5</v>
      </c>
      <c r="N1544" s="1" t="s">
        <v>26</v>
      </c>
      <c r="O1544" s="1" t="s">
        <v>27</v>
      </c>
      <c r="P1544" s="2">
        <v>2.6620370370370372E-4</v>
      </c>
      <c r="Q1544" s="1" t="s">
        <v>1163</v>
      </c>
      <c r="R1544" s="1">
        <v>0</v>
      </c>
      <c r="S1544" s="1" t="str">
        <f>""</f>
        <v/>
      </c>
      <c r="T1544" s="1" t="s">
        <v>29</v>
      </c>
      <c r="U1544" s="1" t="s">
        <v>30</v>
      </c>
      <c r="V1544" s="1">
        <v>0</v>
      </c>
    </row>
    <row r="1545" spans="2:22" x14ac:dyDescent="0.15">
      <c r="B1545" s="1" t="str">
        <f>"151****3112"</f>
        <v>151****3112</v>
      </c>
      <c r="C1545" s="1" t="s">
        <v>283</v>
      </c>
      <c r="D1545" s="1" t="str">
        <f t="shared" si="160"/>
        <v>89177328</v>
      </c>
      <c r="E1545" s="1" t="s">
        <v>24</v>
      </c>
      <c r="F1545" s="1" t="str">
        <f t="shared" si="161"/>
        <v>0010</v>
      </c>
      <c r="G1545" s="1" t="str">
        <f>""</f>
        <v/>
      </c>
      <c r="H1545" s="1" t="str">
        <f>"0010"</f>
        <v>0010</v>
      </c>
      <c r="I1545" s="1" t="s">
        <v>71</v>
      </c>
      <c r="J1545" s="1" t="str">
        <f>"01043977571"</f>
        <v>01043977571</v>
      </c>
      <c r="K1545" s="1" t="str">
        <f>"2017-03-30 17:39:04"</f>
        <v>2017-03-30 17:39:04</v>
      </c>
      <c r="L1545" s="1" t="str">
        <f>"2017-03-30 17:39:17"</f>
        <v>2017-03-30 17:39:17</v>
      </c>
      <c r="M1545" s="2">
        <v>8.1018518518518516E-5</v>
      </c>
      <c r="N1545" s="1" t="s">
        <v>26</v>
      </c>
      <c r="O1545" s="1" t="s">
        <v>27</v>
      </c>
      <c r="P1545" s="2">
        <v>2.3148148148148146E-4</v>
      </c>
      <c r="Q1545" s="1" t="s">
        <v>1164</v>
      </c>
      <c r="R1545" s="1">
        <v>0</v>
      </c>
      <c r="S1545" s="1" t="str">
        <f>""</f>
        <v/>
      </c>
      <c r="T1545" s="1" t="s">
        <v>29</v>
      </c>
      <c r="U1545" s="1" t="s">
        <v>30</v>
      </c>
      <c r="V1545" s="1">
        <v>0</v>
      </c>
    </row>
    <row r="1546" spans="2:22" x14ac:dyDescent="0.15">
      <c r="B1546" s="1" t="str">
        <f>"187****8895"</f>
        <v>187****8895</v>
      </c>
      <c r="C1546" s="1" t="s">
        <v>23</v>
      </c>
      <c r="D1546" s="1" t="str">
        <f t="shared" si="160"/>
        <v>89177328</v>
      </c>
      <c r="E1546" s="1" t="s">
        <v>24</v>
      </c>
      <c r="F1546" s="1" t="str">
        <f t="shared" si="161"/>
        <v>0010</v>
      </c>
      <c r="G1546" s="1" t="str">
        <f>""</f>
        <v/>
      </c>
      <c r="H1546" s="1" t="str">
        <f>"0035"</f>
        <v>0035</v>
      </c>
      <c r="I1546" s="1" t="s">
        <v>25</v>
      </c>
      <c r="J1546" s="1" t="str">
        <f>"01043977569"</f>
        <v>01043977569</v>
      </c>
      <c r="K1546" s="1" t="str">
        <f>"2017-03-30 17:38:20"</f>
        <v>2017-03-30 17:38:20</v>
      </c>
      <c r="L1546" s="1" t="str">
        <f>"-"</f>
        <v>-</v>
      </c>
      <c r="M1546" s="2">
        <v>0</v>
      </c>
      <c r="N1546" s="1" t="s">
        <v>33</v>
      </c>
      <c r="O1546" s="1" t="s">
        <v>34</v>
      </c>
      <c r="P1546" s="2">
        <v>8.1018518518518516E-5</v>
      </c>
      <c r="Q1546" s="1" t="str">
        <f>""</f>
        <v/>
      </c>
      <c r="R1546" s="1">
        <v>0</v>
      </c>
      <c r="S1546" s="1" t="str">
        <f>""</f>
        <v/>
      </c>
      <c r="T1546" s="1" t="s">
        <v>29</v>
      </c>
      <c r="U1546" s="1" t="s">
        <v>30</v>
      </c>
      <c r="V1546" s="1">
        <v>0</v>
      </c>
    </row>
    <row r="1547" spans="2:22" x14ac:dyDescent="0.15">
      <c r="B1547" s="1" t="str">
        <f>"132****0266"</f>
        <v>132****0266</v>
      </c>
      <c r="C1547" s="1" t="s">
        <v>389</v>
      </c>
      <c r="D1547" s="1" t="str">
        <f t="shared" si="160"/>
        <v>89177328</v>
      </c>
      <c r="E1547" s="1" t="s">
        <v>24</v>
      </c>
      <c r="F1547" s="1" t="str">
        <f t="shared" si="161"/>
        <v>0010</v>
      </c>
      <c r="G1547" s="1" t="str">
        <f>""</f>
        <v/>
      </c>
      <c r="H1547" s="1" t="str">
        <f>"0033"</f>
        <v>0033</v>
      </c>
      <c r="I1547" s="1" t="s">
        <v>106</v>
      </c>
      <c r="J1547" s="1" t="str">
        <f>"01043977567"</f>
        <v>01043977567</v>
      </c>
      <c r="K1547" s="1" t="str">
        <f>"2017-03-30 17:31:55"</f>
        <v>2017-03-30 17:31:55</v>
      </c>
      <c r="L1547" s="1" t="str">
        <f>"2017-03-30 17:32:04"</f>
        <v>2017-03-30 17:32:04</v>
      </c>
      <c r="M1547" s="2">
        <v>8.5995370370370357E-3</v>
      </c>
      <c r="N1547" s="1" t="s">
        <v>26</v>
      </c>
      <c r="O1547" s="1" t="s">
        <v>27</v>
      </c>
      <c r="P1547" s="2">
        <v>8.7037037037037031E-3</v>
      </c>
      <c r="Q1547" s="1" t="s">
        <v>1165</v>
      </c>
      <c r="R1547" s="1">
        <v>0</v>
      </c>
      <c r="S1547" s="1" t="str">
        <f>""</f>
        <v/>
      </c>
      <c r="T1547" s="1" t="s">
        <v>29</v>
      </c>
      <c r="U1547" s="1" t="s">
        <v>30</v>
      </c>
      <c r="V1547" s="1">
        <v>0</v>
      </c>
    </row>
    <row r="1548" spans="2:22" x14ac:dyDescent="0.15">
      <c r="B1548" s="1" t="str">
        <f>"139****8424"</f>
        <v>139****8424</v>
      </c>
      <c r="C1548" s="1" t="s">
        <v>23</v>
      </c>
      <c r="D1548" s="1" t="str">
        <f t="shared" si="160"/>
        <v>89177328</v>
      </c>
      <c r="E1548" s="1" t="s">
        <v>24</v>
      </c>
      <c r="F1548" s="1" t="str">
        <f t="shared" si="161"/>
        <v>0010</v>
      </c>
      <c r="G1548" s="1" t="str">
        <f>""</f>
        <v/>
      </c>
      <c r="H1548" s="1" t="str">
        <f>"0033"</f>
        <v>0033</v>
      </c>
      <c r="I1548" s="1" t="s">
        <v>106</v>
      </c>
      <c r="J1548" s="1" t="str">
        <f>"01043977567"</f>
        <v>01043977567</v>
      </c>
      <c r="K1548" s="1" t="str">
        <f>"2017-03-30 17:29:58"</f>
        <v>2017-03-30 17:29:58</v>
      </c>
      <c r="L1548" s="1" t="str">
        <f>"-"</f>
        <v>-</v>
      </c>
      <c r="M1548" s="2">
        <v>0</v>
      </c>
      <c r="N1548" s="1" t="s">
        <v>33</v>
      </c>
      <c r="O1548" s="1" t="s">
        <v>34</v>
      </c>
      <c r="P1548" s="2">
        <v>2.3148148148148147E-5</v>
      </c>
      <c r="Q1548" s="1" t="str">
        <f>""</f>
        <v/>
      </c>
      <c r="R1548" s="1">
        <v>0</v>
      </c>
      <c r="S1548" s="1" t="str">
        <f>""</f>
        <v/>
      </c>
      <c r="T1548" s="1" t="s">
        <v>29</v>
      </c>
      <c r="U1548" s="1" t="s">
        <v>30</v>
      </c>
      <c r="V1548" s="1">
        <v>0</v>
      </c>
    </row>
    <row r="1549" spans="2:22" x14ac:dyDescent="0.15">
      <c r="B1549" s="1" t="str">
        <f>"186****5858"</f>
        <v>186****5858</v>
      </c>
      <c r="C1549" s="1" t="s">
        <v>1166</v>
      </c>
      <c r="D1549" s="1" t="str">
        <f t="shared" si="160"/>
        <v>89177328</v>
      </c>
      <c r="E1549" s="1" t="s">
        <v>24</v>
      </c>
      <c r="F1549" s="1" t="str">
        <f t="shared" si="161"/>
        <v>0010</v>
      </c>
      <c r="G1549" s="1" t="str">
        <f>""</f>
        <v/>
      </c>
      <c r="H1549" s="1" t="str">
        <f>"0033"</f>
        <v>0033</v>
      </c>
      <c r="I1549" s="1" t="s">
        <v>106</v>
      </c>
      <c r="J1549" s="1" t="str">
        <f>"01043977567"</f>
        <v>01043977567</v>
      </c>
      <c r="K1549" s="1" t="str">
        <f>"2017-03-30 17:16:42"</f>
        <v>2017-03-30 17:16:42</v>
      </c>
      <c r="L1549" s="1" t="str">
        <f>"2017-03-30 17:16:51"</f>
        <v>2017-03-30 17:16:51</v>
      </c>
      <c r="M1549" s="2">
        <v>2.9976851851851848E-3</v>
      </c>
      <c r="N1549" s="1" t="s">
        <v>26</v>
      </c>
      <c r="O1549" s="1" t="s">
        <v>27</v>
      </c>
      <c r="P1549" s="2">
        <v>3.1018518518518522E-3</v>
      </c>
      <c r="Q1549" s="1" t="s">
        <v>1167</v>
      </c>
      <c r="R1549" s="1">
        <v>0</v>
      </c>
      <c r="S1549" s="1" t="str">
        <f>""</f>
        <v/>
      </c>
      <c r="T1549" s="1" t="s">
        <v>29</v>
      </c>
      <c r="U1549" s="1" t="s">
        <v>30</v>
      </c>
      <c r="V1549" s="1">
        <v>0</v>
      </c>
    </row>
    <row r="1550" spans="2:22" x14ac:dyDescent="0.15">
      <c r="B1550" s="1" t="str">
        <f>"136****7882"</f>
        <v>136****7882</v>
      </c>
      <c r="C1550" s="1" t="s">
        <v>193</v>
      </c>
      <c r="D1550" s="1" t="str">
        <f>"4000108333"</f>
        <v>4000108333</v>
      </c>
      <c r="E1550" s="1" t="s">
        <v>53</v>
      </c>
      <c r="F1550" s="1" t="str">
        <f>""</f>
        <v/>
      </c>
      <c r="G1550" s="1" t="str">
        <f>""</f>
        <v/>
      </c>
      <c r="H1550" s="1" t="str">
        <f>""</f>
        <v/>
      </c>
      <c r="I1550" s="1" t="str">
        <f>""</f>
        <v/>
      </c>
      <c r="J1550" s="1" t="str">
        <f>""</f>
        <v/>
      </c>
      <c r="K1550" s="1" t="str">
        <f>"2017-03-30 17:15:54"</f>
        <v>2017-03-30 17:15:54</v>
      </c>
      <c r="L1550" s="1" t="str">
        <f>"-"</f>
        <v>-</v>
      </c>
      <c r="M1550" s="2">
        <v>0</v>
      </c>
      <c r="N1550" s="1" t="s">
        <v>55</v>
      </c>
      <c r="O1550" s="1" t="s">
        <v>34</v>
      </c>
      <c r="P1550" s="2">
        <v>1.3888888888888889E-4</v>
      </c>
      <c r="Q1550" s="1" t="str">
        <f>""</f>
        <v/>
      </c>
      <c r="R1550" s="1">
        <v>0.12</v>
      </c>
      <c r="S1550" s="1" t="str">
        <f>""</f>
        <v/>
      </c>
      <c r="T1550" s="1" t="s">
        <v>29</v>
      </c>
      <c r="U1550" s="1" t="s">
        <v>30</v>
      </c>
      <c r="V1550" s="1">
        <v>0</v>
      </c>
    </row>
    <row r="1551" spans="2:22" x14ac:dyDescent="0.15">
      <c r="B1551" s="1" t="str">
        <f>"137****9577"</f>
        <v>137****9577</v>
      </c>
      <c r="C1551" s="1" t="s">
        <v>23</v>
      </c>
      <c r="D1551" s="1" t="str">
        <f>"89177328"</f>
        <v>89177328</v>
      </c>
      <c r="E1551" s="1" t="s">
        <v>24</v>
      </c>
      <c r="F1551" s="1" t="str">
        <f>"0010"</f>
        <v>0010</v>
      </c>
      <c r="G1551" s="1" t="str">
        <f>""</f>
        <v/>
      </c>
      <c r="H1551" s="1" t="str">
        <f>"0033"</f>
        <v>0033</v>
      </c>
      <c r="I1551" s="1" t="s">
        <v>106</v>
      </c>
      <c r="J1551" s="1" t="str">
        <f>"01043977567"</f>
        <v>01043977567</v>
      </c>
      <c r="K1551" s="1" t="str">
        <f>"2017-03-30 17:07:35"</f>
        <v>2017-03-30 17:07:35</v>
      </c>
      <c r="L1551" s="1" t="str">
        <f>"2017-03-30 17:07:47"</f>
        <v>2017-03-30 17:07:47</v>
      </c>
      <c r="M1551" s="2">
        <v>4.0972222222222226E-3</v>
      </c>
      <c r="N1551" s="1" t="s">
        <v>26</v>
      </c>
      <c r="O1551" s="1" t="s">
        <v>27</v>
      </c>
      <c r="P1551" s="2">
        <v>4.2361111111111106E-3</v>
      </c>
      <c r="Q1551" s="1" t="s">
        <v>1168</v>
      </c>
      <c r="R1551" s="1">
        <v>0</v>
      </c>
      <c r="S1551" s="1" t="str">
        <f>""</f>
        <v/>
      </c>
      <c r="T1551" s="1" t="s">
        <v>29</v>
      </c>
      <c r="U1551" s="1" t="s">
        <v>30</v>
      </c>
      <c r="V1551" s="1">
        <v>0</v>
      </c>
    </row>
    <row r="1552" spans="2:22" x14ac:dyDescent="0.15">
      <c r="B1552" s="1" t="str">
        <f>"0315133****1801"</f>
        <v>0315133****1801</v>
      </c>
      <c r="C1552" s="1" t="s">
        <v>76</v>
      </c>
      <c r="D1552" s="1" t="str">
        <f>"89177328"</f>
        <v>89177328</v>
      </c>
      <c r="E1552" s="1" t="s">
        <v>24</v>
      </c>
      <c r="F1552" s="1" t="str">
        <f>"0010"</f>
        <v>0010</v>
      </c>
      <c r="G1552" s="1" t="str">
        <f>""</f>
        <v/>
      </c>
      <c r="H1552" s="1" t="str">
        <f>"0033"</f>
        <v>0033</v>
      </c>
      <c r="I1552" s="1" t="s">
        <v>106</v>
      </c>
      <c r="J1552" s="1" t="str">
        <f>"01043977567"</f>
        <v>01043977567</v>
      </c>
      <c r="K1552" s="1" t="str">
        <f>"2017-03-30 17:02:06"</f>
        <v>2017-03-30 17:02:06</v>
      </c>
      <c r="L1552" s="1" t="str">
        <f>"2017-03-30 17:02:18"</f>
        <v>2017-03-30 17:02:18</v>
      </c>
      <c r="M1552" s="2">
        <v>3.4722222222222224E-4</v>
      </c>
      <c r="N1552" s="1" t="s">
        <v>26</v>
      </c>
      <c r="O1552" s="1" t="s">
        <v>27</v>
      </c>
      <c r="P1552" s="2">
        <v>4.8611111111111104E-4</v>
      </c>
      <c r="Q1552" s="1" t="s">
        <v>1169</v>
      </c>
      <c r="R1552" s="1">
        <v>0</v>
      </c>
      <c r="S1552" s="1" t="str">
        <f>""</f>
        <v/>
      </c>
      <c r="T1552" s="1" t="s">
        <v>29</v>
      </c>
      <c r="U1552" s="1" t="s">
        <v>30</v>
      </c>
      <c r="V1552" s="1">
        <v>0</v>
      </c>
    </row>
    <row r="1553" spans="2:22" x14ac:dyDescent="0.15">
      <c r="B1553" s="1" t="str">
        <f>"010****0957"</f>
        <v>010****0957</v>
      </c>
      <c r="C1553" s="1" t="s">
        <v>23</v>
      </c>
      <c r="D1553" s="1" t="str">
        <f>"4000108333"</f>
        <v>4000108333</v>
      </c>
      <c r="E1553" s="1" t="s">
        <v>53</v>
      </c>
      <c r="F1553" s="1" t="str">
        <f>"0000"</f>
        <v>0000</v>
      </c>
      <c r="G1553" s="1" t="str">
        <f>""</f>
        <v/>
      </c>
      <c r="H1553" s="1" t="str">
        <f>"1012"</f>
        <v>1012</v>
      </c>
      <c r="I1553" s="1" t="s">
        <v>54</v>
      </c>
      <c r="J1553" s="1" t="str">
        <f>"13611040764"</f>
        <v>13611040764</v>
      </c>
      <c r="K1553" s="1" t="str">
        <f>"2017-03-30 16:50:29"</f>
        <v>2017-03-30 16:50:29</v>
      </c>
      <c r="L1553" s="1" t="str">
        <f>"2017-03-30 16:51:15"</f>
        <v>2017-03-30 16:51:15</v>
      </c>
      <c r="M1553" s="2">
        <v>2.8935185185185189E-4</v>
      </c>
      <c r="N1553" s="1" t="s">
        <v>26</v>
      </c>
      <c r="O1553" s="1" t="s">
        <v>27</v>
      </c>
      <c r="P1553" s="2">
        <v>8.2175925925925917E-4</v>
      </c>
      <c r="Q1553" s="1" t="s">
        <v>1170</v>
      </c>
      <c r="R1553" s="1">
        <v>0.24</v>
      </c>
      <c r="S1553" s="1" t="str">
        <f>""</f>
        <v/>
      </c>
      <c r="T1553" s="1" t="s">
        <v>29</v>
      </c>
      <c r="U1553" s="1" t="s">
        <v>30</v>
      </c>
      <c r="V1553" s="1">
        <v>0</v>
      </c>
    </row>
    <row r="1554" spans="2:22" x14ac:dyDescent="0.15">
      <c r="B1554" s="1" t="str">
        <f>"130****5656"</f>
        <v>130****5656</v>
      </c>
      <c r="C1554" s="1" t="s">
        <v>112</v>
      </c>
      <c r="D1554" s="1" t="str">
        <f t="shared" ref="D1554:D1617" si="162">"89177328"</f>
        <v>89177328</v>
      </c>
      <c r="E1554" s="1" t="s">
        <v>24</v>
      </c>
      <c r="F1554" s="1" t="str">
        <f t="shared" ref="F1554:F1617" si="163">"0010"</f>
        <v>0010</v>
      </c>
      <c r="G1554" s="1" t="str">
        <f>""</f>
        <v/>
      </c>
      <c r="H1554" s="1" t="str">
        <f>"0035"</f>
        <v>0035</v>
      </c>
      <c r="I1554" s="1" t="s">
        <v>25</v>
      </c>
      <c r="J1554" s="1" t="str">
        <f>"01043977569"</f>
        <v>01043977569</v>
      </c>
      <c r="K1554" s="1" t="str">
        <f>"2017-03-30 16:39:08"</f>
        <v>2017-03-30 16:39:08</v>
      </c>
      <c r="L1554" s="1" t="str">
        <f>"-"</f>
        <v>-</v>
      </c>
      <c r="M1554" s="2">
        <v>0</v>
      </c>
      <c r="N1554" s="1" t="s">
        <v>33</v>
      </c>
      <c r="O1554" s="1" t="s">
        <v>34</v>
      </c>
      <c r="P1554" s="2">
        <v>2.3148148148148146E-4</v>
      </c>
      <c r="Q1554" s="1" t="str">
        <f>""</f>
        <v/>
      </c>
      <c r="R1554" s="1">
        <v>0</v>
      </c>
      <c r="S1554" s="1" t="str">
        <f>""</f>
        <v/>
      </c>
      <c r="T1554" s="1" t="s">
        <v>29</v>
      </c>
      <c r="U1554" s="1" t="s">
        <v>30</v>
      </c>
      <c r="V1554" s="1">
        <v>0</v>
      </c>
    </row>
    <row r="1555" spans="2:22" x14ac:dyDescent="0.15">
      <c r="B1555" s="1" t="str">
        <f>"150****0131"</f>
        <v>150****0131</v>
      </c>
      <c r="C1555" s="1" t="s">
        <v>23</v>
      </c>
      <c r="D1555" s="1" t="str">
        <f t="shared" si="162"/>
        <v>89177328</v>
      </c>
      <c r="E1555" s="1" t="s">
        <v>24</v>
      </c>
      <c r="F1555" s="1" t="str">
        <f t="shared" si="163"/>
        <v>0010</v>
      </c>
      <c r="G1555" s="1" t="str">
        <f>""</f>
        <v/>
      </c>
      <c r="H1555" s="1" t="str">
        <f>"0017"</f>
        <v>0017</v>
      </c>
      <c r="I1555" s="1" t="s">
        <v>135</v>
      </c>
      <c r="J1555" s="1" t="str">
        <f>"01043989717"</f>
        <v>01043989717</v>
      </c>
      <c r="K1555" s="1" t="str">
        <f>"2017-03-30 16:38:52"</f>
        <v>2017-03-30 16:38:52</v>
      </c>
      <c r="L1555" s="1" t="str">
        <f>"2017-03-30 16:39:05"</f>
        <v>2017-03-30 16:39:05</v>
      </c>
      <c r="M1555" s="2">
        <v>1.8750000000000001E-3</v>
      </c>
      <c r="N1555" s="1" t="s">
        <v>26</v>
      </c>
      <c r="O1555" s="1" t="s">
        <v>27</v>
      </c>
      <c r="P1555" s="2">
        <v>2.0254629629629629E-3</v>
      </c>
      <c r="Q1555" s="1" t="s">
        <v>1171</v>
      </c>
      <c r="R1555" s="1">
        <v>0</v>
      </c>
      <c r="S1555" s="1" t="str">
        <f>""</f>
        <v/>
      </c>
      <c r="T1555" s="1" t="s">
        <v>29</v>
      </c>
      <c r="U1555" s="1" t="s">
        <v>30</v>
      </c>
      <c r="V1555" s="1">
        <v>0</v>
      </c>
    </row>
    <row r="1556" spans="2:22" x14ac:dyDescent="0.15">
      <c r="B1556" s="1" t="str">
        <f>"133****9597"</f>
        <v>133****9597</v>
      </c>
      <c r="C1556" s="1" t="s">
        <v>23</v>
      </c>
      <c r="D1556" s="1" t="str">
        <f t="shared" si="162"/>
        <v>89177328</v>
      </c>
      <c r="E1556" s="1" t="s">
        <v>24</v>
      </c>
      <c r="F1556" s="1" t="str">
        <f t="shared" si="163"/>
        <v>0010</v>
      </c>
      <c r="G1556" s="1" t="str">
        <f>""</f>
        <v/>
      </c>
      <c r="H1556" s="1" t="str">
        <f>"0035"</f>
        <v>0035</v>
      </c>
      <c r="I1556" s="1" t="s">
        <v>25</v>
      </c>
      <c r="J1556" s="1" t="str">
        <f>"01043977569"</f>
        <v>01043977569</v>
      </c>
      <c r="K1556" s="1" t="str">
        <f>"2017-03-30 16:37:41"</f>
        <v>2017-03-30 16:37:41</v>
      </c>
      <c r="L1556" s="1" t="str">
        <f>"-"</f>
        <v>-</v>
      </c>
      <c r="M1556" s="2">
        <v>0</v>
      </c>
      <c r="N1556" s="1" t="s">
        <v>33</v>
      </c>
      <c r="O1556" s="1" t="s">
        <v>34</v>
      </c>
      <c r="P1556" s="2">
        <v>5.7870370370370366E-5</v>
      </c>
      <c r="Q1556" s="1" t="str">
        <f>""</f>
        <v/>
      </c>
      <c r="R1556" s="1">
        <v>0</v>
      </c>
      <c r="S1556" s="1" t="str">
        <f>""</f>
        <v/>
      </c>
      <c r="T1556" s="1" t="s">
        <v>29</v>
      </c>
      <c r="U1556" s="1" t="s">
        <v>30</v>
      </c>
      <c r="V1556" s="1">
        <v>0</v>
      </c>
    </row>
    <row r="1557" spans="2:22" x14ac:dyDescent="0.15">
      <c r="B1557" s="1" t="str">
        <f>"133****9597"</f>
        <v>133****9597</v>
      </c>
      <c r="C1557" s="1" t="s">
        <v>23</v>
      </c>
      <c r="D1557" s="1" t="str">
        <f t="shared" si="162"/>
        <v>89177328</v>
      </c>
      <c r="E1557" s="1" t="s">
        <v>24</v>
      </c>
      <c r="F1557" s="1" t="str">
        <f t="shared" si="163"/>
        <v>0010</v>
      </c>
      <c r="G1557" s="1" t="str">
        <f>""</f>
        <v/>
      </c>
      <c r="H1557" s="1" t="str">
        <f>"0017"</f>
        <v>0017</v>
      </c>
      <c r="I1557" s="1" t="s">
        <v>135</v>
      </c>
      <c r="J1557" s="1" t="str">
        <f>"01043989717"</f>
        <v>01043989717</v>
      </c>
      <c r="K1557" s="1" t="str">
        <f>"2017-03-30 16:34:28"</f>
        <v>2017-03-30 16:34:28</v>
      </c>
      <c r="L1557" s="1" t="str">
        <f>"-"</f>
        <v>-</v>
      </c>
      <c r="M1557" s="2">
        <v>0</v>
      </c>
      <c r="N1557" s="1" t="s">
        <v>33</v>
      </c>
      <c r="O1557" s="1" t="s">
        <v>34</v>
      </c>
      <c r="P1557" s="2">
        <v>5.7870370370370366E-5</v>
      </c>
      <c r="Q1557" s="1" t="str">
        <f>""</f>
        <v/>
      </c>
      <c r="R1557" s="1">
        <v>0</v>
      </c>
      <c r="S1557" s="1" t="str">
        <f>""</f>
        <v/>
      </c>
      <c r="T1557" s="1" t="s">
        <v>29</v>
      </c>
      <c r="U1557" s="1" t="s">
        <v>30</v>
      </c>
      <c r="V1557" s="1">
        <v>0</v>
      </c>
    </row>
    <row r="1558" spans="2:22" x14ac:dyDescent="0.15">
      <c r="B1558" s="1" t="str">
        <f>"177****0327"</f>
        <v>177****0327</v>
      </c>
      <c r="C1558" s="1" t="s">
        <v>389</v>
      </c>
      <c r="D1558" s="1" t="str">
        <f t="shared" si="162"/>
        <v>89177328</v>
      </c>
      <c r="E1558" s="1" t="s">
        <v>24</v>
      </c>
      <c r="F1558" s="1" t="str">
        <f t="shared" si="163"/>
        <v>0010</v>
      </c>
      <c r="G1558" s="1" t="str">
        <f>""</f>
        <v/>
      </c>
      <c r="H1558" s="1" t="str">
        <f>"0033"</f>
        <v>0033</v>
      </c>
      <c r="I1558" s="1" t="s">
        <v>106</v>
      </c>
      <c r="J1558" s="1" t="str">
        <f>"01043977567"</f>
        <v>01043977567</v>
      </c>
      <c r="K1558" s="1" t="str">
        <f>"2017-03-30 16:34:26"</f>
        <v>2017-03-30 16:34:26</v>
      </c>
      <c r="L1558" s="1" t="str">
        <f>"2017-03-30 16:34:35"</f>
        <v>2017-03-30 16:34:35</v>
      </c>
      <c r="M1558" s="2">
        <v>4.4907407407407405E-3</v>
      </c>
      <c r="N1558" s="1" t="s">
        <v>26</v>
      </c>
      <c r="O1558" s="1" t="s">
        <v>27</v>
      </c>
      <c r="P1558" s="2">
        <v>4.5949074074074078E-3</v>
      </c>
      <c r="Q1558" s="1" t="s">
        <v>1172</v>
      </c>
      <c r="R1558" s="1">
        <v>0</v>
      </c>
      <c r="S1558" s="1" t="str">
        <f>""</f>
        <v/>
      </c>
      <c r="T1558" s="1" t="s">
        <v>29</v>
      </c>
      <c r="U1558" s="1" t="s">
        <v>30</v>
      </c>
      <c r="V1558" s="1">
        <v>0</v>
      </c>
    </row>
    <row r="1559" spans="2:22" x14ac:dyDescent="0.15">
      <c r="B1559" s="1" t="str">
        <f>"130****5656"</f>
        <v>130****5656</v>
      </c>
      <c r="C1559" s="1" t="s">
        <v>112</v>
      </c>
      <c r="D1559" s="1" t="str">
        <f t="shared" si="162"/>
        <v>89177328</v>
      </c>
      <c r="E1559" s="1" t="s">
        <v>24</v>
      </c>
      <c r="F1559" s="1" t="str">
        <f t="shared" si="163"/>
        <v>0010</v>
      </c>
      <c r="G1559" s="1" t="str">
        <f>""</f>
        <v/>
      </c>
      <c r="H1559" s="1" t="str">
        <f>"0033"</f>
        <v>0033</v>
      </c>
      <c r="I1559" s="1" t="s">
        <v>106</v>
      </c>
      <c r="J1559" s="1" t="str">
        <f>"01043977567"</f>
        <v>01043977567</v>
      </c>
      <c r="K1559" s="1" t="str">
        <f>"2017-03-30 16:34:04"</f>
        <v>2017-03-30 16:34:04</v>
      </c>
      <c r="L1559" s="1" t="str">
        <f>"-"</f>
        <v>-</v>
      </c>
      <c r="M1559" s="2">
        <v>0</v>
      </c>
      <c r="N1559" s="1" t="s">
        <v>33</v>
      </c>
      <c r="O1559" s="1" t="s">
        <v>34</v>
      </c>
      <c r="P1559" s="2">
        <v>8.1018518518518516E-5</v>
      </c>
      <c r="Q1559" s="1" t="str">
        <f>""</f>
        <v/>
      </c>
      <c r="R1559" s="1">
        <v>0</v>
      </c>
      <c r="S1559" s="1" t="str">
        <f>""</f>
        <v/>
      </c>
      <c r="T1559" s="1" t="s">
        <v>29</v>
      </c>
      <c r="U1559" s="1" t="s">
        <v>30</v>
      </c>
      <c r="V1559" s="1">
        <v>0</v>
      </c>
    </row>
    <row r="1560" spans="2:22" x14ac:dyDescent="0.15">
      <c r="B1560" s="1" t="str">
        <f>"133****9597"</f>
        <v>133****9597</v>
      </c>
      <c r="C1560" s="1" t="s">
        <v>23</v>
      </c>
      <c r="D1560" s="1" t="str">
        <f t="shared" si="162"/>
        <v>89177328</v>
      </c>
      <c r="E1560" s="1" t="s">
        <v>24</v>
      </c>
      <c r="F1560" s="1" t="str">
        <f t="shared" si="163"/>
        <v>0010</v>
      </c>
      <c r="G1560" s="1" t="str">
        <f>""</f>
        <v/>
      </c>
      <c r="H1560" s="1" t="str">
        <f>"0033"</f>
        <v>0033</v>
      </c>
      <c r="I1560" s="1" t="s">
        <v>106</v>
      </c>
      <c r="J1560" s="1" t="str">
        <f>"01043977567"</f>
        <v>01043977567</v>
      </c>
      <c r="K1560" s="1" t="str">
        <f>"2017-03-30 16:31:41"</f>
        <v>2017-03-30 16:31:41</v>
      </c>
      <c r="L1560" s="1" t="str">
        <f>"-"</f>
        <v>-</v>
      </c>
      <c r="M1560" s="2">
        <v>0</v>
      </c>
      <c r="N1560" s="1" t="s">
        <v>33</v>
      </c>
      <c r="O1560" s="1" t="s">
        <v>34</v>
      </c>
      <c r="P1560" s="2">
        <v>6.9444444444444444E-5</v>
      </c>
      <c r="Q1560" s="1" t="str">
        <f>""</f>
        <v/>
      </c>
      <c r="R1560" s="1">
        <v>0</v>
      </c>
      <c r="S1560" s="1" t="str">
        <f>""</f>
        <v/>
      </c>
      <c r="T1560" s="1" t="s">
        <v>29</v>
      </c>
      <c r="U1560" s="1" t="s">
        <v>30</v>
      </c>
      <c r="V1560" s="1">
        <v>0</v>
      </c>
    </row>
    <row r="1561" spans="2:22" x14ac:dyDescent="0.15">
      <c r="B1561" s="1" t="str">
        <f>"186****3646"</f>
        <v>186****3646</v>
      </c>
      <c r="C1561" s="1" t="s">
        <v>1173</v>
      </c>
      <c r="D1561" s="1" t="str">
        <f t="shared" si="162"/>
        <v>89177328</v>
      </c>
      <c r="E1561" s="1" t="s">
        <v>24</v>
      </c>
      <c r="F1561" s="1" t="str">
        <f t="shared" si="163"/>
        <v>0010</v>
      </c>
      <c r="G1561" s="1" t="str">
        <f>""</f>
        <v/>
      </c>
      <c r="H1561" s="1" t="str">
        <f>"0035"</f>
        <v>0035</v>
      </c>
      <c r="I1561" s="1" t="s">
        <v>25</v>
      </c>
      <c r="J1561" s="1" t="str">
        <f>"01043977569"</f>
        <v>01043977569</v>
      </c>
      <c r="K1561" s="1" t="str">
        <f>"2017-03-30 16:28:45"</f>
        <v>2017-03-30 16:28:45</v>
      </c>
      <c r="L1561" s="1" t="str">
        <f>"2017-03-30 16:28:55"</f>
        <v>2017-03-30 16:28:55</v>
      </c>
      <c r="M1561" s="2">
        <v>5.7407407407407416E-3</v>
      </c>
      <c r="N1561" s="1" t="s">
        <v>26</v>
      </c>
      <c r="O1561" s="1" t="s">
        <v>27</v>
      </c>
      <c r="P1561" s="2">
        <v>5.8564814814814825E-3</v>
      </c>
      <c r="Q1561" s="1" t="s">
        <v>1174</v>
      </c>
      <c r="R1561" s="1">
        <v>0</v>
      </c>
      <c r="S1561" s="1" t="str">
        <f>""</f>
        <v/>
      </c>
      <c r="T1561" s="1" t="s">
        <v>29</v>
      </c>
      <c r="U1561" s="1" t="s">
        <v>30</v>
      </c>
      <c r="V1561" s="1">
        <v>0</v>
      </c>
    </row>
    <row r="1562" spans="2:22" x14ac:dyDescent="0.15">
      <c r="B1562" s="1" t="str">
        <f>"010****3714"</f>
        <v>010****3714</v>
      </c>
      <c r="C1562" s="1" t="s">
        <v>23</v>
      </c>
      <c r="D1562" s="1" t="str">
        <f t="shared" si="162"/>
        <v>89177328</v>
      </c>
      <c r="E1562" s="1" t="s">
        <v>24</v>
      </c>
      <c r="F1562" s="1" t="str">
        <f t="shared" si="163"/>
        <v>0010</v>
      </c>
      <c r="G1562" s="1" t="str">
        <f>""</f>
        <v/>
      </c>
      <c r="H1562" s="1" t="str">
        <f>"0034"</f>
        <v>0034</v>
      </c>
      <c r="I1562" s="1" t="s">
        <v>31</v>
      </c>
      <c r="J1562" s="1" t="str">
        <f>"01043977568"</f>
        <v>01043977568</v>
      </c>
      <c r="K1562" s="1" t="str">
        <f>"2017-03-30 16:28:17"</f>
        <v>2017-03-30 16:28:17</v>
      </c>
      <c r="L1562" s="1" t="str">
        <f>"2017-03-30 16:28:29"</f>
        <v>2017-03-30 16:28:29</v>
      </c>
      <c r="M1562" s="2">
        <v>1.0416666666666667E-3</v>
      </c>
      <c r="N1562" s="1" t="s">
        <v>26</v>
      </c>
      <c r="O1562" s="1" t="s">
        <v>27</v>
      </c>
      <c r="P1562" s="2">
        <v>1.1805555555555556E-3</v>
      </c>
      <c r="Q1562" s="1" t="s">
        <v>1175</v>
      </c>
      <c r="R1562" s="1">
        <v>0</v>
      </c>
      <c r="S1562" s="1" t="str">
        <f>""</f>
        <v/>
      </c>
      <c r="T1562" s="1" t="s">
        <v>29</v>
      </c>
      <c r="U1562" s="1" t="s">
        <v>30</v>
      </c>
      <c r="V1562" s="1">
        <v>0</v>
      </c>
    </row>
    <row r="1563" spans="2:22" x14ac:dyDescent="0.15">
      <c r="B1563" s="1" t="str">
        <f>"159****7928"</f>
        <v>159****7928</v>
      </c>
      <c r="C1563" s="1" t="s">
        <v>23</v>
      </c>
      <c r="D1563" s="1" t="str">
        <f t="shared" si="162"/>
        <v>89177328</v>
      </c>
      <c r="E1563" s="1" t="s">
        <v>24</v>
      </c>
      <c r="F1563" s="1" t="str">
        <f t="shared" si="163"/>
        <v>0010</v>
      </c>
      <c r="G1563" s="1" t="str">
        <f>""</f>
        <v/>
      </c>
      <c r="H1563" s="1" t="str">
        <f>"0033"</f>
        <v>0033</v>
      </c>
      <c r="I1563" s="1" t="s">
        <v>106</v>
      </c>
      <c r="J1563" s="1" t="str">
        <f>"01043977567"</f>
        <v>01043977567</v>
      </c>
      <c r="K1563" s="1" t="str">
        <f>"2017-03-30 16:25:30"</f>
        <v>2017-03-30 16:25:30</v>
      </c>
      <c r="L1563" s="1" t="str">
        <f>"2017-03-30 16:25:40"</f>
        <v>2017-03-30 16:25:40</v>
      </c>
      <c r="M1563" s="2">
        <v>3.9699074074074072E-3</v>
      </c>
      <c r="N1563" s="1" t="s">
        <v>26</v>
      </c>
      <c r="O1563" s="1" t="s">
        <v>27</v>
      </c>
      <c r="P1563" s="2">
        <v>4.0856481481481481E-3</v>
      </c>
      <c r="Q1563" s="1" t="s">
        <v>1176</v>
      </c>
      <c r="R1563" s="1">
        <v>0</v>
      </c>
      <c r="S1563" s="1" t="str">
        <f>""</f>
        <v/>
      </c>
      <c r="T1563" s="1" t="s">
        <v>29</v>
      </c>
      <c r="U1563" s="1" t="s">
        <v>30</v>
      </c>
      <c r="V1563" s="1">
        <v>0</v>
      </c>
    </row>
    <row r="1564" spans="2:22" x14ac:dyDescent="0.15">
      <c r="B1564" s="1" t="str">
        <f>"157****4678"</f>
        <v>157****4678</v>
      </c>
      <c r="C1564" s="1" t="s">
        <v>23</v>
      </c>
      <c r="D1564" s="1" t="str">
        <f t="shared" si="162"/>
        <v>89177328</v>
      </c>
      <c r="E1564" s="1" t="s">
        <v>24</v>
      </c>
      <c r="F1564" s="1" t="str">
        <f t="shared" si="163"/>
        <v>0010</v>
      </c>
      <c r="G1564" s="1" t="str">
        <f>""</f>
        <v/>
      </c>
      <c r="H1564" s="1" t="str">
        <f>"0033"</f>
        <v>0033</v>
      </c>
      <c r="I1564" s="1" t="s">
        <v>106</v>
      </c>
      <c r="J1564" s="1" t="str">
        <f>"01043977567"</f>
        <v>01043977567</v>
      </c>
      <c r="K1564" s="1" t="str">
        <f>"2017-03-30 16:20:58"</f>
        <v>2017-03-30 16:20:58</v>
      </c>
      <c r="L1564" s="1" t="str">
        <f>"-"</f>
        <v>-</v>
      </c>
      <c r="M1564" s="2">
        <v>0</v>
      </c>
      <c r="N1564" s="1" t="s">
        <v>33</v>
      </c>
      <c r="O1564" s="1" t="s">
        <v>34</v>
      </c>
      <c r="P1564" s="2">
        <v>9.2592592592592588E-5</v>
      </c>
      <c r="Q1564" s="1" t="str">
        <f>""</f>
        <v/>
      </c>
      <c r="R1564" s="1">
        <v>0</v>
      </c>
      <c r="S1564" s="1" t="str">
        <f>""</f>
        <v/>
      </c>
      <c r="T1564" s="1" t="s">
        <v>29</v>
      </c>
      <c r="U1564" s="1" t="s">
        <v>30</v>
      </c>
      <c r="V1564" s="1">
        <v>0</v>
      </c>
    </row>
    <row r="1565" spans="2:22" x14ac:dyDescent="0.15">
      <c r="B1565" s="1" t="str">
        <f>"157****4678"</f>
        <v>157****4678</v>
      </c>
      <c r="C1565" s="1" t="s">
        <v>23</v>
      </c>
      <c r="D1565" s="1" t="str">
        <f t="shared" si="162"/>
        <v>89177328</v>
      </c>
      <c r="E1565" s="1" t="s">
        <v>24</v>
      </c>
      <c r="F1565" s="1" t="str">
        <f t="shared" si="163"/>
        <v>0010</v>
      </c>
      <c r="G1565" s="1" t="str">
        <f>""</f>
        <v/>
      </c>
      <c r="H1565" s="1" t="str">
        <f>"0033"</f>
        <v>0033</v>
      </c>
      <c r="I1565" s="1" t="s">
        <v>106</v>
      </c>
      <c r="J1565" s="1" t="str">
        <f>"01043977567"</f>
        <v>01043977567</v>
      </c>
      <c r="K1565" s="1" t="str">
        <f>"2017-03-30 16:16:47"</f>
        <v>2017-03-30 16:16:47</v>
      </c>
      <c r="L1565" s="1" t="str">
        <f>"-"</f>
        <v>-</v>
      </c>
      <c r="M1565" s="2">
        <v>0</v>
      </c>
      <c r="N1565" s="1" t="s">
        <v>33</v>
      </c>
      <c r="O1565" s="1" t="s">
        <v>34</v>
      </c>
      <c r="P1565" s="2">
        <v>1.0416666666666667E-4</v>
      </c>
      <c r="Q1565" s="1" t="str">
        <f>""</f>
        <v/>
      </c>
      <c r="R1565" s="1">
        <v>0</v>
      </c>
      <c r="S1565" s="1" t="str">
        <f>""</f>
        <v/>
      </c>
      <c r="T1565" s="1" t="s">
        <v>29</v>
      </c>
      <c r="U1565" s="1" t="s">
        <v>30</v>
      </c>
      <c r="V1565" s="1">
        <v>0</v>
      </c>
    </row>
    <row r="1566" spans="2:22" x14ac:dyDescent="0.15">
      <c r="B1566" s="1" t="str">
        <f>"185****0219"</f>
        <v>185****0219</v>
      </c>
      <c r="C1566" s="1" t="s">
        <v>35</v>
      </c>
      <c r="D1566" s="1" t="str">
        <f t="shared" si="162"/>
        <v>89177328</v>
      </c>
      <c r="E1566" s="1" t="s">
        <v>24</v>
      </c>
      <c r="F1566" s="1" t="str">
        <f t="shared" si="163"/>
        <v>0010</v>
      </c>
      <c r="G1566" s="1" t="str">
        <f>""</f>
        <v/>
      </c>
      <c r="H1566" s="1" t="str">
        <f>"0031"</f>
        <v>0031</v>
      </c>
      <c r="I1566" s="1" t="s">
        <v>95</v>
      </c>
      <c r="J1566" s="1" t="str">
        <f>"01043977565"</f>
        <v>01043977565</v>
      </c>
      <c r="K1566" s="1" t="str">
        <f>"2017-03-30 16:15:53"</f>
        <v>2017-03-30 16:15:53</v>
      </c>
      <c r="L1566" s="1" t="str">
        <f>"2017-03-30 16:16:00"</f>
        <v>2017-03-30 16:16:00</v>
      </c>
      <c r="M1566" s="2">
        <v>7.0601851851851841E-3</v>
      </c>
      <c r="N1566" s="1" t="s">
        <v>26</v>
      </c>
      <c r="O1566" s="1" t="s">
        <v>27</v>
      </c>
      <c r="P1566" s="2">
        <v>7.1412037037037043E-3</v>
      </c>
      <c r="Q1566" s="1" t="s">
        <v>1177</v>
      </c>
      <c r="R1566" s="1">
        <v>0</v>
      </c>
      <c r="S1566" s="1" t="str">
        <f>""</f>
        <v/>
      </c>
      <c r="T1566" s="1" t="s">
        <v>29</v>
      </c>
      <c r="U1566" s="1" t="s">
        <v>30</v>
      </c>
      <c r="V1566" s="1">
        <v>0</v>
      </c>
    </row>
    <row r="1567" spans="2:22" x14ac:dyDescent="0.15">
      <c r="B1567" s="1" t="str">
        <f>"177****0206"</f>
        <v>177****0206</v>
      </c>
      <c r="C1567" s="1" t="s">
        <v>23</v>
      </c>
      <c r="D1567" s="1" t="str">
        <f t="shared" si="162"/>
        <v>89177328</v>
      </c>
      <c r="E1567" s="1" t="s">
        <v>24</v>
      </c>
      <c r="F1567" s="1" t="str">
        <f t="shared" si="163"/>
        <v>0010</v>
      </c>
      <c r="G1567" s="1" t="str">
        <f>""</f>
        <v/>
      </c>
      <c r="H1567" s="1" t="str">
        <f>"0017"</f>
        <v>0017</v>
      </c>
      <c r="I1567" s="1" t="s">
        <v>135</v>
      </c>
      <c r="J1567" s="1" t="str">
        <f>"01043989717"</f>
        <v>01043989717</v>
      </c>
      <c r="K1567" s="1" t="str">
        <f>"2017-03-30 16:11:26"</f>
        <v>2017-03-30 16:11:26</v>
      </c>
      <c r="L1567" s="1" t="str">
        <f>"2017-03-30 16:11:40"</f>
        <v>2017-03-30 16:11:40</v>
      </c>
      <c r="M1567" s="2">
        <v>2.3148148148148147E-5</v>
      </c>
      <c r="N1567" s="1" t="s">
        <v>26</v>
      </c>
      <c r="O1567" s="1" t="s">
        <v>34</v>
      </c>
      <c r="P1567" s="2">
        <v>1.8518518518518518E-4</v>
      </c>
      <c r="Q1567" s="1" t="str">
        <f>""</f>
        <v/>
      </c>
      <c r="R1567" s="1">
        <v>0</v>
      </c>
      <c r="S1567" s="1" t="str">
        <f>""</f>
        <v/>
      </c>
      <c r="T1567" s="1" t="s">
        <v>29</v>
      </c>
      <c r="U1567" s="1" t="s">
        <v>30</v>
      </c>
      <c r="V1567" s="1">
        <v>0</v>
      </c>
    </row>
    <row r="1568" spans="2:22" x14ac:dyDescent="0.15">
      <c r="B1568" s="1" t="str">
        <f>"157****4678"</f>
        <v>157****4678</v>
      </c>
      <c r="C1568" s="1" t="s">
        <v>23</v>
      </c>
      <c r="D1568" s="1" t="str">
        <f t="shared" si="162"/>
        <v>89177328</v>
      </c>
      <c r="E1568" s="1" t="s">
        <v>24</v>
      </c>
      <c r="F1568" s="1" t="str">
        <f t="shared" si="163"/>
        <v>0010</v>
      </c>
      <c r="G1568" s="1" t="str">
        <f>""</f>
        <v/>
      </c>
      <c r="H1568" s="1" t="str">
        <f>"0017"</f>
        <v>0017</v>
      </c>
      <c r="I1568" s="1" t="s">
        <v>135</v>
      </c>
      <c r="J1568" s="1" t="str">
        <f>"01043989717"</f>
        <v>01043989717</v>
      </c>
      <c r="K1568" s="1" t="str">
        <f>"2017-03-30 16:11:15"</f>
        <v>2017-03-30 16:11:15</v>
      </c>
      <c r="L1568" s="1" t="str">
        <f>"2017-03-30 16:11:22"</f>
        <v>2017-03-30 16:11:22</v>
      </c>
      <c r="M1568" s="2">
        <v>1.1574074074074073E-5</v>
      </c>
      <c r="N1568" s="1" t="s">
        <v>26</v>
      </c>
      <c r="O1568" s="1" t="s">
        <v>34</v>
      </c>
      <c r="P1568" s="2">
        <v>9.2592592592592588E-5</v>
      </c>
      <c r="Q1568" s="1" t="str">
        <f>""</f>
        <v/>
      </c>
      <c r="R1568" s="1">
        <v>0</v>
      </c>
      <c r="S1568" s="1" t="str">
        <f>""</f>
        <v/>
      </c>
      <c r="T1568" s="1" t="s">
        <v>29</v>
      </c>
      <c r="U1568" s="1" t="s">
        <v>30</v>
      </c>
      <c r="V1568" s="1">
        <v>0</v>
      </c>
    </row>
    <row r="1569" spans="2:22" x14ac:dyDescent="0.15">
      <c r="B1569" s="1" t="str">
        <f>"010****1271"</f>
        <v>010****1271</v>
      </c>
      <c r="C1569" s="1" t="s">
        <v>23</v>
      </c>
      <c r="D1569" s="1" t="str">
        <f t="shared" si="162"/>
        <v>89177328</v>
      </c>
      <c r="E1569" s="1" t="s">
        <v>24</v>
      </c>
      <c r="F1569" s="1" t="str">
        <f t="shared" si="163"/>
        <v>0010</v>
      </c>
      <c r="G1569" s="1" t="str">
        <f>""</f>
        <v/>
      </c>
      <c r="H1569" s="1" t="str">
        <f>"0034"</f>
        <v>0034</v>
      </c>
      <c r="I1569" s="1" t="s">
        <v>31</v>
      </c>
      <c r="J1569" s="1" t="str">
        <f>"01043977568"</f>
        <v>01043977568</v>
      </c>
      <c r="K1569" s="1" t="str">
        <f>"2017-03-30 16:10:22"</f>
        <v>2017-03-30 16:10:22</v>
      </c>
      <c r="L1569" s="1" t="str">
        <f>"2017-03-30 16:10:43"</f>
        <v>2017-03-30 16:10:43</v>
      </c>
      <c r="M1569" s="2">
        <v>1.1342592592592592E-2</v>
      </c>
      <c r="N1569" s="1" t="s">
        <v>26</v>
      </c>
      <c r="O1569" s="1" t="s">
        <v>27</v>
      </c>
      <c r="P1569" s="2">
        <v>1.1585648148148149E-2</v>
      </c>
      <c r="Q1569" s="1" t="s">
        <v>1178</v>
      </c>
      <c r="R1569" s="1">
        <v>0</v>
      </c>
      <c r="S1569" s="1" t="str">
        <f>""</f>
        <v/>
      </c>
      <c r="T1569" s="1" t="s">
        <v>29</v>
      </c>
      <c r="U1569" s="1" t="s">
        <v>30</v>
      </c>
      <c r="V1569" s="1">
        <v>0</v>
      </c>
    </row>
    <row r="1570" spans="2:22" x14ac:dyDescent="0.15">
      <c r="B1570" s="1" t="str">
        <f>"157****4678"</f>
        <v>157****4678</v>
      </c>
      <c r="C1570" s="1" t="s">
        <v>23</v>
      </c>
      <c r="D1570" s="1" t="str">
        <f t="shared" si="162"/>
        <v>89177328</v>
      </c>
      <c r="E1570" s="1" t="s">
        <v>24</v>
      </c>
      <c r="F1570" s="1" t="str">
        <f t="shared" si="163"/>
        <v>0010</v>
      </c>
      <c r="G1570" s="1" t="str">
        <f>""</f>
        <v/>
      </c>
      <c r="H1570" s="1" t="str">
        <f>"0034"</f>
        <v>0034</v>
      </c>
      <c r="I1570" s="1" t="s">
        <v>31</v>
      </c>
      <c r="J1570" s="1" t="str">
        <f>"01043977568"</f>
        <v>01043977568</v>
      </c>
      <c r="K1570" s="1" t="str">
        <f>"2017-03-30 16:08:54"</f>
        <v>2017-03-30 16:08:54</v>
      </c>
      <c r="L1570" s="1" t="str">
        <f>"-"</f>
        <v>-</v>
      </c>
      <c r="M1570" s="2">
        <v>0</v>
      </c>
      <c r="N1570" s="1" t="s">
        <v>33</v>
      </c>
      <c r="O1570" s="1" t="s">
        <v>34</v>
      </c>
      <c r="P1570" s="2">
        <v>5.7870370370370366E-5</v>
      </c>
      <c r="Q1570" s="1" t="str">
        <f>""</f>
        <v/>
      </c>
      <c r="R1570" s="1">
        <v>0</v>
      </c>
      <c r="S1570" s="1" t="str">
        <f>""</f>
        <v/>
      </c>
      <c r="T1570" s="1" t="s">
        <v>29</v>
      </c>
      <c r="U1570" s="1" t="s">
        <v>30</v>
      </c>
      <c r="V1570" s="1">
        <v>0</v>
      </c>
    </row>
    <row r="1571" spans="2:22" x14ac:dyDescent="0.15">
      <c r="B1571" s="1" t="str">
        <f>"177****0206"</f>
        <v>177****0206</v>
      </c>
      <c r="C1571" s="1" t="s">
        <v>23</v>
      </c>
      <c r="D1571" s="1" t="str">
        <f t="shared" si="162"/>
        <v>89177328</v>
      </c>
      <c r="E1571" s="1" t="s">
        <v>24</v>
      </c>
      <c r="F1571" s="1" t="str">
        <f t="shared" si="163"/>
        <v>0010</v>
      </c>
      <c r="G1571" s="1" t="str">
        <f>""</f>
        <v/>
      </c>
      <c r="H1571" s="1" t="str">
        <f>"0034"</f>
        <v>0034</v>
      </c>
      <c r="I1571" s="1" t="s">
        <v>31</v>
      </c>
      <c r="J1571" s="1" t="str">
        <f>"01043977568"</f>
        <v>01043977568</v>
      </c>
      <c r="K1571" s="1" t="str">
        <f>"2017-03-30 16:07:59"</f>
        <v>2017-03-30 16:07:59</v>
      </c>
      <c r="L1571" s="1" t="str">
        <f>"-"</f>
        <v>-</v>
      </c>
      <c r="M1571" s="2">
        <v>0</v>
      </c>
      <c r="N1571" s="1" t="s">
        <v>33</v>
      </c>
      <c r="O1571" s="1" t="s">
        <v>34</v>
      </c>
      <c r="P1571" s="2">
        <v>6.9444444444444444E-5</v>
      </c>
      <c r="Q1571" s="1" t="str">
        <f>""</f>
        <v/>
      </c>
      <c r="R1571" s="1">
        <v>0</v>
      </c>
      <c r="S1571" s="1" t="str">
        <f>""</f>
        <v/>
      </c>
      <c r="T1571" s="1" t="s">
        <v>29</v>
      </c>
      <c r="U1571" s="1" t="s">
        <v>30</v>
      </c>
      <c r="V1571" s="1">
        <v>0</v>
      </c>
    </row>
    <row r="1572" spans="2:22" x14ac:dyDescent="0.15">
      <c r="B1572" s="1" t="str">
        <f>"133****3888"</f>
        <v>133****3888</v>
      </c>
      <c r="C1572" s="1" t="s">
        <v>76</v>
      </c>
      <c r="D1572" s="1" t="str">
        <f t="shared" si="162"/>
        <v>89177328</v>
      </c>
      <c r="E1572" s="1" t="s">
        <v>24</v>
      </c>
      <c r="F1572" s="1" t="str">
        <f t="shared" si="163"/>
        <v>0010</v>
      </c>
      <c r="G1572" s="1" t="str">
        <f>""</f>
        <v/>
      </c>
      <c r="H1572" s="1" t="str">
        <f>"0031"</f>
        <v>0031</v>
      </c>
      <c r="I1572" s="1" t="s">
        <v>95</v>
      </c>
      <c r="J1572" s="1" t="str">
        <f>"01043977565"</f>
        <v>01043977565</v>
      </c>
      <c r="K1572" s="1" t="str">
        <f>"2017-03-30 16:05:06"</f>
        <v>2017-03-30 16:05:06</v>
      </c>
      <c r="L1572" s="1" t="str">
        <f>"2017-03-30 16:05:14"</f>
        <v>2017-03-30 16:05:14</v>
      </c>
      <c r="M1572" s="2">
        <v>3.6342592592592594E-3</v>
      </c>
      <c r="N1572" s="1" t="s">
        <v>26</v>
      </c>
      <c r="O1572" s="1" t="s">
        <v>27</v>
      </c>
      <c r="P1572" s="2">
        <v>3.7268518518518514E-3</v>
      </c>
      <c r="Q1572" s="1" t="s">
        <v>1179</v>
      </c>
      <c r="R1572" s="1">
        <v>0</v>
      </c>
      <c r="S1572" s="1" t="str">
        <f>""</f>
        <v/>
      </c>
      <c r="T1572" s="1" t="s">
        <v>29</v>
      </c>
      <c r="U1572" s="1" t="s">
        <v>30</v>
      </c>
      <c r="V1572" s="1">
        <v>0</v>
      </c>
    </row>
    <row r="1573" spans="2:22" x14ac:dyDescent="0.15">
      <c r="B1573" s="1" t="str">
        <f>"138****3119"</f>
        <v>138****3119</v>
      </c>
      <c r="C1573" s="1" t="s">
        <v>306</v>
      </c>
      <c r="D1573" s="1" t="str">
        <f t="shared" si="162"/>
        <v>89177328</v>
      </c>
      <c r="E1573" s="1" t="s">
        <v>24</v>
      </c>
      <c r="F1573" s="1" t="str">
        <f t="shared" si="163"/>
        <v>0010</v>
      </c>
      <c r="G1573" s="1" t="str">
        <f>""</f>
        <v/>
      </c>
      <c r="H1573" s="1" t="str">
        <f>"0012"</f>
        <v>0012</v>
      </c>
      <c r="I1573" s="1" t="s">
        <v>612</v>
      </c>
      <c r="J1573" s="1" t="str">
        <f>"01043989720"</f>
        <v>01043989720</v>
      </c>
      <c r="K1573" s="1" t="str">
        <f>"2017-03-30 16:02:23"</f>
        <v>2017-03-30 16:02:23</v>
      </c>
      <c r="L1573" s="1" t="str">
        <f>"2017-03-30 16:02:29"</f>
        <v>2017-03-30 16:02:29</v>
      </c>
      <c r="M1573" s="2">
        <v>1.1388888888888888E-2</v>
      </c>
      <c r="N1573" s="1" t="s">
        <v>26</v>
      </c>
      <c r="O1573" s="1" t="s">
        <v>34</v>
      </c>
      <c r="P1573" s="2">
        <v>1.1458333333333334E-2</v>
      </c>
      <c r="Q1573" s="1" t="s">
        <v>1180</v>
      </c>
      <c r="R1573" s="1">
        <v>0</v>
      </c>
      <c r="S1573" s="1" t="str">
        <f>""</f>
        <v/>
      </c>
      <c r="T1573" s="1" t="s">
        <v>29</v>
      </c>
      <c r="U1573" s="1" t="s">
        <v>30</v>
      </c>
      <c r="V1573" s="1">
        <v>0</v>
      </c>
    </row>
    <row r="1574" spans="2:22" x14ac:dyDescent="0.15">
      <c r="B1574" s="1" t="str">
        <f>"138****3309"</f>
        <v>138****3309</v>
      </c>
      <c r="C1574" s="1" t="s">
        <v>23</v>
      </c>
      <c r="D1574" s="1" t="str">
        <f t="shared" si="162"/>
        <v>89177328</v>
      </c>
      <c r="E1574" s="1" t="s">
        <v>24</v>
      </c>
      <c r="F1574" s="1" t="str">
        <f t="shared" si="163"/>
        <v>0010</v>
      </c>
      <c r="G1574" s="1" t="str">
        <f>""</f>
        <v/>
      </c>
      <c r="H1574" s="1" t="str">
        <f>"0017"</f>
        <v>0017</v>
      </c>
      <c r="I1574" s="1" t="s">
        <v>135</v>
      </c>
      <c r="J1574" s="1" t="str">
        <f>"01043989717"</f>
        <v>01043989717</v>
      </c>
      <c r="K1574" s="1" t="str">
        <f>"2017-03-30 16:00:10"</f>
        <v>2017-03-30 16:00:10</v>
      </c>
      <c r="L1574" s="1" t="str">
        <f>"2017-03-30 16:00:19"</f>
        <v>2017-03-30 16:00:19</v>
      </c>
      <c r="M1574" s="2">
        <v>2.3958333333333336E-3</v>
      </c>
      <c r="N1574" s="1" t="s">
        <v>26</v>
      </c>
      <c r="O1574" s="1" t="s">
        <v>27</v>
      </c>
      <c r="P1574" s="2">
        <v>2.5000000000000001E-3</v>
      </c>
      <c r="Q1574" s="1" t="s">
        <v>1181</v>
      </c>
      <c r="R1574" s="1">
        <v>0</v>
      </c>
      <c r="S1574" s="1" t="str">
        <f>""</f>
        <v/>
      </c>
      <c r="T1574" s="1" t="s">
        <v>29</v>
      </c>
      <c r="U1574" s="1" t="s">
        <v>30</v>
      </c>
      <c r="V1574" s="1">
        <v>0</v>
      </c>
    </row>
    <row r="1575" spans="2:22" x14ac:dyDescent="0.15">
      <c r="B1575" s="1" t="str">
        <f>"136****9333"</f>
        <v>136****9333</v>
      </c>
      <c r="C1575" s="1" t="s">
        <v>80</v>
      </c>
      <c r="D1575" s="1" t="str">
        <f t="shared" si="162"/>
        <v>89177328</v>
      </c>
      <c r="E1575" s="1" t="s">
        <v>24</v>
      </c>
      <c r="F1575" s="1" t="str">
        <f t="shared" si="163"/>
        <v>0010</v>
      </c>
      <c r="G1575" s="1" t="str">
        <f>""</f>
        <v/>
      </c>
      <c r="H1575" s="1" t="str">
        <f>"0017"</f>
        <v>0017</v>
      </c>
      <c r="I1575" s="1" t="s">
        <v>135</v>
      </c>
      <c r="J1575" s="1" t="str">
        <f>"01043989717"</f>
        <v>01043989717</v>
      </c>
      <c r="K1575" s="1" t="str">
        <f>"2017-03-30 15:52:58"</f>
        <v>2017-03-30 15:52:58</v>
      </c>
      <c r="L1575" s="1" t="str">
        <f>"-"</f>
        <v>-</v>
      </c>
      <c r="M1575" s="2">
        <v>0</v>
      </c>
      <c r="N1575" s="1" t="s">
        <v>33</v>
      </c>
      <c r="O1575" s="1" t="s">
        <v>34</v>
      </c>
      <c r="P1575" s="2">
        <v>2.3148148148148147E-5</v>
      </c>
      <c r="Q1575" s="1" t="str">
        <f>""</f>
        <v/>
      </c>
      <c r="R1575" s="1">
        <v>0</v>
      </c>
      <c r="S1575" s="1" t="str">
        <f>""</f>
        <v/>
      </c>
      <c r="T1575" s="1" t="s">
        <v>29</v>
      </c>
      <c r="U1575" s="1" t="s">
        <v>30</v>
      </c>
      <c r="V1575" s="1">
        <v>0</v>
      </c>
    </row>
    <row r="1576" spans="2:22" x14ac:dyDescent="0.15">
      <c r="B1576" s="1" t="str">
        <f>"186****4500"</f>
        <v>186****4500</v>
      </c>
      <c r="C1576" s="1" t="s">
        <v>23</v>
      </c>
      <c r="D1576" s="1" t="str">
        <f t="shared" si="162"/>
        <v>89177328</v>
      </c>
      <c r="E1576" s="1" t="s">
        <v>24</v>
      </c>
      <c r="F1576" s="1" t="str">
        <f t="shared" si="163"/>
        <v>0010</v>
      </c>
      <c r="G1576" s="1" t="str">
        <f>""</f>
        <v/>
      </c>
      <c r="H1576" s="1" t="str">
        <f>"0018"</f>
        <v>0018</v>
      </c>
      <c r="I1576" s="1" t="s">
        <v>36</v>
      </c>
      <c r="J1576" s="1" t="str">
        <f>"01043977572"</f>
        <v>01043977572</v>
      </c>
      <c r="K1576" s="1" t="str">
        <f>"2017-03-30 15:50:23"</f>
        <v>2017-03-30 15:50:23</v>
      </c>
      <c r="L1576" s="1" t="str">
        <f>"2017-03-30 15:50:25"</f>
        <v>2017-03-30 15:50:25</v>
      </c>
      <c r="M1576" s="2">
        <v>2.7083333333333334E-3</v>
      </c>
      <c r="N1576" s="1" t="s">
        <v>26</v>
      </c>
      <c r="O1576" s="1" t="s">
        <v>34</v>
      </c>
      <c r="P1576" s="2">
        <v>2.7314814814814819E-3</v>
      </c>
      <c r="Q1576" s="1" t="s">
        <v>1182</v>
      </c>
      <c r="R1576" s="1">
        <v>0</v>
      </c>
      <c r="S1576" s="1" t="str">
        <f>""</f>
        <v/>
      </c>
      <c r="T1576" s="1" t="s">
        <v>29</v>
      </c>
      <c r="U1576" s="1" t="s">
        <v>30</v>
      </c>
      <c r="V1576" s="1">
        <v>0</v>
      </c>
    </row>
    <row r="1577" spans="2:22" x14ac:dyDescent="0.15">
      <c r="B1577" s="1" t="str">
        <f>"133****3875"</f>
        <v>133****3875</v>
      </c>
      <c r="C1577" s="1" t="s">
        <v>23</v>
      </c>
      <c r="D1577" s="1" t="str">
        <f t="shared" si="162"/>
        <v>89177328</v>
      </c>
      <c r="E1577" s="1" t="s">
        <v>24</v>
      </c>
      <c r="F1577" s="1" t="str">
        <f t="shared" si="163"/>
        <v>0010</v>
      </c>
      <c r="G1577" s="1" t="str">
        <f>""</f>
        <v/>
      </c>
      <c r="H1577" s="1" t="str">
        <f>"0018"</f>
        <v>0018</v>
      </c>
      <c r="I1577" s="1" t="s">
        <v>36</v>
      </c>
      <c r="J1577" s="1" t="str">
        <f>"01043977572"</f>
        <v>01043977572</v>
      </c>
      <c r="K1577" s="1" t="str">
        <f>"2017-03-30 15:50:04"</f>
        <v>2017-03-30 15:50:04</v>
      </c>
      <c r="L1577" s="1" t="str">
        <f>"-"</f>
        <v>-</v>
      </c>
      <c r="M1577" s="2">
        <v>0</v>
      </c>
      <c r="N1577" s="1" t="s">
        <v>33</v>
      </c>
      <c r="O1577" s="1" t="s">
        <v>34</v>
      </c>
      <c r="P1577" s="2">
        <v>1.1574074074074073E-5</v>
      </c>
      <c r="Q1577" s="1" t="str">
        <f>""</f>
        <v/>
      </c>
      <c r="R1577" s="1">
        <v>0</v>
      </c>
      <c r="S1577" s="1" t="str">
        <f>""</f>
        <v/>
      </c>
      <c r="T1577" s="1" t="s">
        <v>29</v>
      </c>
      <c r="U1577" s="1" t="s">
        <v>30</v>
      </c>
      <c r="V1577" s="1">
        <v>0</v>
      </c>
    </row>
    <row r="1578" spans="2:22" x14ac:dyDescent="0.15">
      <c r="B1578" s="1" t="str">
        <f>"189****9507"</f>
        <v>189****9507</v>
      </c>
      <c r="C1578" s="1" t="s">
        <v>23</v>
      </c>
      <c r="D1578" s="1" t="str">
        <f t="shared" si="162"/>
        <v>89177328</v>
      </c>
      <c r="E1578" s="1" t="s">
        <v>24</v>
      </c>
      <c r="F1578" s="1" t="str">
        <f t="shared" si="163"/>
        <v>0010</v>
      </c>
      <c r="G1578" s="1" t="str">
        <f>""</f>
        <v/>
      </c>
      <c r="H1578" s="1" t="str">
        <f>"0035"</f>
        <v>0035</v>
      </c>
      <c r="I1578" s="1" t="s">
        <v>25</v>
      </c>
      <c r="J1578" s="1" t="str">
        <f>"01043977569"</f>
        <v>01043977569</v>
      </c>
      <c r="K1578" s="1" t="str">
        <f>"2017-03-30 15:40:03"</f>
        <v>2017-03-30 15:40:03</v>
      </c>
      <c r="L1578" s="1" t="str">
        <f>"2017-03-30 15:40:13"</f>
        <v>2017-03-30 15:40:13</v>
      </c>
      <c r="M1578" s="2">
        <v>5.37037037037037E-3</v>
      </c>
      <c r="N1578" s="1" t="s">
        <v>26</v>
      </c>
      <c r="O1578" s="1" t="s">
        <v>27</v>
      </c>
      <c r="P1578" s="2">
        <v>5.4861111111111117E-3</v>
      </c>
      <c r="Q1578" s="1" t="s">
        <v>1183</v>
      </c>
      <c r="R1578" s="1">
        <v>0</v>
      </c>
      <c r="S1578" s="1" t="str">
        <f>""</f>
        <v/>
      </c>
      <c r="T1578" s="1" t="s">
        <v>29</v>
      </c>
      <c r="U1578" s="1" t="s">
        <v>30</v>
      </c>
      <c r="V1578" s="1">
        <v>0</v>
      </c>
    </row>
    <row r="1579" spans="2:22" x14ac:dyDescent="0.15">
      <c r="B1579" s="1" t="str">
        <f>"010****0306"</f>
        <v>010****0306</v>
      </c>
      <c r="C1579" s="1" t="s">
        <v>23</v>
      </c>
      <c r="D1579" s="1" t="str">
        <f t="shared" si="162"/>
        <v>89177328</v>
      </c>
      <c r="E1579" s="1" t="s">
        <v>24</v>
      </c>
      <c r="F1579" s="1" t="str">
        <f t="shared" si="163"/>
        <v>0010</v>
      </c>
      <c r="G1579" s="1" t="str">
        <f>""</f>
        <v/>
      </c>
      <c r="H1579" s="1" t="str">
        <f>"0033"</f>
        <v>0033</v>
      </c>
      <c r="I1579" s="1" t="s">
        <v>106</v>
      </c>
      <c r="J1579" s="1" t="str">
        <f>"01043977567"</f>
        <v>01043977567</v>
      </c>
      <c r="K1579" s="1" t="str">
        <f>"2017-03-30 15:31:51"</f>
        <v>2017-03-30 15:31:51</v>
      </c>
      <c r="L1579" s="1" t="str">
        <f>"2017-03-30 15:32:00"</f>
        <v>2017-03-30 15:32:00</v>
      </c>
      <c r="M1579" s="2">
        <v>2.9166666666666668E-3</v>
      </c>
      <c r="N1579" s="1" t="s">
        <v>26</v>
      </c>
      <c r="O1579" s="1" t="s">
        <v>27</v>
      </c>
      <c r="P1579" s="2">
        <v>3.0208333333333333E-3</v>
      </c>
      <c r="Q1579" s="1" t="s">
        <v>1184</v>
      </c>
      <c r="R1579" s="1">
        <v>0</v>
      </c>
      <c r="S1579" s="1" t="str">
        <f>""</f>
        <v/>
      </c>
      <c r="T1579" s="1" t="s">
        <v>29</v>
      </c>
      <c r="U1579" s="1" t="s">
        <v>30</v>
      </c>
      <c r="V1579" s="1">
        <v>0</v>
      </c>
    </row>
    <row r="1580" spans="2:22" x14ac:dyDescent="0.15">
      <c r="B1580" s="1" t="str">
        <f>"136****7592"</f>
        <v>136****7592</v>
      </c>
      <c r="C1580" s="1" t="s">
        <v>23</v>
      </c>
      <c r="D1580" s="1" t="str">
        <f t="shared" si="162"/>
        <v>89177328</v>
      </c>
      <c r="E1580" s="1" t="s">
        <v>24</v>
      </c>
      <c r="F1580" s="1" t="str">
        <f t="shared" si="163"/>
        <v>0010</v>
      </c>
      <c r="G1580" s="1" t="str">
        <f>""</f>
        <v/>
      </c>
      <c r="H1580" s="1" t="str">
        <f>"0017"</f>
        <v>0017</v>
      </c>
      <c r="I1580" s="1" t="s">
        <v>135</v>
      </c>
      <c r="J1580" s="1" t="str">
        <f>"01043989717"</f>
        <v>01043989717</v>
      </c>
      <c r="K1580" s="1" t="str">
        <f>"2017-03-30 15:29:10"</f>
        <v>2017-03-30 15:29:10</v>
      </c>
      <c r="L1580" s="1" t="str">
        <f>"2017-03-30 15:29:39"</f>
        <v>2017-03-30 15:29:39</v>
      </c>
      <c r="M1580" s="2">
        <v>8.7615740740740744E-3</v>
      </c>
      <c r="N1580" s="1" t="s">
        <v>26</v>
      </c>
      <c r="O1580" s="1" t="s">
        <v>27</v>
      </c>
      <c r="P1580" s="2">
        <v>9.0972222222222218E-3</v>
      </c>
      <c r="Q1580" s="1" t="s">
        <v>1185</v>
      </c>
      <c r="R1580" s="1">
        <v>0</v>
      </c>
      <c r="S1580" s="1" t="str">
        <f>""</f>
        <v/>
      </c>
      <c r="T1580" s="1" t="s">
        <v>29</v>
      </c>
      <c r="U1580" s="1" t="s">
        <v>30</v>
      </c>
      <c r="V1580" s="1">
        <v>0</v>
      </c>
    </row>
    <row r="1581" spans="2:22" x14ac:dyDescent="0.15">
      <c r="B1581" s="1" t="str">
        <f>"186****0604"</f>
        <v>186****0604</v>
      </c>
      <c r="C1581" s="1" t="s">
        <v>23</v>
      </c>
      <c r="D1581" s="1" t="str">
        <f t="shared" si="162"/>
        <v>89177328</v>
      </c>
      <c r="E1581" s="1" t="s">
        <v>24</v>
      </c>
      <c r="F1581" s="1" t="str">
        <f t="shared" si="163"/>
        <v>0010</v>
      </c>
      <c r="G1581" s="1" t="str">
        <f>""</f>
        <v/>
      </c>
      <c r="H1581" s="1" t="str">
        <f>"0033"</f>
        <v>0033</v>
      </c>
      <c r="I1581" s="1" t="s">
        <v>106</v>
      </c>
      <c r="J1581" s="1" t="str">
        <f>"01043977567"</f>
        <v>01043977567</v>
      </c>
      <c r="K1581" s="1" t="str">
        <f>"2017-03-30 15:28:10"</f>
        <v>2017-03-30 15:28:10</v>
      </c>
      <c r="L1581" s="1" t="str">
        <f>"-"</f>
        <v>-</v>
      </c>
      <c r="M1581" s="2">
        <v>0</v>
      </c>
      <c r="N1581" s="1" t="s">
        <v>33</v>
      </c>
      <c r="O1581" s="1" t="s">
        <v>34</v>
      </c>
      <c r="P1581" s="2">
        <v>6.9444444444444444E-5</v>
      </c>
      <c r="Q1581" s="1" t="str">
        <f>""</f>
        <v/>
      </c>
      <c r="R1581" s="1">
        <v>0</v>
      </c>
      <c r="S1581" s="1" t="str">
        <f>""</f>
        <v/>
      </c>
      <c r="T1581" s="1" t="s">
        <v>29</v>
      </c>
      <c r="U1581" s="1" t="s">
        <v>30</v>
      </c>
      <c r="V1581" s="1">
        <v>0</v>
      </c>
    </row>
    <row r="1582" spans="2:22" x14ac:dyDescent="0.15">
      <c r="B1582" s="1" t="str">
        <f>"180****8903"</f>
        <v>180****8903</v>
      </c>
      <c r="C1582" s="1" t="s">
        <v>283</v>
      </c>
      <c r="D1582" s="1" t="str">
        <f t="shared" si="162"/>
        <v>89177328</v>
      </c>
      <c r="E1582" s="1" t="s">
        <v>24</v>
      </c>
      <c r="F1582" s="1" t="str">
        <f t="shared" si="163"/>
        <v>0010</v>
      </c>
      <c r="G1582" s="1" t="str">
        <f>""</f>
        <v/>
      </c>
      <c r="H1582" s="1" t="str">
        <f>"0012"</f>
        <v>0012</v>
      </c>
      <c r="I1582" s="1" t="s">
        <v>612</v>
      </c>
      <c r="J1582" s="1" t="str">
        <f>"01043989720"</f>
        <v>01043989720</v>
      </c>
      <c r="K1582" s="1" t="str">
        <f>"2017-03-30 15:22:28"</f>
        <v>2017-03-30 15:22:28</v>
      </c>
      <c r="L1582" s="1" t="str">
        <f>"2017-03-30 15:22:45"</f>
        <v>2017-03-30 15:22:45</v>
      </c>
      <c r="M1582" s="2">
        <v>1.4016203703703704E-2</v>
      </c>
      <c r="N1582" s="1" t="s">
        <v>26</v>
      </c>
      <c r="O1582" s="1" t="s">
        <v>34</v>
      </c>
      <c r="P1582" s="2">
        <v>1.4212962962962962E-2</v>
      </c>
      <c r="Q1582" s="1" t="s">
        <v>1186</v>
      </c>
      <c r="R1582" s="1">
        <v>0</v>
      </c>
      <c r="S1582" s="1" t="str">
        <f>""</f>
        <v/>
      </c>
      <c r="T1582" s="1" t="s">
        <v>29</v>
      </c>
      <c r="U1582" s="1" t="s">
        <v>30</v>
      </c>
      <c r="V1582" s="1">
        <v>0</v>
      </c>
    </row>
    <row r="1583" spans="2:22" x14ac:dyDescent="0.15">
      <c r="B1583" s="1" t="str">
        <f>"155****3189"</f>
        <v>155****3189</v>
      </c>
      <c r="C1583" s="1" t="s">
        <v>645</v>
      </c>
      <c r="D1583" s="1" t="str">
        <f t="shared" si="162"/>
        <v>89177328</v>
      </c>
      <c r="E1583" s="1" t="s">
        <v>24</v>
      </c>
      <c r="F1583" s="1" t="str">
        <f t="shared" si="163"/>
        <v>0010</v>
      </c>
      <c r="G1583" s="1" t="str">
        <f>""</f>
        <v/>
      </c>
      <c r="H1583" s="1" t="str">
        <f>"0012"</f>
        <v>0012</v>
      </c>
      <c r="I1583" s="1" t="s">
        <v>612</v>
      </c>
      <c r="J1583" s="1" t="str">
        <f>"01043989720"</f>
        <v>01043989720</v>
      </c>
      <c r="K1583" s="1" t="str">
        <f>"2017-03-30 15:16:37"</f>
        <v>2017-03-30 15:16:37</v>
      </c>
      <c r="L1583" s="1" t="str">
        <f>"-"</f>
        <v>-</v>
      </c>
      <c r="M1583" s="2">
        <v>0</v>
      </c>
      <c r="N1583" s="1" t="s">
        <v>33</v>
      </c>
      <c r="O1583" s="1" t="s">
        <v>34</v>
      </c>
      <c r="P1583" s="2">
        <v>6.134259259259259E-4</v>
      </c>
      <c r="Q1583" s="1" t="str">
        <f>""</f>
        <v/>
      </c>
      <c r="R1583" s="1">
        <v>0</v>
      </c>
      <c r="S1583" s="1" t="str">
        <f>""</f>
        <v/>
      </c>
      <c r="T1583" s="1" t="s">
        <v>29</v>
      </c>
      <c r="U1583" s="1" t="s">
        <v>30</v>
      </c>
      <c r="V1583" s="1">
        <v>0</v>
      </c>
    </row>
    <row r="1584" spans="2:22" x14ac:dyDescent="0.15">
      <c r="B1584" s="1" t="str">
        <f>"0315177****2636"</f>
        <v>0315177****2636</v>
      </c>
      <c r="C1584" s="1" t="s">
        <v>76</v>
      </c>
      <c r="D1584" s="1" t="str">
        <f t="shared" si="162"/>
        <v>89177328</v>
      </c>
      <c r="E1584" s="1" t="s">
        <v>24</v>
      </c>
      <c r="F1584" s="1" t="str">
        <f t="shared" si="163"/>
        <v>0010</v>
      </c>
      <c r="G1584" s="1" t="str">
        <f>""</f>
        <v/>
      </c>
      <c r="H1584" s="1" t="str">
        <f>"0018"</f>
        <v>0018</v>
      </c>
      <c r="I1584" s="1" t="s">
        <v>36</v>
      </c>
      <c r="J1584" s="1" t="str">
        <f>"01043977572"</f>
        <v>01043977572</v>
      </c>
      <c r="K1584" s="1" t="str">
        <f>"2017-03-30 15:15:01"</f>
        <v>2017-03-30 15:15:01</v>
      </c>
      <c r="L1584" s="1" t="str">
        <f>"2017-03-30 15:15:06"</f>
        <v>2017-03-30 15:15:06</v>
      </c>
      <c r="M1584" s="2">
        <v>1.2511574074074073E-2</v>
      </c>
      <c r="N1584" s="1" t="s">
        <v>26</v>
      </c>
      <c r="O1584" s="1" t="s">
        <v>34</v>
      </c>
      <c r="P1584" s="2">
        <v>1.2569444444444446E-2</v>
      </c>
      <c r="Q1584" s="1" t="s">
        <v>1187</v>
      </c>
      <c r="R1584" s="1">
        <v>0</v>
      </c>
      <c r="S1584" s="1" t="str">
        <f>""</f>
        <v/>
      </c>
      <c r="T1584" s="1" t="s">
        <v>29</v>
      </c>
      <c r="U1584" s="1" t="s">
        <v>30</v>
      </c>
      <c r="V1584" s="1">
        <v>0</v>
      </c>
    </row>
    <row r="1585" spans="2:22" x14ac:dyDescent="0.15">
      <c r="B1585" s="1" t="str">
        <f>"0312137****1135"</f>
        <v>0312137****1135</v>
      </c>
      <c r="C1585" s="1" t="s">
        <v>99</v>
      </c>
      <c r="D1585" s="1" t="str">
        <f t="shared" si="162"/>
        <v>89177328</v>
      </c>
      <c r="E1585" s="1" t="s">
        <v>24</v>
      </c>
      <c r="F1585" s="1" t="str">
        <f t="shared" si="163"/>
        <v>0010</v>
      </c>
      <c r="G1585" s="1" t="str">
        <f>""</f>
        <v/>
      </c>
      <c r="H1585" s="1" t="str">
        <f>"0035"</f>
        <v>0035</v>
      </c>
      <c r="I1585" s="1" t="s">
        <v>25</v>
      </c>
      <c r="J1585" s="1" t="str">
        <f>"01043977569"</f>
        <v>01043977569</v>
      </c>
      <c r="K1585" s="1" t="str">
        <f>"2017-03-30 15:11:49"</f>
        <v>2017-03-30 15:11:49</v>
      </c>
      <c r="L1585" s="1" t="str">
        <f>"2017-03-30 15:12:00"</f>
        <v>2017-03-30 15:12:00</v>
      </c>
      <c r="M1585" s="2">
        <v>8.611111111111111E-3</v>
      </c>
      <c r="N1585" s="1" t="s">
        <v>26</v>
      </c>
      <c r="O1585" s="1" t="s">
        <v>34</v>
      </c>
      <c r="P1585" s="2">
        <v>8.7384259259259255E-3</v>
      </c>
      <c r="Q1585" s="1" t="s">
        <v>1188</v>
      </c>
      <c r="R1585" s="1">
        <v>0</v>
      </c>
      <c r="S1585" s="1" t="str">
        <f>""</f>
        <v/>
      </c>
      <c r="T1585" s="1" t="s">
        <v>29</v>
      </c>
      <c r="U1585" s="1" t="s">
        <v>30</v>
      </c>
      <c r="V1585" s="1">
        <v>0</v>
      </c>
    </row>
    <row r="1586" spans="2:22" x14ac:dyDescent="0.15">
      <c r="B1586" s="1" t="str">
        <f>"010****3103"</f>
        <v>010****3103</v>
      </c>
      <c r="C1586" s="1" t="s">
        <v>23</v>
      </c>
      <c r="D1586" s="1" t="str">
        <f t="shared" si="162"/>
        <v>89177328</v>
      </c>
      <c r="E1586" s="1" t="s">
        <v>24</v>
      </c>
      <c r="F1586" s="1" t="str">
        <f t="shared" si="163"/>
        <v>0010</v>
      </c>
      <c r="G1586" s="1" t="str">
        <f>""</f>
        <v/>
      </c>
      <c r="H1586" s="1" t="str">
        <f>"0010"</f>
        <v>0010</v>
      </c>
      <c r="I1586" s="1" t="s">
        <v>71</v>
      </c>
      <c r="J1586" s="1" t="str">
        <f>"01043977571"</f>
        <v>01043977571</v>
      </c>
      <c r="K1586" s="1" t="str">
        <f>"2017-03-30 15:11:23"</f>
        <v>2017-03-30 15:11:23</v>
      </c>
      <c r="L1586" s="1" t="str">
        <f>"2017-03-30 15:11:35"</f>
        <v>2017-03-30 15:11:35</v>
      </c>
      <c r="M1586" s="2">
        <v>1.832175925925926E-2</v>
      </c>
      <c r="N1586" s="1" t="s">
        <v>26</v>
      </c>
      <c r="O1586" s="1" t="s">
        <v>27</v>
      </c>
      <c r="P1586" s="2">
        <v>1.8460648148148146E-2</v>
      </c>
      <c r="Q1586" s="1" t="s">
        <v>1189</v>
      </c>
      <c r="R1586" s="1">
        <v>0</v>
      </c>
      <c r="S1586" s="1" t="str">
        <f>""</f>
        <v/>
      </c>
      <c r="T1586" s="1" t="s">
        <v>29</v>
      </c>
      <c r="U1586" s="1" t="s">
        <v>30</v>
      </c>
      <c r="V1586" s="1">
        <v>0</v>
      </c>
    </row>
    <row r="1587" spans="2:22" x14ac:dyDescent="0.15">
      <c r="B1587" s="1" t="str">
        <f>"188****7867"</f>
        <v>188****7867</v>
      </c>
      <c r="C1587" s="1" t="s">
        <v>23</v>
      </c>
      <c r="D1587" s="1" t="str">
        <f t="shared" si="162"/>
        <v>89177328</v>
      </c>
      <c r="E1587" s="1" t="s">
        <v>24</v>
      </c>
      <c r="F1587" s="1" t="str">
        <f t="shared" si="163"/>
        <v>0010</v>
      </c>
      <c r="G1587" s="1" t="str">
        <f>""</f>
        <v/>
      </c>
      <c r="H1587" s="1" t="str">
        <f>"0035"</f>
        <v>0035</v>
      </c>
      <c r="I1587" s="1" t="s">
        <v>25</v>
      </c>
      <c r="J1587" s="1" t="str">
        <f>"01043977569"</f>
        <v>01043977569</v>
      </c>
      <c r="K1587" s="1" t="str">
        <f>"2017-03-30 15:09:57"</f>
        <v>2017-03-30 15:09:57</v>
      </c>
      <c r="L1587" s="1" t="str">
        <f>"-"</f>
        <v>-</v>
      </c>
      <c r="M1587" s="2">
        <v>0</v>
      </c>
      <c r="N1587" s="1" t="s">
        <v>33</v>
      </c>
      <c r="O1587" s="1" t="s">
        <v>34</v>
      </c>
      <c r="P1587" s="2">
        <v>5.7870370370370366E-5</v>
      </c>
      <c r="Q1587" s="1" t="str">
        <f>""</f>
        <v/>
      </c>
      <c r="R1587" s="1">
        <v>0</v>
      </c>
      <c r="S1587" s="1" t="str">
        <f>""</f>
        <v/>
      </c>
      <c r="T1587" s="1" t="s">
        <v>29</v>
      </c>
      <c r="U1587" s="1" t="s">
        <v>30</v>
      </c>
      <c r="V1587" s="1">
        <v>0</v>
      </c>
    </row>
    <row r="1588" spans="2:22" x14ac:dyDescent="0.15">
      <c r="B1588" s="1" t="str">
        <f>"188****7867"</f>
        <v>188****7867</v>
      </c>
      <c r="C1588" s="1" t="s">
        <v>23</v>
      </c>
      <c r="D1588" s="1" t="str">
        <f t="shared" si="162"/>
        <v>89177328</v>
      </c>
      <c r="E1588" s="1" t="s">
        <v>24</v>
      </c>
      <c r="F1588" s="1" t="str">
        <f t="shared" si="163"/>
        <v>0010</v>
      </c>
      <c r="G1588" s="1" t="str">
        <f>""</f>
        <v/>
      </c>
      <c r="H1588" s="1" t="str">
        <f>"0035"</f>
        <v>0035</v>
      </c>
      <c r="I1588" s="1" t="s">
        <v>25</v>
      </c>
      <c r="J1588" s="1" t="str">
        <f>"01043977569"</f>
        <v>01043977569</v>
      </c>
      <c r="K1588" s="1" t="str">
        <f>"2017-03-30 15:07:02"</f>
        <v>2017-03-30 15:07:02</v>
      </c>
      <c r="L1588" s="1" t="str">
        <f>"-"</f>
        <v>-</v>
      </c>
      <c r="M1588" s="2">
        <v>0</v>
      </c>
      <c r="N1588" s="1" t="s">
        <v>33</v>
      </c>
      <c r="O1588" s="1" t="s">
        <v>34</v>
      </c>
      <c r="P1588" s="2">
        <v>5.7870370370370366E-5</v>
      </c>
      <c r="Q1588" s="1" t="str">
        <f>""</f>
        <v/>
      </c>
      <c r="R1588" s="1">
        <v>0</v>
      </c>
      <c r="S1588" s="1" t="str">
        <f>""</f>
        <v/>
      </c>
      <c r="T1588" s="1" t="s">
        <v>29</v>
      </c>
      <c r="U1588" s="1" t="s">
        <v>30</v>
      </c>
      <c r="V1588" s="1">
        <v>0</v>
      </c>
    </row>
    <row r="1589" spans="2:22" x14ac:dyDescent="0.15">
      <c r="B1589" s="1" t="str">
        <f>"188****7867"</f>
        <v>188****7867</v>
      </c>
      <c r="C1589" s="1" t="s">
        <v>23</v>
      </c>
      <c r="D1589" s="1" t="str">
        <f t="shared" si="162"/>
        <v>89177328</v>
      </c>
      <c r="E1589" s="1" t="s">
        <v>24</v>
      </c>
      <c r="F1589" s="1" t="str">
        <f t="shared" si="163"/>
        <v>0010</v>
      </c>
      <c r="G1589" s="1" t="str">
        <f>""</f>
        <v/>
      </c>
      <c r="H1589" s="1" t="str">
        <f>"0035"</f>
        <v>0035</v>
      </c>
      <c r="I1589" s="1" t="s">
        <v>25</v>
      </c>
      <c r="J1589" s="1" t="str">
        <f>"01043977569"</f>
        <v>01043977569</v>
      </c>
      <c r="K1589" s="1" t="str">
        <f>"2017-03-30 15:03:32"</f>
        <v>2017-03-30 15:03:32</v>
      </c>
      <c r="L1589" s="1" t="str">
        <f>"2017-03-30 15:03:37"</f>
        <v>2017-03-30 15:03:37</v>
      </c>
      <c r="M1589" s="2">
        <v>4.3981481481481481E-4</v>
      </c>
      <c r="N1589" s="1" t="s">
        <v>26</v>
      </c>
      <c r="O1589" s="1" t="s">
        <v>27</v>
      </c>
      <c r="P1589" s="2">
        <v>4.9768518518518521E-4</v>
      </c>
      <c r="Q1589" s="1" t="s">
        <v>1190</v>
      </c>
      <c r="R1589" s="1">
        <v>0</v>
      </c>
      <c r="S1589" s="1" t="str">
        <f>""</f>
        <v/>
      </c>
      <c r="T1589" s="1" t="s">
        <v>29</v>
      </c>
      <c r="U1589" s="1" t="s">
        <v>30</v>
      </c>
      <c r="V1589" s="1">
        <v>0</v>
      </c>
    </row>
    <row r="1590" spans="2:22" x14ac:dyDescent="0.15">
      <c r="B1590" s="1" t="str">
        <f>"139****6280"</f>
        <v>139****6280</v>
      </c>
      <c r="C1590" s="1" t="s">
        <v>23</v>
      </c>
      <c r="D1590" s="1" t="str">
        <f t="shared" si="162"/>
        <v>89177328</v>
      </c>
      <c r="E1590" s="1" t="s">
        <v>24</v>
      </c>
      <c r="F1590" s="1" t="str">
        <f t="shared" si="163"/>
        <v>0010</v>
      </c>
      <c r="G1590" s="1" t="str">
        <f>""</f>
        <v/>
      </c>
      <c r="H1590" s="1" t="str">
        <f>"0017"</f>
        <v>0017</v>
      </c>
      <c r="I1590" s="1" t="s">
        <v>135</v>
      </c>
      <c r="J1590" s="1" t="str">
        <f>"01043989717"</f>
        <v>01043989717</v>
      </c>
      <c r="K1590" s="1" t="str">
        <f>"2017-03-30 14:57:01"</f>
        <v>2017-03-30 14:57:01</v>
      </c>
      <c r="L1590" s="1" t="str">
        <f>"2017-03-30 14:57:07"</f>
        <v>2017-03-30 14:57:07</v>
      </c>
      <c r="M1590" s="2">
        <v>1.2175925925925929E-2</v>
      </c>
      <c r="N1590" s="1" t="s">
        <v>26</v>
      </c>
      <c r="O1590" s="1" t="s">
        <v>34</v>
      </c>
      <c r="P1590" s="2">
        <v>1.224537037037037E-2</v>
      </c>
      <c r="Q1590" s="1" t="s">
        <v>1191</v>
      </c>
      <c r="R1590" s="1">
        <v>0</v>
      </c>
      <c r="S1590" s="1" t="str">
        <f>""</f>
        <v/>
      </c>
      <c r="T1590" s="1" t="s">
        <v>29</v>
      </c>
      <c r="U1590" s="1" t="s">
        <v>30</v>
      </c>
      <c r="V1590" s="1">
        <v>0</v>
      </c>
    </row>
    <row r="1591" spans="2:22" x14ac:dyDescent="0.15">
      <c r="B1591" s="1" t="str">
        <f>"116114"</f>
        <v>116114</v>
      </c>
      <c r="C1591" s="1" t="s">
        <v>159</v>
      </c>
      <c r="D1591" s="1" t="str">
        <f t="shared" si="162"/>
        <v>89177328</v>
      </c>
      <c r="E1591" s="1" t="s">
        <v>24</v>
      </c>
      <c r="F1591" s="1" t="str">
        <f t="shared" si="163"/>
        <v>0010</v>
      </c>
      <c r="G1591" s="1" t="str">
        <f>""</f>
        <v/>
      </c>
      <c r="H1591" s="1" t="str">
        <f>"0034"</f>
        <v>0034</v>
      </c>
      <c r="I1591" s="1" t="s">
        <v>31</v>
      </c>
      <c r="J1591" s="1" t="str">
        <f>"01043977568"</f>
        <v>01043977568</v>
      </c>
      <c r="K1591" s="1" t="str">
        <f>"2017-03-30 14:47:16"</f>
        <v>2017-03-30 14:47:16</v>
      </c>
      <c r="L1591" s="1" t="str">
        <f>"2017-03-30 14:47:27"</f>
        <v>2017-03-30 14:47:27</v>
      </c>
      <c r="M1591" s="2">
        <v>3.0787037037037037E-3</v>
      </c>
      <c r="N1591" s="1" t="s">
        <v>26</v>
      </c>
      <c r="O1591" s="1" t="s">
        <v>27</v>
      </c>
      <c r="P1591" s="2">
        <v>3.2060185185185191E-3</v>
      </c>
      <c r="Q1591" s="1" t="s">
        <v>1192</v>
      </c>
      <c r="R1591" s="1">
        <v>0</v>
      </c>
      <c r="S1591" s="1" t="str">
        <f>""</f>
        <v/>
      </c>
      <c r="T1591" s="1" t="s">
        <v>29</v>
      </c>
      <c r="U1591" s="1" t="s">
        <v>30</v>
      </c>
      <c r="V1591" s="1">
        <v>0</v>
      </c>
    </row>
    <row r="1592" spans="2:22" x14ac:dyDescent="0.15">
      <c r="B1592" s="1" t="str">
        <f>"136****6566"</f>
        <v>136****6566</v>
      </c>
      <c r="C1592" s="1" t="s">
        <v>23</v>
      </c>
      <c r="D1592" s="1" t="str">
        <f t="shared" si="162"/>
        <v>89177328</v>
      </c>
      <c r="E1592" s="1" t="s">
        <v>24</v>
      </c>
      <c r="F1592" s="1" t="str">
        <f t="shared" si="163"/>
        <v>0010</v>
      </c>
      <c r="G1592" s="1" t="str">
        <f>""</f>
        <v/>
      </c>
      <c r="H1592" s="1" t="str">
        <f>"0012"</f>
        <v>0012</v>
      </c>
      <c r="I1592" s="1" t="s">
        <v>612</v>
      </c>
      <c r="J1592" s="1" t="str">
        <f>"01043989720"</f>
        <v>01043989720</v>
      </c>
      <c r="K1592" s="1" t="str">
        <f>"2017-03-30 14:38:07"</f>
        <v>2017-03-30 14:38:07</v>
      </c>
      <c r="L1592" s="1" t="str">
        <f>"2017-03-30 14:38:19"</f>
        <v>2017-03-30 14:38:19</v>
      </c>
      <c r="M1592" s="2">
        <v>1.2997685185185183E-2</v>
      </c>
      <c r="N1592" s="1" t="s">
        <v>26</v>
      </c>
      <c r="O1592" s="1" t="s">
        <v>27</v>
      </c>
      <c r="P1592" s="2">
        <v>1.3136574074074077E-2</v>
      </c>
      <c r="Q1592" s="1" t="s">
        <v>1193</v>
      </c>
      <c r="R1592" s="1">
        <v>0</v>
      </c>
      <c r="S1592" s="1" t="str">
        <f>""</f>
        <v/>
      </c>
      <c r="T1592" s="1" t="s">
        <v>29</v>
      </c>
      <c r="U1592" s="1" t="s">
        <v>30</v>
      </c>
      <c r="V1592" s="1">
        <v>0</v>
      </c>
    </row>
    <row r="1593" spans="2:22" x14ac:dyDescent="0.15">
      <c r="B1593" s="1" t="str">
        <f>"182****7351"</f>
        <v>182****7351</v>
      </c>
      <c r="C1593" s="1" t="s">
        <v>137</v>
      </c>
      <c r="D1593" s="1" t="str">
        <f t="shared" si="162"/>
        <v>89177328</v>
      </c>
      <c r="E1593" s="1" t="s">
        <v>24</v>
      </c>
      <c r="F1593" s="1" t="str">
        <f t="shared" si="163"/>
        <v>0010</v>
      </c>
      <c r="G1593" s="1" t="str">
        <f>""</f>
        <v/>
      </c>
      <c r="H1593" s="1" t="str">
        <f>"0034"</f>
        <v>0034</v>
      </c>
      <c r="I1593" s="1" t="s">
        <v>31</v>
      </c>
      <c r="J1593" s="1" t="str">
        <f>"01043977568"</f>
        <v>01043977568</v>
      </c>
      <c r="K1593" s="1" t="str">
        <f>"2017-03-30 14:27:24"</f>
        <v>2017-03-30 14:27:24</v>
      </c>
      <c r="L1593" s="1" t="str">
        <f>"2017-03-30 14:27:35"</f>
        <v>2017-03-30 14:27:35</v>
      </c>
      <c r="M1593" s="2">
        <v>1.0104166666666668E-2</v>
      </c>
      <c r="N1593" s="1" t="s">
        <v>26</v>
      </c>
      <c r="O1593" s="1" t="s">
        <v>34</v>
      </c>
      <c r="P1593" s="2">
        <v>1.0231481481481482E-2</v>
      </c>
      <c r="Q1593" s="1" t="s">
        <v>1194</v>
      </c>
      <c r="R1593" s="1">
        <v>0</v>
      </c>
      <c r="S1593" s="1" t="str">
        <f>""</f>
        <v/>
      </c>
      <c r="T1593" s="1" t="s">
        <v>29</v>
      </c>
      <c r="U1593" s="1" t="s">
        <v>30</v>
      </c>
      <c r="V1593" s="1">
        <v>0</v>
      </c>
    </row>
    <row r="1594" spans="2:22" x14ac:dyDescent="0.15">
      <c r="B1594" s="1" t="str">
        <f>"134****4223"</f>
        <v>134****4223</v>
      </c>
      <c r="C1594" s="1" t="s">
        <v>23</v>
      </c>
      <c r="D1594" s="1" t="str">
        <f t="shared" si="162"/>
        <v>89177328</v>
      </c>
      <c r="E1594" s="1" t="s">
        <v>24</v>
      </c>
      <c r="F1594" s="1" t="str">
        <f t="shared" si="163"/>
        <v>0010</v>
      </c>
      <c r="G1594" s="1" t="str">
        <f>""</f>
        <v/>
      </c>
      <c r="H1594" s="1" t="str">
        <f>"0012"</f>
        <v>0012</v>
      </c>
      <c r="I1594" s="1" t="s">
        <v>612</v>
      </c>
      <c r="J1594" s="1" t="str">
        <f>"01043989720"</f>
        <v>01043989720</v>
      </c>
      <c r="K1594" s="1" t="str">
        <f>"2017-03-30 14:26:17"</f>
        <v>2017-03-30 14:26:17</v>
      </c>
      <c r="L1594" s="1" t="str">
        <f>"2017-03-30 14:27:28"</f>
        <v>2017-03-30 14:27:28</v>
      </c>
      <c r="M1594" s="2">
        <v>5.3356481481481484E-3</v>
      </c>
      <c r="N1594" s="1" t="s">
        <v>26</v>
      </c>
      <c r="O1594" s="1" t="s">
        <v>34</v>
      </c>
      <c r="P1594" s="2">
        <v>6.1574074074074074E-3</v>
      </c>
      <c r="Q1594" s="1" t="s">
        <v>1195</v>
      </c>
      <c r="R1594" s="1">
        <v>0</v>
      </c>
      <c r="S1594" s="1" t="str">
        <f>""</f>
        <v/>
      </c>
      <c r="T1594" s="1" t="s">
        <v>29</v>
      </c>
      <c r="U1594" s="1" t="s">
        <v>30</v>
      </c>
      <c r="V1594" s="1">
        <v>0</v>
      </c>
    </row>
    <row r="1595" spans="2:22" x14ac:dyDescent="0.15">
      <c r="B1595" s="1" t="str">
        <f>"185****2015"</f>
        <v>185****2015</v>
      </c>
      <c r="C1595" s="1" t="s">
        <v>872</v>
      </c>
      <c r="D1595" s="1" t="str">
        <f t="shared" si="162"/>
        <v>89177328</v>
      </c>
      <c r="E1595" s="1" t="s">
        <v>24</v>
      </c>
      <c r="F1595" s="1" t="str">
        <f t="shared" si="163"/>
        <v>0010</v>
      </c>
      <c r="G1595" s="1" t="str">
        <f>""</f>
        <v/>
      </c>
      <c r="H1595" s="1" t="str">
        <f>"0031"</f>
        <v>0031</v>
      </c>
      <c r="I1595" s="1" t="s">
        <v>95</v>
      </c>
      <c r="J1595" s="1" t="str">
        <f>"01043977565"</f>
        <v>01043977565</v>
      </c>
      <c r="K1595" s="1" t="str">
        <f>"2017-03-30 14:25:13"</f>
        <v>2017-03-30 14:25:13</v>
      </c>
      <c r="L1595" s="1" t="str">
        <f>"2017-03-30 14:25:22"</f>
        <v>2017-03-30 14:25:22</v>
      </c>
      <c r="M1595" s="2">
        <v>1.6805555555555556E-2</v>
      </c>
      <c r="N1595" s="1" t="s">
        <v>26</v>
      </c>
      <c r="O1595" s="1" t="s">
        <v>27</v>
      </c>
      <c r="P1595" s="2">
        <v>1.6909722222222225E-2</v>
      </c>
      <c r="Q1595" s="1" t="s">
        <v>1196</v>
      </c>
      <c r="R1595" s="1">
        <v>0</v>
      </c>
      <c r="S1595" s="1" t="str">
        <f>""</f>
        <v/>
      </c>
      <c r="T1595" s="1" t="s">
        <v>29</v>
      </c>
      <c r="U1595" s="1" t="s">
        <v>30</v>
      </c>
      <c r="V1595" s="1">
        <v>0</v>
      </c>
    </row>
    <row r="1596" spans="2:22" x14ac:dyDescent="0.15">
      <c r="B1596" s="1" t="str">
        <f>"010****2577"</f>
        <v>010****2577</v>
      </c>
      <c r="C1596" s="1" t="s">
        <v>23</v>
      </c>
      <c r="D1596" s="1" t="str">
        <f t="shared" si="162"/>
        <v>89177328</v>
      </c>
      <c r="E1596" s="1" t="s">
        <v>24</v>
      </c>
      <c r="F1596" s="1" t="str">
        <f t="shared" si="163"/>
        <v>0010</v>
      </c>
      <c r="G1596" s="1" t="str">
        <f>""</f>
        <v/>
      </c>
      <c r="H1596" s="1" t="str">
        <f>"0033"</f>
        <v>0033</v>
      </c>
      <c r="I1596" s="1" t="s">
        <v>106</v>
      </c>
      <c r="J1596" s="1" t="str">
        <f>"01043977567"</f>
        <v>01043977567</v>
      </c>
      <c r="K1596" s="1" t="str">
        <f>"2017-03-30 14:19:11"</f>
        <v>2017-03-30 14:19:11</v>
      </c>
      <c r="L1596" s="1" t="str">
        <f>"2017-03-30 14:19:22"</f>
        <v>2017-03-30 14:19:22</v>
      </c>
      <c r="M1596" s="2">
        <v>8.7615740740740744E-3</v>
      </c>
      <c r="N1596" s="1" t="s">
        <v>26</v>
      </c>
      <c r="O1596" s="1" t="s">
        <v>27</v>
      </c>
      <c r="P1596" s="2">
        <v>8.8888888888888889E-3</v>
      </c>
      <c r="Q1596" s="1" t="s">
        <v>1197</v>
      </c>
      <c r="R1596" s="1">
        <v>0</v>
      </c>
      <c r="S1596" s="1" t="str">
        <f>""</f>
        <v/>
      </c>
      <c r="T1596" s="1" t="s">
        <v>29</v>
      </c>
      <c r="U1596" s="1" t="s">
        <v>30</v>
      </c>
      <c r="V1596" s="1">
        <v>0</v>
      </c>
    </row>
    <row r="1597" spans="2:22" x14ac:dyDescent="0.15">
      <c r="B1597" s="1" t="str">
        <f>"010****1946"</f>
        <v>010****1946</v>
      </c>
      <c r="C1597" s="1" t="s">
        <v>23</v>
      </c>
      <c r="D1597" s="1" t="str">
        <f t="shared" si="162"/>
        <v>89177328</v>
      </c>
      <c r="E1597" s="1" t="s">
        <v>24</v>
      </c>
      <c r="F1597" s="1" t="str">
        <f t="shared" si="163"/>
        <v>0010</v>
      </c>
      <c r="G1597" s="1" t="str">
        <f>""</f>
        <v/>
      </c>
      <c r="H1597" s="1" t="str">
        <f>"0033"</f>
        <v>0033</v>
      </c>
      <c r="I1597" s="1" t="s">
        <v>106</v>
      </c>
      <c r="J1597" s="1" t="str">
        <f>"01043977567"</f>
        <v>01043977567</v>
      </c>
      <c r="K1597" s="1" t="str">
        <f>"2017-03-30 14:11:54"</f>
        <v>2017-03-30 14:11:54</v>
      </c>
      <c r="L1597" s="1" t="str">
        <f>"2017-03-30 14:12:03"</f>
        <v>2017-03-30 14:12:03</v>
      </c>
      <c r="M1597" s="2">
        <v>4.2476851851851851E-3</v>
      </c>
      <c r="N1597" s="1" t="s">
        <v>26</v>
      </c>
      <c r="O1597" s="1" t="s">
        <v>27</v>
      </c>
      <c r="P1597" s="2">
        <v>4.3518518518518515E-3</v>
      </c>
      <c r="Q1597" s="1" t="s">
        <v>1198</v>
      </c>
      <c r="R1597" s="1">
        <v>0</v>
      </c>
      <c r="S1597" s="1" t="str">
        <f>""</f>
        <v/>
      </c>
      <c r="T1597" s="1" t="s">
        <v>29</v>
      </c>
      <c r="U1597" s="1" t="s">
        <v>30</v>
      </c>
      <c r="V1597" s="1">
        <v>0</v>
      </c>
    </row>
    <row r="1598" spans="2:22" x14ac:dyDescent="0.15">
      <c r="B1598" s="1" t="str">
        <f>"137****0839"</f>
        <v>137****0839</v>
      </c>
      <c r="C1598" s="1" t="s">
        <v>23</v>
      </c>
      <c r="D1598" s="1" t="str">
        <f t="shared" si="162"/>
        <v>89177328</v>
      </c>
      <c r="E1598" s="1" t="s">
        <v>24</v>
      </c>
      <c r="F1598" s="1" t="str">
        <f t="shared" si="163"/>
        <v>0010</v>
      </c>
      <c r="G1598" s="1" t="str">
        <f>""</f>
        <v/>
      </c>
      <c r="H1598" s="1" t="str">
        <f>"0033"</f>
        <v>0033</v>
      </c>
      <c r="I1598" s="1" t="s">
        <v>106</v>
      </c>
      <c r="J1598" s="1" t="str">
        <f>"01043977567"</f>
        <v>01043977567</v>
      </c>
      <c r="K1598" s="1" t="str">
        <f>"2017-03-30 14:03:10"</f>
        <v>2017-03-30 14:03:10</v>
      </c>
      <c r="L1598" s="1" t="str">
        <f>"2017-03-30 14:03:20"</f>
        <v>2017-03-30 14:03:20</v>
      </c>
      <c r="M1598" s="2">
        <v>8.1018518518518516E-4</v>
      </c>
      <c r="N1598" s="1" t="s">
        <v>26</v>
      </c>
      <c r="O1598" s="1" t="s">
        <v>34</v>
      </c>
      <c r="P1598" s="2">
        <v>9.2592592592592585E-4</v>
      </c>
      <c r="Q1598" s="1" t="s">
        <v>1199</v>
      </c>
      <c r="R1598" s="1">
        <v>0</v>
      </c>
      <c r="S1598" s="1" t="str">
        <f>""</f>
        <v/>
      </c>
      <c r="T1598" s="1" t="s">
        <v>29</v>
      </c>
      <c r="U1598" s="1" t="s">
        <v>30</v>
      </c>
      <c r="V1598" s="1">
        <v>0</v>
      </c>
    </row>
    <row r="1599" spans="2:22" x14ac:dyDescent="0.15">
      <c r="B1599" s="1" t="str">
        <f>"010****9853"</f>
        <v>010****9853</v>
      </c>
      <c r="C1599" s="1" t="s">
        <v>23</v>
      </c>
      <c r="D1599" s="1" t="str">
        <f t="shared" si="162"/>
        <v>89177328</v>
      </c>
      <c r="E1599" s="1" t="s">
        <v>24</v>
      </c>
      <c r="F1599" s="1" t="str">
        <f t="shared" si="163"/>
        <v>0010</v>
      </c>
      <c r="G1599" s="1" t="str">
        <f>""</f>
        <v/>
      </c>
      <c r="H1599" s="1" t="str">
        <f>"0031"</f>
        <v>0031</v>
      </c>
      <c r="I1599" s="1" t="s">
        <v>95</v>
      </c>
      <c r="J1599" s="1" t="str">
        <f>"01043977565"</f>
        <v>01043977565</v>
      </c>
      <c r="K1599" s="1" t="str">
        <f>"2017-03-30 13:55:26"</f>
        <v>2017-03-30 13:55:26</v>
      </c>
      <c r="L1599" s="1" t="str">
        <f>"2017-03-30 13:55:35"</f>
        <v>2017-03-30 13:55:35</v>
      </c>
      <c r="M1599" s="2">
        <v>1.7430555555555557E-2</v>
      </c>
      <c r="N1599" s="1" t="s">
        <v>26</v>
      </c>
      <c r="O1599" s="1" t="s">
        <v>34</v>
      </c>
      <c r="P1599" s="2">
        <v>1.7534722222222222E-2</v>
      </c>
      <c r="Q1599" s="1" t="s">
        <v>1200</v>
      </c>
      <c r="R1599" s="1">
        <v>0</v>
      </c>
      <c r="S1599" s="1" t="str">
        <f>""</f>
        <v/>
      </c>
      <c r="T1599" s="1" t="s">
        <v>29</v>
      </c>
      <c r="U1599" s="1" t="s">
        <v>30</v>
      </c>
      <c r="V1599" s="1">
        <v>0</v>
      </c>
    </row>
    <row r="1600" spans="2:22" x14ac:dyDescent="0.15">
      <c r="B1600" s="1" t="str">
        <f>"010****5201"</f>
        <v>010****5201</v>
      </c>
      <c r="C1600" s="1" t="s">
        <v>23</v>
      </c>
      <c r="D1600" s="1" t="str">
        <f t="shared" si="162"/>
        <v>89177328</v>
      </c>
      <c r="E1600" s="1" t="s">
        <v>24</v>
      </c>
      <c r="F1600" s="1" t="str">
        <f t="shared" si="163"/>
        <v>0010</v>
      </c>
      <c r="G1600" s="1" t="str">
        <f>""</f>
        <v/>
      </c>
      <c r="H1600" s="1" t="str">
        <f>"0031"</f>
        <v>0031</v>
      </c>
      <c r="I1600" s="1" t="s">
        <v>95</v>
      </c>
      <c r="J1600" s="1" t="str">
        <f>"01043977565"</f>
        <v>01043977565</v>
      </c>
      <c r="K1600" s="1" t="str">
        <f>"2017-03-30 13:38:19"</f>
        <v>2017-03-30 13:38:19</v>
      </c>
      <c r="L1600" s="1" t="str">
        <f>"-"</f>
        <v>-</v>
      </c>
      <c r="M1600" s="2">
        <v>0</v>
      </c>
      <c r="N1600" s="1" t="s">
        <v>33</v>
      </c>
      <c r="O1600" s="1" t="s">
        <v>34</v>
      </c>
      <c r="P1600" s="2">
        <v>2.3148148148148147E-5</v>
      </c>
      <c r="Q1600" s="1" t="str">
        <f>""</f>
        <v/>
      </c>
      <c r="R1600" s="1">
        <v>0</v>
      </c>
      <c r="S1600" s="1" t="str">
        <f>""</f>
        <v/>
      </c>
      <c r="T1600" s="1" t="s">
        <v>29</v>
      </c>
      <c r="U1600" s="1" t="s">
        <v>30</v>
      </c>
      <c r="V1600" s="1">
        <v>0</v>
      </c>
    </row>
    <row r="1601" spans="2:22" x14ac:dyDescent="0.15">
      <c r="B1601" s="1" t="str">
        <f>"010****8023"</f>
        <v>010****8023</v>
      </c>
      <c r="C1601" s="1" t="s">
        <v>23</v>
      </c>
      <c r="D1601" s="1" t="str">
        <f t="shared" si="162"/>
        <v>89177328</v>
      </c>
      <c r="E1601" s="1" t="s">
        <v>24</v>
      </c>
      <c r="F1601" s="1" t="str">
        <f t="shared" si="163"/>
        <v>0010</v>
      </c>
      <c r="G1601" s="1" t="str">
        <f>""</f>
        <v/>
      </c>
      <c r="H1601" s="1" t="str">
        <f>"0032"</f>
        <v>0032</v>
      </c>
      <c r="I1601" s="1" t="s">
        <v>119</v>
      </c>
      <c r="J1601" s="1" t="str">
        <f>"01043977566"</f>
        <v>01043977566</v>
      </c>
      <c r="K1601" s="1" t="str">
        <f>"2017-03-30 13:31:17"</f>
        <v>2017-03-30 13:31:17</v>
      </c>
      <c r="L1601" s="1" t="str">
        <f>"-"</f>
        <v>-</v>
      </c>
      <c r="M1601" s="2">
        <v>0</v>
      </c>
      <c r="N1601" s="1" t="s">
        <v>33</v>
      </c>
      <c r="O1601" s="1" t="s">
        <v>34</v>
      </c>
      <c r="P1601" s="2">
        <v>1.4814814814814814E-3</v>
      </c>
      <c r="Q1601" s="1" t="str">
        <f>""</f>
        <v/>
      </c>
      <c r="R1601" s="1">
        <v>0</v>
      </c>
      <c r="S1601" s="1" t="str">
        <f>""</f>
        <v/>
      </c>
      <c r="T1601" s="1" t="s">
        <v>29</v>
      </c>
      <c r="U1601" s="1" t="s">
        <v>30</v>
      </c>
      <c r="V1601" s="1">
        <v>0</v>
      </c>
    </row>
    <row r="1602" spans="2:22" x14ac:dyDescent="0.15">
      <c r="B1602" s="1" t="str">
        <f>"185****0323"</f>
        <v>185****0323</v>
      </c>
      <c r="C1602" s="1" t="s">
        <v>23</v>
      </c>
      <c r="D1602" s="1" t="str">
        <f t="shared" si="162"/>
        <v>89177328</v>
      </c>
      <c r="E1602" s="1" t="s">
        <v>24</v>
      </c>
      <c r="F1602" s="1" t="str">
        <f t="shared" si="163"/>
        <v>0010</v>
      </c>
      <c r="G1602" s="1" t="str">
        <f>""</f>
        <v/>
      </c>
      <c r="H1602" s="1" t="str">
        <f>"0031"</f>
        <v>0031</v>
      </c>
      <c r="I1602" s="1" t="s">
        <v>95</v>
      </c>
      <c r="J1602" s="1" t="str">
        <f>"01043977565"</f>
        <v>01043977565</v>
      </c>
      <c r="K1602" s="1" t="str">
        <f>"2017-03-30 13:23:40"</f>
        <v>2017-03-30 13:23:40</v>
      </c>
      <c r="L1602" s="1" t="str">
        <f>"2017-03-30 13:23:49"</f>
        <v>2017-03-30 13:23:49</v>
      </c>
      <c r="M1602" s="2">
        <v>7.6041666666666662E-3</v>
      </c>
      <c r="N1602" s="1" t="s">
        <v>26</v>
      </c>
      <c r="O1602" s="1" t="s">
        <v>27</v>
      </c>
      <c r="P1602" s="2">
        <v>7.7083333333333335E-3</v>
      </c>
      <c r="Q1602" s="1" t="s">
        <v>1201</v>
      </c>
      <c r="R1602" s="1">
        <v>0</v>
      </c>
      <c r="S1602" s="1" t="str">
        <f>""</f>
        <v/>
      </c>
      <c r="T1602" s="1" t="s">
        <v>29</v>
      </c>
      <c r="U1602" s="1" t="s">
        <v>30</v>
      </c>
      <c r="V1602" s="1">
        <v>0</v>
      </c>
    </row>
    <row r="1603" spans="2:22" x14ac:dyDescent="0.15">
      <c r="B1603" s="1" t="str">
        <f>"133****9277"</f>
        <v>133****9277</v>
      </c>
      <c r="C1603" s="1" t="s">
        <v>645</v>
      </c>
      <c r="D1603" s="1" t="str">
        <f t="shared" si="162"/>
        <v>89177328</v>
      </c>
      <c r="E1603" s="1" t="s">
        <v>24</v>
      </c>
      <c r="F1603" s="1" t="str">
        <f t="shared" si="163"/>
        <v>0010</v>
      </c>
      <c r="G1603" s="1" t="str">
        <f>""</f>
        <v/>
      </c>
      <c r="H1603" s="1" t="str">
        <f>"0033"</f>
        <v>0033</v>
      </c>
      <c r="I1603" s="1" t="s">
        <v>106</v>
      </c>
      <c r="J1603" s="1" t="str">
        <f>"01043977567"</f>
        <v>01043977567</v>
      </c>
      <c r="K1603" s="1" t="str">
        <f>"2017-03-30 13:23:29"</f>
        <v>2017-03-30 13:23:29</v>
      </c>
      <c r="L1603" s="1" t="str">
        <f>"2017-03-30 13:23:38"</f>
        <v>2017-03-30 13:23:38</v>
      </c>
      <c r="M1603" s="2">
        <v>1.6562500000000001E-2</v>
      </c>
      <c r="N1603" s="1" t="s">
        <v>26</v>
      </c>
      <c r="O1603" s="1" t="s">
        <v>27</v>
      </c>
      <c r="P1603" s="2">
        <v>1.6666666666666666E-2</v>
      </c>
      <c r="Q1603" s="1" t="s">
        <v>1202</v>
      </c>
      <c r="R1603" s="1">
        <v>0</v>
      </c>
      <c r="S1603" s="1" t="str">
        <f>""</f>
        <v/>
      </c>
      <c r="T1603" s="1" t="s">
        <v>29</v>
      </c>
      <c r="U1603" s="1" t="s">
        <v>30</v>
      </c>
      <c r="V1603" s="1">
        <v>0</v>
      </c>
    </row>
    <row r="1604" spans="2:22" x14ac:dyDescent="0.15">
      <c r="B1604" s="1" t="str">
        <f>"156****4629"</f>
        <v>156****4629</v>
      </c>
      <c r="C1604" s="1" t="s">
        <v>23</v>
      </c>
      <c r="D1604" s="1" t="str">
        <f t="shared" si="162"/>
        <v>89177328</v>
      </c>
      <c r="E1604" s="1" t="s">
        <v>24</v>
      </c>
      <c r="F1604" s="1" t="str">
        <f t="shared" si="163"/>
        <v>0010</v>
      </c>
      <c r="G1604" s="1" t="str">
        <f>""</f>
        <v/>
      </c>
      <c r="H1604" s="1" t="str">
        <f>"0033"</f>
        <v>0033</v>
      </c>
      <c r="I1604" s="1" t="s">
        <v>106</v>
      </c>
      <c r="J1604" s="1" t="str">
        <f>"01043977567"</f>
        <v>01043977567</v>
      </c>
      <c r="K1604" s="1" t="str">
        <f>"2017-03-30 13:21:04"</f>
        <v>2017-03-30 13:21:04</v>
      </c>
      <c r="L1604" s="1" t="str">
        <f>"2017-03-30 13:21:13"</f>
        <v>2017-03-30 13:21:13</v>
      </c>
      <c r="M1604" s="2">
        <v>1.0069444444444444E-3</v>
      </c>
      <c r="N1604" s="1" t="s">
        <v>26</v>
      </c>
      <c r="O1604" s="1" t="s">
        <v>27</v>
      </c>
      <c r="P1604" s="2">
        <v>1.1111111111111111E-3</v>
      </c>
      <c r="Q1604" s="1" t="s">
        <v>1203</v>
      </c>
      <c r="R1604" s="1">
        <v>0</v>
      </c>
      <c r="S1604" s="1" t="str">
        <f>""</f>
        <v/>
      </c>
      <c r="T1604" s="1" t="s">
        <v>29</v>
      </c>
      <c r="U1604" s="1" t="s">
        <v>30</v>
      </c>
      <c r="V1604" s="1">
        <v>0</v>
      </c>
    </row>
    <row r="1605" spans="2:22" x14ac:dyDescent="0.15">
      <c r="B1605" s="1" t="str">
        <f>"189****3028"</f>
        <v>189****3028</v>
      </c>
      <c r="C1605" s="1" t="s">
        <v>23</v>
      </c>
      <c r="D1605" s="1" t="str">
        <f t="shared" si="162"/>
        <v>89177328</v>
      </c>
      <c r="E1605" s="1" t="s">
        <v>24</v>
      </c>
      <c r="F1605" s="1" t="str">
        <f t="shared" si="163"/>
        <v>0010</v>
      </c>
      <c r="G1605" s="1" t="str">
        <f>""</f>
        <v/>
      </c>
      <c r="H1605" s="1" t="str">
        <f>"0035"</f>
        <v>0035</v>
      </c>
      <c r="I1605" s="1" t="s">
        <v>25</v>
      </c>
      <c r="J1605" s="1" t="str">
        <f>"01043977569"</f>
        <v>01043977569</v>
      </c>
      <c r="K1605" s="1" t="str">
        <f>"2017-03-30 12:37:33"</f>
        <v>2017-03-30 12:37:33</v>
      </c>
      <c r="L1605" s="1" t="str">
        <f>"2017-03-30 12:37:47"</f>
        <v>2017-03-30 12:37:47</v>
      </c>
      <c r="M1605" s="2">
        <v>2.0833333333333335E-4</v>
      </c>
      <c r="N1605" s="1" t="s">
        <v>26</v>
      </c>
      <c r="O1605" s="1" t="s">
        <v>34</v>
      </c>
      <c r="P1605" s="2">
        <v>3.7037037037037035E-4</v>
      </c>
      <c r="Q1605" s="1" t="s">
        <v>1204</v>
      </c>
      <c r="R1605" s="1">
        <v>0</v>
      </c>
      <c r="S1605" s="1" t="str">
        <f>""</f>
        <v/>
      </c>
      <c r="T1605" s="1" t="s">
        <v>29</v>
      </c>
      <c r="U1605" s="1" t="s">
        <v>30</v>
      </c>
      <c r="V1605" s="1">
        <v>0</v>
      </c>
    </row>
    <row r="1606" spans="2:22" x14ac:dyDescent="0.15">
      <c r="B1606" s="1" t="str">
        <f>"158****1388"</f>
        <v>158****1388</v>
      </c>
      <c r="C1606" s="1" t="s">
        <v>23</v>
      </c>
      <c r="D1606" s="1" t="str">
        <f t="shared" si="162"/>
        <v>89177328</v>
      </c>
      <c r="E1606" s="1" t="s">
        <v>24</v>
      </c>
      <c r="F1606" s="1" t="str">
        <f t="shared" si="163"/>
        <v>0010</v>
      </c>
      <c r="G1606" s="1" t="str">
        <f>""</f>
        <v/>
      </c>
      <c r="H1606" s="1" t="str">
        <f>"0034"</f>
        <v>0034</v>
      </c>
      <c r="I1606" s="1" t="s">
        <v>31</v>
      </c>
      <c r="J1606" s="1" t="str">
        <f>"01043977568"</f>
        <v>01043977568</v>
      </c>
      <c r="K1606" s="1" t="str">
        <f>"2017-03-30 12:22:14"</f>
        <v>2017-03-30 12:22:14</v>
      </c>
      <c r="L1606" s="1" t="str">
        <f>"2017-03-30 12:22:25"</f>
        <v>2017-03-30 12:22:25</v>
      </c>
      <c r="M1606" s="2">
        <v>5.2546296296296299E-3</v>
      </c>
      <c r="N1606" s="1" t="s">
        <v>26</v>
      </c>
      <c r="O1606" s="1" t="s">
        <v>34</v>
      </c>
      <c r="P1606" s="2">
        <v>5.3819444444444453E-3</v>
      </c>
      <c r="Q1606" s="1" t="s">
        <v>1205</v>
      </c>
      <c r="R1606" s="1">
        <v>0</v>
      </c>
      <c r="S1606" s="1" t="str">
        <f>""</f>
        <v/>
      </c>
      <c r="T1606" s="1" t="s">
        <v>29</v>
      </c>
      <c r="U1606" s="1" t="s">
        <v>30</v>
      </c>
      <c r="V1606" s="1">
        <v>0</v>
      </c>
    </row>
    <row r="1607" spans="2:22" x14ac:dyDescent="0.15">
      <c r="B1607" s="1" t="str">
        <f>"158****8416"</f>
        <v>158****8416</v>
      </c>
      <c r="C1607" s="1" t="s">
        <v>389</v>
      </c>
      <c r="D1607" s="1" t="str">
        <f t="shared" si="162"/>
        <v>89177328</v>
      </c>
      <c r="E1607" s="1" t="s">
        <v>24</v>
      </c>
      <c r="F1607" s="1" t="str">
        <f t="shared" si="163"/>
        <v>0010</v>
      </c>
      <c r="G1607" s="1" t="str">
        <f>""</f>
        <v/>
      </c>
      <c r="H1607" s="1" t="str">
        <f>"0017"</f>
        <v>0017</v>
      </c>
      <c r="I1607" s="1" t="s">
        <v>135</v>
      </c>
      <c r="J1607" s="1" t="str">
        <f>"01043989717"</f>
        <v>01043989717</v>
      </c>
      <c r="K1607" s="1" t="str">
        <f>"2017-03-30 12:01:15"</f>
        <v>2017-03-30 12:01:15</v>
      </c>
      <c r="L1607" s="1" t="str">
        <f>"2017-03-30 12:01:25"</f>
        <v>2017-03-30 12:01:25</v>
      </c>
      <c r="M1607" s="2">
        <v>8.564814814814815E-3</v>
      </c>
      <c r="N1607" s="1" t="s">
        <v>26</v>
      </c>
      <c r="O1607" s="1" t="s">
        <v>27</v>
      </c>
      <c r="P1607" s="2">
        <v>8.6805555555555559E-3</v>
      </c>
      <c r="Q1607" s="1" t="s">
        <v>1206</v>
      </c>
      <c r="R1607" s="1">
        <v>0</v>
      </c>
      <c r="S1607" s="1" t="str">
        <f>""</f>
        <v/>
      </c>
      <c r="T1607" s="1" t="s">
        <v>29</v>
      </c>
      <c r="U1607" s="1" t="s">
        <v>30</v>
      </c>
      <c r="V1607" s="1">
        <v>0</v>
      </c>
    </row>
    <row r="1608" spans="2:22" x14ac:dyDescent="0.15">
      <c r="B1608" s="1" t="str">
        <f>"188****4520"</f>
        <v>188****4520</v>
      </c>
      <c r="C1608" s="1" t="s">
        <v>69</v>
      </c>
      <c r="D1608" s="1" t="str">
        <f t="shared" si="162"/>
        <v>89177328</v>
      </c>
      <c r="E1608" s="1" t="s">
        <v>24</v>
      </c>
      <c r="F1608" s="1" t="str">
        <f t="shared" si="163"/>
        <v>0010</v>
      </c>
      <c r="G1608" s="1" t="str">
        <f>""</f>
        <v/>
      </c>
      <c r="H1608" s="1" t="str">
        <f>"0012"</f>
        <v>0012</v>
      </c>
      <c r="I1608" s="1" t="s">
        <v>612</v>
      </c>
      <c r="J1608" s="1" t="str">
        <f>"01043989720"</f>
        <v>01043989720</v>
      </c>
      <c r="K1608" s="1" t="str">
        <f>"2017-03-30 11:57:01"</f>
        <v>2017-03-30 11:57:01</v>
      </c>
      <c r="L1608" s="1" t="str">
        <f>"2017-03-30 11:57:09"</f>
        <v>2017-03-30 11:57:09</v>
      </c>
      <c r="M1608" s="2">
        <v>4.3518518518518515E-3</v>
      </c>
      <c r="N1608" s="1" t="s">
        <v>26</v>
      </c>
      <c r="O1608" s="1" t="s">
        <v>27</v>
      </c>
      <c r="P1608" s="2">
        <v>4.4444444444444444E-3</v>
      </c>
      <c r="Q1608" s="1" t="s">
        <v>1207</v>
      </c>
      <c r="R1608" s="1">
        <v>0</v>
      </c>
      <c r="S1608" s="1" t="str">
        <f>""</f>
        <v/>
      </c>
      <c r="T1608" s="1" t="s">
        <v>29</v>
      </c>
      <c r="U1608" s="1" t="s">
        <v>30</v>
      </c>
      <c r="V1608" s="1">
        <v>0</v>
      </c>
    </row>
    <row r="1609" spans="2:22" x14ac:dyDescent="0.15">
      <c r="B1609" s="1" t="str">
        <f>"186****1966"</f>
        <v>186****1966</v>
      </c>
      <c r="C1609" s="1" t="s">
        <v>132</v>
      </c>
      <c r="D1609" s="1" t="str">
        <f t="shared" si="162"/>
        <v>89177328</v>
      </c>
      <c r="E1609" s="1" t="s">
        <v>24</v>
      </c>
      <c r="F1609" s="1" t="str">
        <f t="shared" si="163"/>
        <v>0010</v>
      </c>
      <c r="G1609" s="1" t="str">
        <f>""</f>
        <v/>
      </c>
      <c r="H1609" s="1" t="str">
        <f>"0012"</f>
        <v>0012</v>
      </c>
      <c r="I1609" s="1" t="s">
        <v>612</v>
      </c>
      <c r="J1609" s="1" t="str">
        <f>"01043989720"</f>
        <v>01043989720</v>
      </c>
      <c r="K1609" s="1" t="str">
        <f>"2017-03-30 11:55:00"</f>
        <v>2017-03-30 11:55:00</v>
      </c>
      <c r="L1609" s="1" t="str">
        <f>"2017-03-30 11:55:09"</f>
        <v>2017-03-30 11:55:09</v>
      </c>
      <c r="M1609" s="2">
        <v>5.3240740740740744E-4</v>
      </c>
      <c r="N1609" s="1" t="s">
        <v>26</v>
      </c>
      <c r="O1609" s="1" t="s">
        <v>27</v>
      </c>
      <c r="P1609" s="2">
        <v>6.3657407407407402E-4</v>
      </c>
      <c r="Q1609" s="1" t="s">
        <v>1208</v>
      </c>
      <c r="R1609" s="1">
        <v>0</v>
      </c>
      <c r="S1609" s="1" t="str">
        <f>""</f>
        <v/>
      </c>
      <c r="T1609" s="1" t="s">
        <v>29</v>
      </c>
      <c r="U1609" s="1" t="s">
        <v>30</v>
      </c>
      <c r="V1609" s="1">
        <v>0</v>
      </c>
    </row>
    <row r="1610" spans="2:22" x14ac:dyDescent="0.15">
      <c r="B1610" s="1" t="str">
        <f>"133****9597"</f>
        <v>133****9597</v>
      </c>
      <c r="C1610" s="1" t="s">
        <v>23</v>
      </c>
      <c r="D1610" s="1" t="str">
        <f t="shared" si="162"/>
        <v>89177328</v>
      </c>
      <c r="E1610" s="1" t="s">
        <v>24</v>
      </c>
      <c r="F1610" s="1" t="str">
        <f t="shared" si="163"/>
        <v>0010</v>
      </c>
      <c r="G1610" s="1" t="str">
        <f>""</f>
        <v/>
      </c>
      <c r="H1610" s="1" t="str">
        <f>"0033"</f>
        <v>0033</v>
      </c>
      <c r="I1610" s="1" t="s">
        <v>106</v>
      </c>
      <c r="J1610" s="1" t="str">
        <f>"01043977567"</f>
        <v>01043977567</v>
      </c>
      <c r="K1610" s="1" t="str">
        <f>"2017-03-30 11:42:30"</f>
        <v>2017-03-30 11:42:30</v>
      </c>
      <c r="L1610" s="1" t="str">
        <f t="shared" ref="L1610:L1617" si="164">"-"</f>
        <v>-</v>
      </c>
      <c r="M1610" s="2">
        <v>0</v>
      </c>
      <c r="N1610" s="1" t="s">
        <v>33</v>
      </c>
      <c r="O1610" s="1" t="s">
        <v>34</v>
      </c>
      <c r="P1610" s="2">
        <v>1.1574074074074073E-5</v>
      </c>
      <c r="Q1610" s="1" t="str">
        <f>""</f>
        <v/>
      </c>
      <c r="R1610" s="1">
        <v>0</v>
      </c>
      <c r="S1610" s="1" t="str">
        <f>""</f>
        <v/>
      </c>
      <c r="T1610" s="1" t="s">
        <v>29</v>
      </c>
      <c r="U1610" s="1" t="s">
        <v>30</v>
      </c>
      <c r="V1610" s="1">
        <v>0</v>
      </c>
    </row>
    <row r="1611" spans="2:22" x14ac:dyDescent="0.15">
      <c r="B1611" s="1" t="str">
        <f>"133****9597"</f>
        <v>133****9597</v>
      </c>
      <c r="C1611" s="1" t="s">
        <v>23</v>
      </c>
      <c r="D1611" s="1" t="str">
        <f t="shared" si="162"/>
        <v>89177328</v>
      </c>
      <c r="E1611" s="1" t="s">
        <v>24</v>
      </c>
      <c r="F1611" s="1" t="str">
        <f t="shared" si="163"/>
        <v>0010</v>
      </c>
      <c r="G1611" s="1" t="str">
        <f>""</f>
        <v/>
      </c>
      <c r="H1611" s="1" t="str">
        <f>"0033"</f>
        <v>0033</v>
      </c>
      <c r="I1611" s="1" t="s">
        <v>106</v>
      </c>
      <c r="J1611" s="1" t="str">
        <f>"01043977567"</f>
        <v>01043977567</v>
      </c>
      <c r="K1611" s="1" t="str">
        <f>"2017-03-30 11:38:07"</f>
        <v>2017-03-30 11:38:07</v>
      </c>
      <c r="L1611" s="1" t="str">
        <f t="shared" si="164"/>
        <v>-</v>
      </c>
      <c r="M1611" s="2">
        <v>0</v>
      </c>
      <c r="N1611" s="1" t="s">
        <v>33</v>
      </c>
      <c r="O1611" s="1" t="s">
        <v>34</v>
      </c>
      <c r="P1611" s="2">
        <v>9.2592592592592588E-5</v>
      </c>
      <c r="Q1611" s="1" t="str">
        <f>""</f>
        <v/>
      </c>
      <c r="R1611" s="1">
        <v>0</v>
      </c>
      <c r="S1611" s="1" t="str">
        <f>""</f>
        <v/>
      </c>
      <c r="T1611" s="1" t="s">
        <v>29</v>
      </c>
      <c r="U1611" s="1" t="s">
        <v>30</v>
      </c>
      <c r="V1611" s="1">
        <v>0</v>
      </c>
    </row>
    <row r="1612" spans="2:22" x14ac:dyDescent="0.15">
      <c r="B1612" s="1" t="str">
        <f>"133****9597"</f>
        <v>133****9597</v>
      </c>
      <c r="C1612" s="1" t="s">
        <v>23</v>
      </c>
      <c r="D1612" s="1" t="str">
        <f t="shared" si="162"/>
        <v>89177328</v>
      </c>
      <c r="E1612" s="1" t="s">
        <v>24</v>
      </c>
      <c r="F1612" s="1" t="str">
        <f t="shared" si="163"/>
        <v>0010</v>
      </c>
      <c r="G1612" s="1" t="str">
        <f>""</f>
        <v/>
      </c>
      <c r="H1612" s="1" t="str">
        <f>"0034"</f>
        <v>0034</v>
      </c>
      <c r="I1612" s="1" t="s">
        <v>31</v>
      </c>
      <c r="J1612" s="1" t="str">
        <f>"01043977568"</f>
        <v>01043977568</v>
      </c>
      <c r="K1612" s="1" t="str">
        <f>"2017-03-30 11:34:47"</f>
        <v>2017-03-30 11:34:47</v>
      </c>
      <c r="L1612" s="1" t="str">
        <f t="shared" si="164"/>
        <v>-</v>
      </c>
      <c r="M1612" s="2">
        <v>0</v>
      </c>
      <c r="N1612" s="1" t="s">
        <v>33</v>
      </c>
      <c r="O1612" s="1" t="s">
        <v>34</v>
      </c>
      <c r="P1612" s="2">
        <v>5.7870370370370366E-5</v>
      </c>
      <c r="Q1612" s="1" t="str">
        <f>""</f>
        <v/>
      </c>
      <c r="R1612" s="1">
        <v>0</v>
      </c>
      <c r="S1612" s="1" t="str">
        <f>""</f>
        <v/>
      </c>
      <c r="T1612" s="1" t="s">
        <v>29</v>
      </c>
      <c r="U1612" s="1" t="s">
        <v>30</v>
      </c>
      <c r="V1612" s="1">
        <v>0</v>
      </c>
    </row>
    <row r="1613" spans="2:22" x14ac:dyDescent="0.15">
      <c r="B1613" s="1" t="str">
        <f>"177****0206"</f>
        <v>177****0206</v>
      </c>
      <c r="C1613" s="1" t="s">
        <v>23</v>
      </c>
      <c r="D1613" s="1" t="str">
        <f t="shared" si="162"/>
        <v>89177328</v>
      </c>
      <c r="E1613" s="1" t="s">
        <v>24</v>
      </c>
      <c r="F1613" s="1" t="str">
        <f t="shared" si="163"/>
        <v>0010</v>
      </c>
      <c r="G1613" s="1" t="str">
        <f>""</f>
        <v/>
      </c>
      <c r="H1613" s="1" t="str">
        <f>"0034"</f>
        <v>0034</v>
      </c>
      <c r="I1613" s="1" t="s">
        <v>31</v>
      </c>
      <c r="J1613" s="1" t="str">
        <f>"01043977568"</f>
        <v>01043977568</v>
      </c>
      <c r="K1613" s="1" t="str">
        <f>"2017-03-30 11:31:19"</f>
        <v>2017-03-30 11:31:19</v>
      </c>
      <c r="L1613" s="1" t="str">
        <f t="shared" si="164"/>
        <v>-</v>
      </c>
      <c r="M1613" s="2">
        <v>0</v>
      </c>
      <c r="N1613" s="1" t="s">
        <v>33</v>
      </c>
      <c r="O1613" s="1" t="s">
        <v>34</v>
      </c>
      <c r="P1613" s="2">
        <v>6.9444444444444444E-5</v>
      </c>
      <c r="Q1613" s="1" t="str">
        <f>""</f>
        <v/>
      </c>
      <c r="R1613" s="1">
        <v>0</v>
      </c>
      <c r="S1613" s="1" t="str">
        <f>""</f>
        <v/>
      </c>
      <c r="T1613" s="1" t="s">
        <v>29</v>
      </c>
      <c r="U1613" s="1" t="s">
        <v>30</v>
      </c>
      <c r="V1613" s="1">
        <v>0</v>
      </c>
    </row>
    <row r="1614" spans="2:22" x14ac:dyDescent="0.15">
      <c r="B1614" s="1" t="str">
        <f>"177****0206"</f>
        <v>177****0206</v>
      </c>
      <c r="C1614" s="1" t="s">
        <v>23</v>
      </c>
      <c r="D1614" s="1" t="str">
        <f t="shared" si="162"/>
        <v>89177328</v>
      </c>
      <c r="E1614" s="1" t="s">
        <v>24</v>
      </c>
      <c r="F1614" s="1" t="str">
        <f t="shared" si="163"/>
        <v>0010</v>
      </c>
      <c r="G1614" s="1" t="str">
        <f>""</f>
        <v/>
      </c>
      <c r="H1614" s="1" t="str">
        <f>"0033"</f>
        <v>0033</v>
      </c>
      <c r="I1614" s="1" t="s">
        <v>106</v>
      </c>
      <c r="J1614" s="1" t="str">
        <f>"01043977567"</f>
        <v>01043977567</v>
      </c>
      <c r="K1614" s="1" t="str">
        <f>"2017-03-30 11:27:36"</f>
        <v>2017-03-30 11:27:36</v>
      </c>
      <c r="L1614" s="1" t="str">
        <f t="shared" si="164"/>
        <v>-</v>
      </c>
      <c r="M1614" s="2">
        <v>0</v>
      </c>
      <c r="N1614" s="1" t="s">
        <v>33</v>
      </c>
      <c r="O1614" s="1" t="s">
        <v>34</v>
      </c>
      <c r="P1614" s="2">
        <v>9.2592592592592588E-5</v>
      </c>
      <c r="Q1614" s="1" t="str">
        <f>""</f>
        <v/>
      </c>
      <c r="R1614" s="1">
        <v>0</v>
      </c>
      <c r="S1614" s="1" t="str">
        <f>""</f>
        <v/>
      </c>
      <c r="T1614" s="1" t="s">
        <v>29</v>
      </c>
      <c r="U1614" s="1" t="s">
        <v>30</v>
      </c>
      <c r="V1614" s="1">
        <v>0</v>
      </c>
    </row>
    <row r="1615" spans="2:22" x14ac:dyDescent="0.15">
      <c r="B1615" s="1" t="str">
        <f>"177****0206"</f>
        <v>177****0206</v>
      </c>
      <c r="C1615" s="1" t="s">
        <v>23</v>
      </c>
      <c r="D1615" s="1" t="str">
        <f t="shared" si="162"/>
        <v>89177328</v>
      </c>
      <c r="E1615" s="1" t="s">
        <v>24</v>
      </c>
      <c r="F1615" s="1" t="str">
        <f t="shared" si="163"/>
        <v>0010</v>
      </c>
      <c r="G1615" s="1" t="str">
        <f>""</f>
        <v/>
      </c>
      <c r="H1615" s="1" t="str">
        <f>"0034"</f>
        <v>0034</v>
      </c>
      <c r="I1615" s="1" t="s">
        <v>31</v>
      </c>
      <c r="J1615" s="1" t="str">
        <f>"01043977568"</f>
        <v>01043977568</v>
      </c>
      <c r="K1615" s="1" t="str">
        <f>"2017-03-30 11:15:32"</f>
        <v>2017-03-30 11:15:32</v>
      </c>
      <c r="L1615" s="1" t="str">
        <f t="shared" si="164"/>
        <v>-</v>
      </c>
      <c r="M1615" s="2">
        <v>0</v>
      </c>
      <c r="N1615" s="1" t="s">
        <v>33</v>
      </c>
      <c r="O1615" s="1" t="s">
        <v>34</v>
      </c>
      <c r="P1615" s="2">
        <v>8.1018518518518516E-5</v>
      </c>
      <c r="Q1615" s="1" t="str">
        <f>""</f>
        <v/>
      </c>
      <c r="R1615" s="1">
        <v>0</v>
      </c>
      <c r="S1615" s="1" t="str">
        <f>""</f>
        <v/>
      </c>
      <c r="T1615" s="1" t="s">
        <v>29</v>
      </c>
      <c r="U1615" s="1" t="s">
        <v>30</v>
      </c>
      <c r="V1615" s="1">
        <v>0</v>
      </c>
    </row>
    <row r="1616" spans="2:22" x14ac:dyDescent="0.15">
      <c r="B1616" s="1" t="str">
        <f>"157****4678"</f>
        <v>157****4678</v>
      </c>
      <c r="C1616" s="1" t="s">
        <v>23</v>
      </c>
      <c r="D1616" s="1" t="str">
        <f t="shared" si="162"/>
        <v>89177328</v>
      </c>
      <c r="E1616" s="1" t="s">
        <v>24</v>
      </c>
      <c r="F1616" s="1" t="str">
        <f t="shared" si="163"/>
        <v>0010</v>
      </c>
      <c r="G1616" s="1" t="str">
        <f>""</f>
        <v/>
      </c>
      <c r="H1616" s="1" t="str">
        <f>"0034"</f>
        <v>0034</v>
      </c>
      <c r="I1616" s="1" t="s">
        <v>31</v>
      </c>
      <c r="J1616" s="1" t="str">
        <f>"01043977568"</f>
        <v>01043977568</v>
      </c>
      <c r="K1616" s="1" t="str">
        <f>"2017-03-30 11:14:02"</f>
        <v>2017-03-30 11:14:02</v>
      </c>
      <c r="L1616" s="1" t="str">
        <f t="shared" si="164"/>
        <v>-</v>
      </c>
      <c r="M1616" s="2">
        <v>0</v>
      </c>
      <c r="N1616" s="1" t="s">
        <v>33</v>
      </c>
      <c r="O1616" s="1" t="s">
        <v>34</v>
      </c>
      <c r="P1616" s="2">
        <v>8.1018518518518516E-5</v>
      </c>
      <c r="Q1616" s="1" t="str">
        <f>""</f>
        <v/>
      </c>
      <c r="R1616" s="1">
        <v>0</v>
      </c>
      <c r="S1616" s="1" t="str">
        <f>""</f>
        <v/>
      </c>
      <c r="T1616" s="1" t="s">
        <v>29</v>
      </c>
      <c r="U1616" s="1" t="s">
        <v>30</v>
      </c>
      <c r="V1616" s="1">
        <v>0</v>
      </c>
    </row>
    <row r="1617" spans="2:22" x14ac:dyDescent="0.15">
      <c r="B1617" s="1" t="str">
        <f>"157****4678"</f>
        <v>157****4678</v>
      </c>
      <c r="C1617" s="1" t="s">
        <v>23</v>
      </c>
      <c r="D1617" s="1" t="str">
        <f t="shared" si="162"/>
        <v>89177328</v>
      </c>
      <c r="E1617" s="1" t="s">
        <v>24</v>
      </c>
      <c r="F1617" s="1" t="str">
        <f t="shared" si="163"/>
        <v>0010</v>
      </c>
      <c r="G1617" s="1" t="str">
        <f>""</f>
        <v/>
      </c>
      <c r="H1617" s="1" t="str">
        <f>"0035"</f>
        <v>0035</v>
      </c>
      <c r="I1617" s="1" t="s">
        <v>25</v>
      </c>
      <c r="J1617" s="1" t="str">
        <f>"01043977569"</f>
        <v>01043977569</v>
      </c>
      <c r="K1617" s="1" t="str">
        <f>"2017-03-30 11:10:59"</f>
        <v>2017-03-30 11:10:59</v>
      </c>
      <c r="L1617" s="1" t="str">
        <f t="shared" si="164"/>
        <v>-</v>
      </c>
      <c r="M1617" s="2">
        <v>0</v>
      </c>
      <c r="N1617" s="1" t="s">
        <v>33</v>
      </c>
      <c r="O1617" s="1" t="s">
        <v>34</v>
      </c>
      <c r="P1617" s="2">
        <v>9.2592592592592588E-5</v>
      </c>
      <c r="Q1617" s="1" t="str">
        <f>""</f>
        <v/>
      </c>
      <c r="R1617" s="1">
        <v>0</v>
      </c>
      <c r="S1617" s="1" t="str">
        <f>""</f>
        <v/>
      </c>
      <c r="T1617" s="1" t="s">
        <v>29</v>
      </c>
      <c r="U1617" s="1" t="s">
        <v>30</v>
      </c>
      <c r="V1617" s="1">
        <v>0</v>
      </c>
    </row>
    <row r="1618" spans="2:22" x14ac:dyDescent="0.15">
      <c r="B1618" s="1" t="str">
        <f>"0532****1113"</f>
        <v>0532****1113</v>
      </c>
      <c r="C1618" s="1" t="s">
        <v>872</v>
      </c>
      <c r="D1618" s="1" t="str">
        <f t="shared" ref="D1618:D1681" si="165">"89177328"</f>
        <v>89177328</v>
      </c>
      <c r="E1618" s="1" t="s">
        <v>24</v>
      </c>
      <c r="F1618" s="1" t="str">
        <f t="shared" ref="F1618:F1681" si="166">"0010"</f>
        <v>0010</v>
      </c>
      <c r="G1618" s="1" t="str">
        <f>""</f>
        <v/>
      </c>
      <c r="H1618" s="1" t="str">
        <f>"0033"</f>
        <v>0033</v>
      </c>
      <c r="I1618" s="1" t="s">
        <v>106</v>
      </c>
      <c r="J1618" s="1" t="str">
        <f>"01043977567"</f>
        <v>01043977567</v>
      </c>
      <c r="K1618" s="1" t="str">
        <f>"2017-03-30 11:10:06"</f>
        <v>2017-03-30 11:10:06</v>
      </c>
      <c r="L1618" s="1" t="str">
        <f>"2017-03-30 11:10:19"</f>
        <v>2017-03-30 11:10:19</v>
      </c>
      <c r="M1618" s="2">
        <v>2.1874999999999998E-3</v>
      </c>
      <c r="N1618" s="1" t="s">
        <v>26</v>
      </c>
      <c r="O1618" s="1" t="s">
        <v>27</v>
      </c>
      <c r="P1618" s="2">
        <v>2.3379629629629631E-3</v>
      </c>
      <c r="Q1618" s="1" t="s">
        <v>1209</v>
      </c>
      <c r="R1618" s="1">
        <v>0</v>
      </c>
      <c r="S1618" s="1" t="str">
        <f>""</f>
        <v/>
      </c>
      <c r="T1618" s="1" t="s">
        <v>29</v>
      </c>
      <c r="U1618" s="1" t="s">
        <v>30</v>
      </c>
      <c r="V1618" s="1">
        <v>0</v>
      </c>
    </row>
    <row r="1619" spans="2:22" x14ac:dyDescent="0.15">
      <c r="B1619" s="1" t="str">
        <f>"157****4678"</f>
        <v>157****4678</v>
      </c>
      <c r="C1619" s="1" t="s">
        <v>23</v>
      </c>
      <c r="D1619" s="1" t="str">
        <f t="shared" si="165"/>
        <v>89177328</v>
      </c>
      <c r="E1619" s="1" t="s">
        <v>24</v>
      </c>
      <c r="F1619" s="1" t="str">
        <f t="shared" si="166"/>
        <v>0010</v>
      </c>
      <c r="G1619" s="1" t="str">
        <f>""</f>
        <v/>
      </c>
      <c r="H1619" s="1" t="str">
        <f>"0031"</f>
        <v>0031</v>
      </c>
      <c r="I1619" s="1" t="s">
        <v>95</v>
      </c>
      <c r="J1619" s="1" t="str">
        <f>"01043977565"</f>
        <v>01043977565</v>
      </c>
      <c r="K1619" s="1" t="str">
        <f>"2017-03-30 11:08:01"</f>
        <v>2017-03-30 11:08:01</v>
      </c>
      <c r="L1619" s="1" t="str">
        <f>"-"</f>
        <v>-</v>
      </c>
      <c r="M1619" s="2">
        <v>0</v>
      </c>
      <c r="N1619" s="1" t="s">
        <v>33</v>
      </c>
      <c r="O1619" s="1" t="s">
        <v>34</v>
      </c>
      <c r="P1619" s="2">
        <v>8.1018518518518516E-5</v>
      </c>
      <c r="Q1619" s="1" t="str">
        <f>""</f>
        <v/>
      </c>
      <c r="R1619" s="1">
        <v>0</v>
      </c>
      <c r="S1619" s="1" t="str">
        <f>""</f>
        <v/>
      </c>
      <c r="T1619" s="1" t="s">
        <v>29</v>
      </c>
      <c r="U1619" s="1" t="s">
        <v>30</v>
      </c>
      <c r="V1619" s="1">
        <v>0</v>
      </c>
    </row>
    <row r="1620" spans="2:22" x14ac:dyDescent="0.15">
      <c r="B1620" s="1" t="str">
        <f>"150****0753"</f>
        <v>150****0753</v>
      </c>
      <c r="C1620" s="1" t="s">
        <v>1210</v>
      </c>
      <c r="D1620" s="1" t="str">
        <f t="shared" si="165"/>
        <v>89177328</v>
      </c>
      <c r="E1620" s="1" t="s">
        <v>24</v>
      </c>
      <c r="F1620" s="1" t="str">
        <f t="shared" si="166"/>
        <v>0010</v>
      </c>
      <c r="G1620" s="1" t="str">
        <f>""</f>
        <v/>
      </c>
      <c r="H1620" s="1" t="str">
        <f>"0017"</f>
        <v>0017</v>
      </c>
      <c r="I1620" s="1" t="s">
        <v>135</v>
      </c>
      <c r="J1620" s="1" t="str">
        <f>"01043989717"</f>
        <v>01043989717</v>
      </c>
      <c r="K1620" s="1" t="str">
        <f>"2017-03-30 10:50:13"</f>
        <v>2017-03-30 10:50:13</v>
      </c>
      <c r="L1620" s="1" t="str">
        <f>"2017-03-30 10:50:37"</f>
        <v>2017-03-30 10:50:37</v>
      </c>
      <c r="M1620" s="2">
        <v>7.5000000000000006E-3</v>
      </c>
      <c r="N1620" s="1" t="s">
        <v>26</v>
      </c>
      <c r="O1620" s="1" t="s">
        <v>27</v>
      </c>
      <c r="P1620" s="2">
        <v>7.7777777777777767E-3</v>
      </c>
      <c r="Q1620" s="1" t="s">
        <v>1211</v>
      </c>
      <c r="R1620" s="1">
        <v>0</v>
      </c>
      <c r="S1620" s="1" t="str">
        <f>""</f>
        <v/>
      </c>
      <c r="T1620" s="1" t="s">
        <v>29</v>
      </c>
      <c r="U1620" s="1" t="s">
        <v>30</v>
      </c>
      <c r="V1620" s="1">
        <v>0</v>
      </c>
    </row>
    <row r="1621" spans="2:22" x14ac:dyDescent="0.15">
      <c r="B1621" s="1" t="str">
        <f>"157****0820"</f>
        <v>157****0820</v>
      </c>
      <c r="C1621" s="1" t="s">
        <v>872</v>
      </c>
      <c r="D1621" s="1" t="str">
        <f t="shared" si="165"/>
        <v>89177328</v>
      </c>
      <c r="E1621" s="1" t="s">
        <v>24</v>
      </c>
      <c r="F1621" s="1" t="str">
        <f t="shared" si="166"/>
        <v>0010</v>
      </c>
      <c r="G1621" s="1" t="str">
        <f>""</f>
        <v/>
      </c>
      <c r="H1621" s="1" t="str">
        <f>"0012"</f>
        <v>0012</v>
      </c>
      <c r="I1621" s="1" t="s">
        <v>612</v>
      </c>
      <c r="J1621" s="1" t="str">
        <f>"01043989720"</f>
        <v>01043989720</v>
      </c>
      <c r="K1621" s="1" t="str">
        <f>"2017-03-30 10:50:03"</f>
        <v>2017-03-30 10:50:03</v>
      </c>
      <c r="L1621" s="1" t="str">
        <f>"2017-03-30 10:50:16"</f>
        <v>2017-03-30 10:50:16</v>
      </c>
      <c r="M1621" s="2">
        <v>1.5335648148148147E-2</v>
      </c>
      <c r="N1621" s="1" t="s">
        <v>26</v>
      </c>
      <c r="O1621" s="1" t="s">
        <v>34</v>
      </c>
      <c r="P1621" s="2">
        <v>1.5486111111111112E-2</v>
      </c>
      <c r="Q1621" s="1" t="s">
        <v>1212</v>
      </c>
      <c r="R1621" s="1">
        <v>0</v>
      </c>
      <c r="S1621" s="1" t="str">
        <f>""</f>
        <v/>
      </c>
      <c r="T1621" s="1" t="s">
        <v>29</v>
      </c>
      <c r="U1621" s="1" t="s">
        <v>30</v>
      </c>
      <c r="V1621" s="1">
        <v>0</v>
      </c>
    </row>
    <row r="1622" spans="2:22" x14ac:dyDescent="0.15">
      <c r="B1622" s="1" t="str">
        <f>"186****0604"</f>
        <v>186****0604</v>
      </c>
      <c r="C1622" s="1" t="s">
        <v>23</v>
      </c>
      <c r="D1622" s="1" t="str">
        <f t="shared" si="165"/>
        <v>89177328</v>
      </c>
      <c r="E1622" s="1" t="s">
        <v>24</v>
      </c>
      <c r="F1622" s="1" t="str">
        <f t="shared" si="166"/>
        <v>0010</v>
      </c>
      <c r="G1622" s="1" t="str">
        <f>""</f>
        <v/>
      </c>
      <c r="H1622" s="1" t="str">
        <f>"0012"</f>
        <v>0012</v>
      </c>
      <c r="I1622" s="1" t="s">
        <v>612</v>
      </c>
      <c r="J1622" s="1" t="str">
        <f>"01043989720"</f>
        <v>01043989720</v>
      </c>
      <c r="K1622" s="1" t="str">
        <f>"2017-03-30 10:46:41"</f>
        <v>2017-03-30 10:46:41</v>
      </c>
      <c r="L1622" s="1" t="str">
        <f>"-"</f>
        <v>-</v>
      </c>
      <c r="M1622" s="2">
        <v>0</v>
      </c>
      <c r="N1622" s="1" t="s">
        <v>33</v>
      </c>
      <c r="O1622" s="1" t="s">
        <v>34</v>
      </c>
      <c r="P1622" s="2">
        <v>5.7870370370370366E-5</v>
      </c>
      <c r="Q1622" s="1" t="str">
        <f>""</f>
        <v/>
      </c>
      <c r="R1622" s="1">
        <v>0</v>
      </c>
      <c r="S1622" s="1" t="str">
        <f>""</f>
        <v/>
      </c>
      <c r="T1622" s="1" t="s">
        <v>29</v>
      </c>
      <c r="U1622" s="1" t="s">
        <v>30</v>
      </c>
      <c r="V1622" s="1">
        <v>0</v>
      </c>
    </row>
    <row r="1623" spans="2:22" x14ac:dyDescent="0.15">
      <c r="B1623" s="1" t="str">
        <f>"131****5171"</f>
        <v>131****5171</v>
      </c>
      <c r="C1623" s="1" t="s">
        <v>23</v>
      </c>
      <c r="D1623" s="1" t="str">
        <f t="shared" si="165"/>
        <v>89177328</v>
      </c>
      <c r="E1623" s="1" t="s">
        <v>24</v>
      </c>
      <c r="F1623" s="1" t="str">
        <f t="shared" si="166"/>
        <v>0010</v>
      </c>
      <c r="G1623" s="1" t="str">
        <f>""</f>
        <v/>
      </c>
      <c r="H1623" s="1" t="str">
        <f>"0034"</f>
        <v>0034</v>
      </c>
      <c r="I1623" s="1" t="s">
        <v>31</v>
      </c>
      <c r="J1623" s="1" t="str">
        <f>"01043977568"</f>
        <v>01043977568</v>
      </c>
      <c r="K1623" s="1" t="str">
        <f>"2017-03-30 10:42:28"</f>
        <v>2017-03-30 10:42:28</v>
      </c>
      <c r="L1623" s="1" t="str">
        <f>"2017-03-30 10:42:40"</f>
        <v>2017-03-30 10:42:40</v>
      </c>
      <c r="M1623" s="2">
        <v>9.7106481481481471E-3</v>
      </c>
      <c r="N1623" s="1" t="s">
        <v>26</v>
      </c>
      <c r="O1623" s="1" t="s">
        <v>27</v>
      </c>
      <c r="P1623" s="2">
        <v>9.8495370370370369E-3</v>
      </c>
      <c r="Q1623" s="1" t="s">
        <v>1213</v>
      </c>
      <c r="R1623" s="1">
        <v>0</v>
      </c>
      <c r="S1623" s="1" t="str">
        <f>""</f>
        <v/>
      </c>
      <c r="T1623" s="1" t="s">
        <v>29</v>
      </c>
      <c r="U1623" s="1" t="s">
        <v>30</v>
      </c>
      <c r="V1623" s="1">
        <v>0</v>
      </c>
    </row>
    <row r="1624" spans="2:22" x14ac:dyDescent="0.15">
      <c r="B1624" s="1" t="str">
        <f>"116114"</f>
        <v>116114</v>
      </c>
      <c r="C1624" s="1" t="s">
        <v>159</v>
      </c>
      <c r="D1624" s="1" t="str">
        <f t="shared" si="165"/>
        <v>89177328</v>
      </c>
      <c r="E1624" s="1" t="s">
        <v>24</v>
      </c>
      <c r="F1624" s="1" t="str">
        <f t="shared" si="166"/>
        <v>0010</v>
      </c>
      <c r="G1624" s="1" t="str">
        <f>""</f>
        <v/>
      </c>
      <c r="H1624" s="1" t="str">
        <f>"0012"</f>
        <v>0012</v>
      </c>
      <c r="I1624" s="1" t="s">
        <v>612</v>
      </c>
      <c r="J1624" s="1" t="str">
        <f>"01043989720"</f>
        <v>01043989720</v>
      </c>
      <c r="K1624" s="1" t="str">
        <f>"2017-03-30 10:36:59"</f>
        <v>2017-03-30 10:36:59</v>
      </c>
      <c r="L1624" s="1" t="str">
        <f>"-"</f>
        <v>-</v>
      </c>
      <c r="M1624" s="2">
        <v>0</v>
      </c>
      <c r="N1624" s="1" t="s">
        <v>33</v>
      </c>
      <c r="O1624" s="1" t="s">
        <v>34</v>
      </c>
      <c r="P1624" s="2">
        <v>2.8935185185185189E-4</v>
      </c>
      <c r="Q1624" s="1" t="str">
        <f>""</f>
        <v/>
      </c>
      <c r="R1624" s="1">
        <v>0</v>
      </c>
      <c r="S1624" s="1" t="str">
        <f>""</f>
        <v/>
      </c>
      <c r="T1624" s="1" t="s">
        <v>29</v>
      </c>
      <c r="U1624" s="1" t="s">
        <v>30</v>
      </c>
      <c r="V1624" s="1">
        <v>0</v>
      </c>
    </row>
    <row r="1625" spans="2:22" x14ac:dyDescent="0.15">
      <c r="B1625" s="1" t="str">
        <f>"180****1211"</f>
        <v>180****1211</v>
      </c>
      <c r="C1625" s="1" t="s">
        <v>23</v>
      </c>
      <c r="D1625" s="1" t="str">
        <f t="shared" si="165"/>
        <v>89177328</v>
      </c>
      <c r="E1625" s="1" t="s">
        <v>24</v>
      </c>
      <c r="F1625" s="1" t="str">
        <f t="shared" si="166"/>
        <v>0010</v>
      </c>
      <c r="G1625" s="1" t="str">
        <f>""</f>
        <v/>
      </c>
      <c r="H1625" s="1" t="str">
        <f>"0010"</f>
        <v>0010</v>
      </c>
      <c r="I1625" s="1" t="s">
        <v>71</v>
      </c>
      <c r="J1625" s="1" t="str">
        <f>"01043989719"</f>
        <v>01043989719</v>
      </c>
      <c r="K1625" s="1" t="str">
        <f>"2017-03-30 10:30:27"</f>
        <v>2017-03-30 10:30:27</v>
      </c>
      <c r="L1625" s="1" t="str">
        <f>"2017-03-30 10:30:37"</f>
        <v>2017-03-30 10:30:37</v>
      </c>
      <c r="M1625" s="2">
        <v>8.8773148148148153E-3</v>
      </c>
      <c r="N1625" s="1" t="s">
        <v>26</v>
      </c>
      <c r="O1625" s="1" t="s">
        <v>27</v>
      </c>
      <c r="P1625" s="2">
        <v>8.9930555555555545E-3</v>
      </c>
      <c r="Q1625" s="1" t="s">
        <v>1214</v>
      </c>
      <c r="R1625" s="1">
        <v>0</v>
      </c>
      <c r="S1625" s="1" t="str">
        <f>""</f>
        <v/>
      </c>
      <c r="T1625" s="1" t="s">
        <v>29</v>
      </c>
      <c r="U1625" s="1" t="s">
        <v>30</v>
      </c>
      <c r="V1625" s="1">
        <v>0</v>
      </c>
    </row>
    <row r="1626" spans="2:22" x14ac:dyDescent="0.15">
      <c r="B1626" s="1" t="str">
        <f>"188****7867"</f>
        <v>188****7867</v>
      </c>
      <c r="C1626" s="1" t="s">
        <v>23</v>
      </c>
      <c r="D1626" s="1" t="str">
        <f t="shared" si="165"/>
        <v>89177328</v>
      </c>
      <c r="E1626" s="1" t="s">
        <v>24</v>
      </c>
      <c r="F1626" s="1" t="str">
        <f t="shared" si="166"/>
        <v>0010</v>
      </c>
      <c r="G1626" s="1" t="str">
        <f>""</f>
        <v/>
      </c>
      <c r="H1626" s="1" t="str">
        <f>"0010"</f>
        <v>0010</v>
      </c>
      <c r="I1626" s="1" t="s">
        <v>71</v>
      </c>
      <c r="J1626" s="1" t="str">
        <f>"01043989719"</f>
        <v>01043989719</v>
      </c>
      <c r="K1626" s="1" t="str">
        <f>"2017-03-30 10:28:26"</f>
        <v>2017-03-30 10:28:26</v>
      </c>
      <c r="L1626" s="1" t="str">
        <f>"-"</f>
        <v>-</v>
      </c>
      <c r="M1626" s="2">
        <v>0</v>
      </c>
      <c r="N1626" s="1" t="s">
        <v>33</v>
      </c>
      <c r="O1626" s="1" t="s">
        <v>34</v>
      </c>
      <c r="P1626" s="2">
        <v>5.7870370370370366E-5</v>
      </c>
      <c r="Q1626" s="1" t="str">
        <f>""</f>
        <v/>
      </c>
      <c r="R1626" s="1">
        <v>0</v>
      </c>
      <c r="S1626" s="1" t="str">
        <f>""</f>
        <v/>
      </c>
      <c r="T1626" s="1" t="s">
        <v>29</v>
      </c>
      <c r="U1626" s="1" t="s">
        <v>30</v>
      </c>
      <c r="V1626" s="1">
        <v>0</v>
      </c>
    </row>
    <row r="1627" spans="2:22" x14ac:dyDescent="0.15">
      <c r="B1627" s="1" t="str">
        <f>"188****7867"</f>
        <v>188****7867</v>
      </c>
      <c r="C1627" s="1" t="s">
        <v>23</v>
      </c>
      <c r="D1627" s="1" t="str">
        <f t="shared" si="165"/>
        <v>89177328</v>
      </c>
      <c r="E1627" s="1" t="s">
        <v>24</v>
      </c>
      <c r="F1627" s="1" t="str">
        <f t="shared" si="166"/>
        <v>0010</v>
      </c>
      <c r="G1627" s="1" t="str">
        <f>""</f>
        <v/>
      </c>
      <c r="H1627" s="1" t="str">
        <f>"0010"</f>
        <v>0010</v>
      </c>
      <c r="I1627" s="1" t="s">
        <v>71</v>
      </c>
      <c r="J1627" s="1" t="str">
        <f>"01043989719"</f>
        <v>01043989719</v>
      </c>
      <c r="K1627" s="1" t="str">
        <f>"2017-03-30 10:26:21"</f>
        <v>2017-03-30 10:26:21</v>
      </c>
      <c r="L1627" s="1" t="str">
        <f>"-"</f>
        <v>-</v>
      </c>
      <c r="M1627" s="2">
        <v>0</v>
      </c>
      <c r="N1627" s="1" t="s">
        <v>33</v>
      </c>
      <c r="O1627" s="1" t="s">
        <v>34</v>
      </c>
      <c r="P1627" s="2">
        <v>5.7870370370370366E-5</v>
      </c>
      <c r="Q1627" s="1" t="str">
        <f>""</f>
        <v/>
      </c>
      <c r="R1627" s="1">
        <v>0</v>
      </c>
      <c r="S1627" s="1" t="str">
        <f>""</f>
        <v/>
      </c>
      <c r="T1627" s="1" t="s">
        <v>29</v>
      </c>
      <c r="U1627" s="1" t="s">
        <v>30</v>
      </c>
      <c r="V1627" s="1">
        <v>0</v>
      </c>
    </row>
    <row r="1628" spans="2:22" x14ac:dyDescent="0.15">
      <c r="B1628" s="1" t="str">
        <f>"136****2082"</f>
        <v>136****2082</v>
      </c>
      <c r="C1628" s="1" t="s">
        <v>23</v>
      </c>
      <c r="D1628" s="1" t="str">
        <f t="shared" si="165"/>
        <v>89177328</v>
      </c>
      <c r="E1628" s="1" t="s">
        <v>24</v>
      </c>
      <c r="F1628" s="1" t="str">
        <f t="shared" si="166"/>
        <v>0010</v>
      </c>
      <c r="G1628" s="1" t="str">
        <f>""</f>
        <v/>
      </c>
      <c r="H1628" s="1" t="str">
        <f>"0012"</f>
        <v>0012</v>
      </c>
      <c r="I1628" s="1" t="s">
        <v>612</v>
      </c>
      <c r="J1628" s="1" t="str">
        <f>"01043989720"</f>
        <v>01043989720</v>
      </c>
      <c r="K1628" s="1" t="str">
        <f>"2017-03-30 10:26:04"</f>
        <v>2017-03-30 10:26:04</v>
      </c>
      <c r="L1628" s="1" t="str">
        <f>"2017-03-30 10:26:17"</f>
        <v>2017-03-30 10:26:17</v>
      </c>
      <c r="M1628" s="2">
        <v>4.8611111111111104E-4</v>
      </c>
      <c r="N1628" s="1" t="s">
        <v>26</v>
      </c>
      <c r="O1628" s="1" t="s">
        <v>27</v>
      </c>
      <c r="P1628" s="2">
        <v>6.3657407407407402E-4</v>
      </c>
      <c r="Q1628" s="1" t="s">
        <v>1215</v>
      </c>
      <c r="R1628" s="1">
        <v>0</v>
      </c>
      <c r="S1628" s="1" t="str">
        <f>""</f>
        <v/>
      </c>
      <c r="T1628" s="1" t="s">
        <v>29</v>
      </c>
      <c r="U1628" s="1" t="s">
        <v>30</v>
      </c>
      <c r="V1628" s="1">
        <v>0</v>
      </c>
    </row>
    <row r="1629" spans="2:22" x14ac:dyDescent="0.15">
      <c r="B1629" s="1" t="str">
        <f>"188****7867"</f>
        <v>188****7867</v>
      </c>
      <c r="C1629" s="1" t="s">
        <v>23</v>
      </c>
      <c r="D1629" s="1" t="str">
        <f t="shared" si="165"/>
        <v>89177328</v>
      </c>
      <c r="E1629" s="1" t="s">
        <v>24</v>
      </c>
      <c r="F1629" s="1" t="str">
        <f t="shared" si="166"/>
        <v>0010</v>
      </c>
      <c r="G1629" s="1" t="str">
        <f>""</f>
        <v/>
      </c>
      <c r="H1629" s="1" t="str">
        <f>"0012"</f>
        <v>0012</v>
      </c>
      <c r="I1629" s="1" t="s">
        <v>612</v>
      </c>
      <c r="J1629" s="1" t="str">
        <f>"01043989720"</f>
        <v>01043989720</v>
      </c>
      <c r="K1629" s="1" t="str">
        <f>"2017-03-30 10:24:02"</f>
        <v>2017-03-30 10:24:02</v>
      </c>
      <c r="L1629" s="1" t="str">
        <f>"-"</f>
        <v>-</v>
      </c>
      <c r="M1629" s="2">
        <v>0</v>
      </c>
      <c r="N1629" s="1" t="s">
        <v>33</v>
      </c>
      <c r="O1629" s="1" t="s">
        <v>34</v>
      </c>
      <c r="P1629" s="2">
        <v>9.2592592592592588E-5</v>
      </c>
      <c r="Q1629" s="1" t="str">
        <f>""</f>
        <v/>
      </c>
      <c r="R1629" s="1">
        <v>0</v>
      </c>
      <c r="S1629" s="1" t="str">
        <f>""</f>
        <v/>
      </c>
      <c r="T1629" s="1" t="s">
        <v>29</v>
      </c>
      <c r="U1629" s="1" t="s">
        <v>30</v>
      </c>
      <c r="V1629" s="1">
        <v>0</v>
      </c>
    </row>
    <row r="1630" spans="2:22" x14ac:dyDescent="0.15">
      <c r="B1630" s="1" t="str">
        <f>"116114"</f>
        <v>116114</v>
      </c>
      <c r="C1630" s="1" t="s">
        <v>159</v>
      </c>
      <c r="D1630" s="1" t="str">
        <f t="shared" si="165"/>
        <v>89177328</v>
      </c>
      <c r="E1630" s="1" t="s">
        <v>24</v>
      </c>
      <c r="F1630" s="1" t="str">
        <f t="shared" si="166"/>
        <v>0010</v>
      </c>
      <c r="G1630" s="1" t="str">
        <f>""</f>
        <v/>
      </c>
      <c r="H1630" s="1" t="str">
        <f>"0031"</f>
        <v>0031</v>
      </c>
      <c r="I1630" s="1" t="s">
        <v>95</v>
      </c>
      <c r="J1630" s="1" t="str">
        <f>"01043977565"</f>
        <v>01043977565</v>
      </c>
      <c r="K1630" s="1" t="str">
        <f>"2017-03-30 10:14:09"</f>
        <v>2017-03-30 10:14:09</v>
      </c>
      <c r="L1630" s="1" t="str">
        <f>"-"</f>
        <v>-</v>
      </c>
      <c r="M1630" s="2">
        <v>0</v>
      </c>
      <c r="N1630" s="1" t="s">
        <v>33</v>
      </c>
      <c r="O1630" s="1" t="s">
        <v>34</v>
      </c>
      <c r="P1630" s="2">
        <v>5.7870370370370366E-5</v>
      </c>
      <c r="Q1630" s="1" t="str">
        <f>""</f>
        <v/>
      </c>
      <c r="R1630" s="1">
        <v>0</v>
      </c>
      <c r="S1630" s="1" t="str">
        <f>""</f>
        <v/>
      </c>
      <c r="T1630" s="1" t="s">
        <v>29</v>
      </c>
      <c r="U1630" s="1" t="s">
        <v>30</v>
      </c>
      <c r="V1630" s="1">
        <v>0</v>
      </c>
    </row>
    <row r="1631" spans="2:22" x14ac:dyDescent="0.15">
      <c r="B1631" s="1" t="str">
        <f>"130****5656"</f>
        <v>130****5656</v>
      </c>
      <c r="C1631" s="1" t="s">
        <v>112</v>
      </c>
      <c r="D1631" s="1" t="str">
        <f t="shared" si="165"/>
        <v>89177328</v>
      </c>
      <c r="E1631" s="1" t="s">
        <v>24</v>
      </c>
      <c r="F1631" s="1" t="str">
        <f t="shared" si="166"/>
        <v>0010</v>
      </c>
      <c r="G1631" s="1" t="str">
        <f>""</f>
        <v/>
      </c>
      <c r="H1631" s="1" t="str">
        <f>"0031"</f>
        <v>0031</v>
      </c>
      <c r="I1631" s="1" t="s">
        <v>95</v>
      </c>
      <c r="J1631" s="1" t="str">
        <f>"01043977565"</f>
        <v>01043977565</v>
      </c>
      <c r="K1631" s="1" t="str">
        <f>"2017-03-30 10:10:19"</f>
        <v>2017-03-30 10:10:19</v>
      </c>
      <c r="L1631" s="1" t="str">
        <f>"-"</f>
        <v>-</v>
      </c>
      <c r="M1631" s="2">
        <v>0</v>
      </c>
      <c r="N1631" s="1" t="s">
        <v>33</v>
      </c>
      <c r="O1631" s="1" t="s">
        <v>34</v>
      </c>
      <c r="P1631" s="2">
        <v>9.2592592592592588E-5</v>
      </c>
      <c r="Q1631" s="1" t="str">
        <f>""</f>
        <v/>
      </c>
      <c r="R1631" s="1">
        <v>0</v>
      </c>
      <c r="S1631" s="1" t="str">
        <f>""</f>
        <v/>
      </c>
      <c r="T1631" s="1" t="s">
        <v>29</v>
      </c>
      <c r="U1631" s="1" t="s">
        <v>30</v>
      </c>
      <c r="V1631" s="1">
        <v>0</v>
      </c>
    </row>
    <row r="1632" spans="2:22" x14ac:dyDescent="0.15">
      <c r="B1632" s="1" t="str">
        <f>"130****5656"</f>
        <v>130****5656</v>
      </c>
      <c r="C1632" s="1" t="s">
        <v>112</v>
      </c>
      <c r="D1632" s="1" t="str">
        <f t="shared" si="165"/>
        <v>89177328</v>
      </c>
      <c r="E1632" s="1" t="s">
        <v>24</v>
      </c>
      <c r="F1632" s="1" t="str">
        <f t="shared" si="166"/>
        <v>0010</v>
      </c>
      <c r="G1632" s="1" t="str">
        <f>""</f>
        <v/>
      </c>
      <c r="H1632" s="1" t="str">
        <f>"0017"</f>
        <v>0017</v>
      </c>
      <c r="I1632" s="1" t="s">
        <v>135</v>
      </c>
      <c r="J1632" s="1" t="str">
        <f>"01043989717"</f>
        <v>01043989717</v>
      </c>
      <c r="K1632" s="1" t="str">
        <f>"2017-03-30 10:06:46"</f>
        <v>2017-03-30 10:06:46</v>
      </c>
      <c r="L1632" s="1" t="str">
        <f>"-"</f>
        <v>-</v>
      </c>
      <c r="M1632" s="2">
        <v>0</v>
      </c>
      <c r="N1632" s="1" t="s">
        <v>33</v>
      </c>
      <c r="O1632" s="1" t="s">
        <v>34</v>
      </c>
      <c r="P1632" s="2">
        <v>8.1018518518518516E-5</v>
      </c>
      <c r="Q1632" s="1" t="str">
        <f>""</f>
        <v/>
      </c>
      <c r="R1632" s="1">
        <v>0</v>
      </c>
      <c r="S1632" s="1" t="str">
        <f>""</f>
        <v/>
      </c>
      <c r="T1632" s="1" t="s">
        <v>29</v>
      </c>
      <c r="U1632" s="1" t="s">
        <v>30</v>
      </c>
      <c r="V1632" s="1">
        <v>0</v>
      </c>
    </row>
    <row r="1633" spans="2:22" x14ac:dyDescent="0.15">
      <c r="B1633" s="1" t="str">
        <f>"158****2282"</f>
        <v>158****2282</v>
      </c>
      <c r="C1633" s="1" t="s">
        <v>170</v>
      </c>
      <c r="D1633" s="1" t="str">
        <f t="shared" si="165"/>
        <v>89177328</v>
      </c>
      <c r="E1633" s="1" t="s">
        <v>24</v>
      </c>
      <c r="F1633" s="1" t="str">
        <f t="shared" si="166"/>
        <v>0010</v>
      </c>
      <c r="G1633" s="1" t="str">
        <f>""</f>
        <v/>
      </c>
      <c r="H1633" s="1" t="str">
        <f>"0035"</f>
        <v>0035</v>
      </c>
      <c r="I1633" s="1" t="s">
        <v>25</v>
      </c>
      <c r="J1633" s="1" t="str">
        <f>"01043977569"</f>
        <v>01043977569</v>
      </c>
      <c r="K1633" s="1" t="str">
        <f>"2017-03-30 10:05:07"</f>
        <v>2017-03-30 10:05:07</v>
      </c>
      <c r="L1633" s="1" t="str">
        <f>"2017-03-30 10:05:18"</f>
        <v>2017-03-30 10:05:18</v>
      </c>
      <c r="M1633" s="2">
        <v>7.2222222222222228E-3</v>
      </c>
      <c r="N1633" s="1" t="s">
        <v>26</v>
      </c>
      <c r="O1633" s="1" t="s">
        <v>27</v>
      </c>
      <c r="P1633" s="2">
        <v>7.3495370370370372E-3</v>
      </c>
      <c r="Q1633" s="1" t="s">
        <v>1216</v>
      </c>
      <c r="R1633" s="1">
        <v>0</v>
      </c>
      <c r="S1633" s="1" t="str">
        <f>""</f>
        <v/>
      </c>
      <c r="T1633" s="1" t="s">
        <v>29</v>
      </c>
      <c r="U1633" s="1" t="s">
        <v>30</v>
      </c>
      <c r="V1633" s="1">
        <v>0</v>
      </c>
    </row>
    <row r="1634" spans="2:22" x14ac:dyDescent="0.15">
      <c r="B1634" s="1" t="str">
        <f>"183****4280"</f>
        <v>183****4280</v>
      </c>
      <c r="C1634" s="1" t="s">
        <v>23</v>
      </c>
      <c r="D1634" s="1" t="str">
        <f t="shared" si="165"/>
        <v>89177328</v>
      </c>
      <c r="E1634" s="1" t="s">
        <v>24</v>
      </c>
      <c r="F1634" s="1" t="str">
        <f t="shared" si="166"/>
        <v>0010</v>
      </c>
      <c r="G1634" s="1" t="str">
        <f>""</f>
        <v/>
      </c>
      <c r="H1634" s="1" t="str">
        <f>"0035"</f>
        <v>0035</v>
      </c>
      <c r="I1634" s="1" t="s">
        <v>25</v>
      </c>
      <c r="J1634" s="1" t="str">
        <f>"01043977569"</f>
        <v>01043977569</v>
      </c>
      <c r="K1634" s="1" t="str">
        <f>"2017-03-30 09:59:40"</f>
        <v>2017-03-30 09:59:40</v>
      </c>
      <c r="L1634" s="1" t="str">
        <f>"-"</f>
        <v>-</v>
      </c>
      <c r="M1634" s="2">
        <v>0</v>
      </c>
      <c r="N1634" s="1" t="s">
        <v>33</v>
      </c>
      <c r="O1634" s="1" t="s">
        <v>34</v>
      </c>
      <c r="P1634" s="2">
        <v>5.7870370370370366E-5</v>
      </c>
      <c r="Q1634" s="1" t="str">
        <f>""</f>
        <v/>
      </c>
      <c r="R1634" s="1">
        <v>0</v>
      </c>
      <c r="S1634" s="1" t="str">
        <f>""</f>
        <v/>
      </c>
      <c r="T1634" s="1" t="s">
        <v>29</v>
      </c>
      <c r="U1634" s="1" t="s">
        <v>30</v>
      </c>
      <c r="V1634" s="1">
        <v>0</v>
      </c>
    </row>
    <row r="1635" spans="2:22" x14ac:dyDescent="0.15">
      <c r="B1635" s="1" t="str">
        <f>"139****7193"</f>
        <v>139****7193</v>
      </c>
      <c r="C1635" s="1" t="s">
        <v>23</v>
      </c>
      <c r="D1635" s="1" t="str">
        <f t="shared" si="165"/>
        <v>89177328</v>
      </c>
      <c r="E1635" s="1" t="s">
        <v>24</v>
      </c>
      <c r="F1635" s="1" t="str">
        <f t="shared" si="166"/>
        <v>0010</v>
      </c>
      <c r="G1635" s="1" t="str">
        <f>""</f>
        <v/>
      </c>
      <c r="H1635" s="1" t="str">
        <f>"0010"</f>
        <v>0010</v>
      </c>
      <c r="I1635" s="1" t="s">
        <v>71</v>
      </c>
      <c r="J1635" s="1" t="str">
        <f>"01043989719"</f>
        <v>01043989719</v>
      </c>
      <c r="K1635" s="1" t="str">
        <f>"2017-03-30 09:58:39"</f>
        <v>2017-03-30 09:58:39</v>
      </c>
      <c r="L1635" s="1" t="str">
        <f>"2017-03-30 09:58:47"</f>
        <v>2017-03-30 09:58:47</v>
      </c>
      <c r="M1635" s="2">
        <v>7.2337962962962963E-3</v>
      </c>
      <c r="N1635" s="1" t="s">
        <v>26</v>
      </c>
      <c r="O1635" s="1" t="s">
        <v>27</v>
      </c>
      <c r="P1635" s="2">
        <v>7.3263888888888892E-3</v>
      </c>
      <c r="Q1635" s="1" t="s">
        <v>1217</v>
      </c>
      <c r="R1635" s="1">
        <v>0</v>
      </c>
      <c r="S1635" s="1" t="str">
        <f>""</f>
        <v/>
      </c>
      <c r="T1635" s="1" t="s">
        <v>29</v>
      </c>
      <c r="U1635" s="1" t="s">
        <v>30</v>
      </c>
      <c r="V1635" s="1">
        <v>0</v>
      </c>
    </row>
    <row r="1636" spans="2:22" x14ac:dyDescent="0.15">
      <c r="B1636" s="1" t="str">
        <f>"181****7691"</f>
        <v>181****7691</v>
      </c>
      <c r="C1636" s="1" t="s">
        <v>232</v>
      </c>
      <c r="D1636" s="1" t="str">
        <f t="shared" si="165"/>
        <v>89177328</v>
      </c>
      <c r="E1636" s="1" t="s">
        <v>24</v>
      </c>
      <c r="F1636" s="1" t="str">
        <f t="shared" si="166"/>
        <v>0010</v>
      </c>
      <c r="G1636" s="1" t="str">
        <f>""</f>
        <v/>
      </c>
      <c r="H1636" s="1" t="str">
        <f>"0034"</f>
        <v>0034</v>
      </c>
      <c r="I1636" s="1" t="s">
        <v>31</v>
      </c>
      <c r="J1636" s="1" t="str">
        <f>"01043977568"</f>
        <v>01043977568</v>
      </c>
      <c r="K1636" s="1" t="str">
        <f>"2017-03-30 09:57:16"</f>
        <v>2017-03-30 09:57:16</v>
      </c>
      <c r="L1636" s="1" t="str">
        <f>"2017-03-30 09:57:25"</f>
        <v>2017-03-30 09:57:25</v>
      </c>
      <c r="M1636" s="2">
        <v>1.4155092592592592E-2</v>
      </c>
      <c r="N1636" s="1" t="s">
        <v>26</v>
      </c>
      <c r="O1636" s="1" t="s">
        <v>34</v>
      </c>
      <c r="P1636" s="2">
        <v>1.4259259259259261E-2</v>
      </c>
      <c r="Q1636" s="1" t="s">
        <v>1218</v>
      </c>
      <c r="R1636" s="1">
        <v>0</v>
      </c>
      <c r="S1636" s="1" t="str">
        <f>""</f>
        <v/>
      </c>
      <c r="T1636" s="1" t="s">
        <v>29</v>
      </c>
      <c r="U1636" s="1" t="s">
        <v>30</v>
      </c>
      <c r="V1636" s="1">
        <v>0</v>
      </c>
    </row>
    <row r="1637" spans="2:22" x14ac:dyDescent="0.15">
      <c r="B1637" s="1" t="str">
        <f>"010****8023"</f>
        <v>010****8023</v>
      </c>
      <c r="C1637" s="1" t="s">
        <v>23</v>
      </c>
      <c r="D1637" s="1" t="str">
        <f t="shared" si="165"/>
        <v>89177328</v>
      </c>
      <c r="E1637" s="1" t="s">
        <v>24</v>
      </c>
      <c r="F1637" s="1" t="str">
        <f t="shared" si="166"/>
        <v>0010</v>
      </c>
      <c r="G1637" s="1" t="str">
        <f>""</f>
        <v/>
      </c>
      <c r="H1637" s="1" t="str">
        <f>"0031"</f>
        <v>0031</v>
      </c>
      <c r="I1637" s="1" t="s">
        <v>95</v>
      </c>
      <c r="J1637" s="1" t="str">
        <f>"01043977565"</f>
        <v>01043977565</v>
      </c>
      <c r="K1637" s="1" t="str">
        <f>"2017-03-30 09:54:56"</f>
        <v>2017-03-30 09:54:56</v>
      </c>
      <c r="L1637" s="1" t="str">
        <f>"2017-03-30 09:55:03"</f>
        <v>2017-03-30 09:55:03</v>
      </c>
      <c r="M1637" s="2">
        <v>7.2337962962962963E-3</v>
      </c>
      <c r="N1637" s="1" t="s">
        <v>26</v>
      </c>
      <c r="O1637" s="1" t="s">
        <v>27</v>
      </c>
      <c r="P1637" s="2">
        <v>7.3148148148148148E-3</v>
      </c>
      <c r="Q1637" s="1" t="s">
        <v>1219</v>
      </c>
      <c r="R1637" s="1">
        <v>0</v>
      </c>
      <c r="S1637" s="1" t="str">
        <f>""</f>
        <v/>
      </c>
      <c r="T1637" s="1" t="s">
        <v>29</v>
      </c>
      <c r="U1637" s="1" t="s">
        <v>30</v>
      </c>
      <c r="V1637" s="1">
        <v>0</v>
      </c>
    </row>
    <row r="1638" spans="2:22" x14ac:dyDescent="0.15">
      <c r="B1638" s="1" t="str">
        <f>"138****5082"</f>
        <v>138****5082</v>
      </c>
      <c r="C1638" s="1" t="s">
        <v>645</v>
      </c>
      <c r="D1638" s="1" t="str">
        <f t="shared" si="165"/>
        <v>89177328</v>
      </c>
      <c r="E1638" s="1" t="s">
        <v>24</v>
      </c>
      <c r="F1638" s="1" t="str">
        <f t="shared" si="166"/>
        <v>0010</v>
      </c>
      <c r="G1638" s="1" t="str">
        <f>""</f>
        <v/>
      </c>
      <c r="H1638" s="1" t="str">
        <f>"0033"</f>
        <v>0033</v>
      </c>
      <c r="I1638" s="1" t="s">
        <v>106</v>
      </c>
      <c r="J1638" s="1" t="str">
        <f>"01043977567"</f>
        <v>01043977567</v>
      </c>
      <c r="K1638" s="1" t="str">
        <f>"2017-03-30 09:54:41"</f>
        <v>2017-03-30 09:54:41</v>
      </c>
      <c r="L1638" s="1" t="str">
        <f>"2017-03-30 09:54:49"</f>
        <v>2017-03-30 09:54:49</v>
      </c>
      <c r="M1638" s="2">
        <v>1.4560185185185183E-2</v>
      </c>
      <c r="N1638" s="1" t="s">
        <v>26</v>
      </c>
      <c r="O1638" s="1" t="s">
        <v>27</v>
      </c>
      <c r="P1638" s="2">
        <v>1.4652777777777778E-2</v>
      </c>
      <c r="Q1638" s="1" t="s">
        <v>1220</v>
      </c>
      <c r="R1638" s="1">
        <v>0</v>
      </c>
      <c r="S1638" s="1" t="str">
        <f>""</f>
        <v/>
      </c>
      <c r="T1638" s="1" t="s">
        <v>29</v>
      </c>
      <c r="U1638" s="1" t="s">
        <v>30</v>
      </c>
      <c r="V1638" s="1">
        <v>0</v>
      </c>
    </row>
    <row r="1639" spans="2:22" x14ac:dyDescent="0.15">
      <c r="B1639" s="1" t="str">
        <f>"130****5656"</f>
        <v>130****5656</v>
      </c>
      <c r="C1639" s="1" t="s">
        <v>112</v>
      </c>
      <c r="D1639" s="1" t="str">
        <f t="shared" si="165"/>
        <v>89177328</v>
      </c>
      <c r="E1639" s="1" t="s">
        <v>24</v>
      </c>
      <c r="F1639" s="1" t="str">
        <f t="shared" si="166"/>
        <v>0010</v>
      </c>
      <c r="G1639" s="1" t="str">
        <f>""</f>
        <v/>
      </c>
      <c r="H1639" s="1" t="str">
        <f>"0031"</f>
        <v>0031</v>
      </c>
      <c r="I1639" s="1" t="s">
        <v>95</v>
      </c>
      <c r="J1639" s="1" t="str">
        <f>"01043977565"</f>
        <v>01043977565</v>
      </c>
      <c r="K1639" s="1" t="str">
        <f>"2017-03-30 09:53:22"</f>
        <v>2017-03-30 09:53:22</v>
      </c>
      <c r="L1639" s="1" t="str">
        <f>"2017-03-30 09:53:28"</f>
        <v>2017-03-30 09:53:28</v>
      </c>
      <c r="M1639" s="2">
        <v>1.1574074074074073E-5</v>
      </c>
      <c r="N1639" s="1" t="s">
        <v>26</v>
      </c>
      <c r="O1639" s="1" t="s">
        <v>34</v>
      </c>
      <c r="P1639" s="2">
        <v>8.1018518518518516E-5</v>
      </c>
      <c r="Q1639" s="1" t="str">
        <f>""</f>
        <v/>
      </c>
      <c r="R1639" s="1">
        <v>0</v>
      </c>
      <c r="S1639" s="1" t="str">
        <f>""</f>
        <v/>
      </c>
      <c r="T1639" s="1" t="s">
        <v>29</v>
      </c>
      <c r="U1639" s="1" t="s">
        <v>30</v>
      </c>
      <c r="V1639" s="1">
        <v>0</v>
      </c>
    </row>
    <row r="1640" spans="2:22" x14ac:dyDescent="0.15">
      <c r="B1640" s="1" t="str">
        <f>"158****2282"</f>
        <v>158****2282</v>
      </c>
      <c r="C1640" s="1" t="s">
        <v>170</v>
      </c>
      <c r="D1640" s="1" t="str">
        <f t="shared" si="165"/>
        <v>89177328</v>
      </c>
      <c r="E1640" s="1" t="s">
        <v>24</v>
      </c>
      <c r="F1640" s="1" t="str">
        <f t="shared" si="166"/>
        <v>0010</v>
      </c>
      <c r="G1640" s="1" t="str">
        <f>""</f>
        <v/>
      </c>
      <c r="H1640" s="1" t="str">
        <f>"0033"</f>
        <v>0033</v>
      </c>
      <c r="I1640" s="1" t="s">
        <v>106</v>
      </c>
      <c r="J1640" s="1" t="str">
        <f>"01043977567"</f>
        <v>01043977567</v>
      </c>
      <c r="K1640" s="1" t="str">
        <f>"2017-03-30 09:52:27"</f>
        <v>2017-03-30 09:52:27</v>
      </c>
      <c r="L1640" s="1" t="str">
        <f>"2017-03-30 09:52:36"</f>
        <v>2017-03-30 09:52:36</v>
      </c>
      <c r="M1640" s="2">
        <v>5.4398148148148144E-4</v>
      </c>
      <c r="N1640" s="1" t="s">
        <v>26</v>
      </c>
      <c r="O1640" s="1" t="s">
        <v>27</v>
      </c>
      <c r="P1640" s="2">
        <v>6.4814814814814813E-4</v>
      </c>
      <c r="Q1640" s="1" t="s">
        <v>1221</v>
      </c>
      <c r="R1640" s="1">
        <v>0</v>
      </c>
      <c r="S1640" s="1" t="str">
        <f>""</f>
        <v/>
      </c>
      <c r="T1640" s="1" t="s">
        <v>29</v>
      </c>
      <c r="U1640" s="1" t="s">
        <v>30</v>
      </c>
      <c r="V1640" s="1">
        <v>0</v>
      </c>
    </row>
    <row r="1641" spans="2:22" x14ac:dyDescent="0.15">
      <c r="B1641" s="1" t="str">
        <f>"139****7193"</f>
        <v>139****7193</v>
      </c>
      <c r="C1641" s="1" t="s">
        <v>23</v>
      </c>
      <c r="D1641" s="1" t="str">
        <f t="shared" si="165"/>
        <v>89177328</v>
      </c>
      <c r="E1641" s="1" t="s">
        <v>24</v>
      </c>
      <c r="F1641" s="1" t="str">
        <f t="shared" si="166"/>
        <v>0010</v>
      </c>
      <c r="G1641" s="1" t="str">
        <f>""</f>
        <v/>
      </c>
      <c r="H1641" s="1" t="str">
        <f>"0034"</f>
        <v>0034</v>
      </c>
      <c r="I1641" s="1" t="s">
        <v>31</v>
      </c>
      <c r="J1641" s="1" t="str">
        <f>"01043977568"</f>
        <v>01043977568</v>
      </c>
      <c r="K1641" s="1" t="str">
        <f>"2017-03-30 09:47:53"</f>
        <v>2017-03-30 09:47:53</v>
      </c>
      <c r="L1641" s="1" t="str">
        <f>"2017-03-30 09:48:02"</f>
        <v>2017-03-30 09:48:02</v>
      </c>
      <c r="M1641" s="2">
        <v>4.7800925925925919E-3</v>
      </c>
      <c r="N1641" s="1" t="s">
        <v>26</v>
      </c>
      <c r="O1641" s="1" t="s">
        <v>34</v>
      </c>
      <c r="P1641" s="2">
        <v>4.8842592592592592E-3</v>
      </c>
      <c r="Q1641" s="1" t="s">
        <v>1222</v>
      </c>
      <c r="R1641" s="1">
        <v>0</v>
      </c>
      <c r="S1641" s="1" t="str">
        <f>""</f>
        <v/>
      </c>
      <c r="T1641" s="1" t="s">
        <v>29</v>
      </c>
      <c r="U1641" s="1" t="s">
        <v>30</v>
      </c>
      <c r="V1641" s="1">
        <v>0</v>
      </c>
    </row>
    <row r="1642" spans="2:22" x14ac:dyDescent="0.15">
      <c r="B1642" s="1" t="str">
        <f>"186****1319"</f>
        <v>186****1319</v>
      </c>
      <c r="C1642" s="1" t="s">
        <v>23</v>
      </c>
      <c r="D1642" s="1" t="str">
        <f t="shared" si="165"/>
        <v>89177328</v>
      </c>
      <c r="E1642" s="1" t="s">
        <v>24</v>
      </c>
      <c r="F1642" s="1" t="str">
        <f t="shared" si="166"/>
        <v>0010</v>
      </c>
      <c r="G1642" s="1" t="str">
        <f>""</f>
        <v/>
      </c>
      <c r="H1642" s="1" t="str">
        <f>"0033"</f>
        <v>0033</v>
      </c>
      <c r="I1642" s="1" t="s">
        <v>106</v>
      </c>
      <c r="J1642" s="1" t="str">
        <f>"01043977567"</f>
        <v>01043977567</v>
      </c>
      <c r="K1642" s="1" t="str">
        <f>"2017-03-30 09:46:50"</f>
        <v>2017-03-30 09:46:50</v>
      </c>
      <c r="L1642" s="1" t="str">
        <f>"2017-03-30 09:46:59"</f>
        <v>2017-03-30 09:46:59</v>
      </c>
      <c r="M1642" s="2">
        <v>1.0763888888888889E-3</v>
      </c>
      <c r="N1642" s="1" t="s">
        <v>26</v>
      </c>
      <c r="O1642" s="1" t="s">
        <v>27</v>
      </c>
      <c r="P1642" s="2">
        <v>1.1805555555555556E-3</v>
      </c>
      <c r="Q1642" s="1" t="s">
        <v>1223</v>
      </c>
      <c r="R1642" s="1">
        <v>0</v>
      </c>
      <c r="S1642" s="1" t="str">
        <f>""</f>
        <v/>
      </c>
      <c r="T1642" s="1" t="s">
        <v>29</v>
      </c>
      <c r="U1642" s="1" t="s">
        <v>30</v>
      </c>
      <c r="V1642" s="1">
        <v>0</v>
      </c>
    </row>
    <row r="1643" spans="2:22" x14ac:dyDescent="0.15">
      <c r="B1643" s="1" t="str">
        <f>"116114"</f>
        <v>116114</v>
      </c>
      <c r="C1643" s="1" t="s">
        <v>159</v>
      </c>
      <c r="D1643" s="1" t="str">
        <f t="shared" si="165"/>
        <v>89177328</v>
      </c>
      <c r="E1643" s="1" t="s">
        <v>24</v>
      </c>
      <c r="F1643" s="1" t="str">
        <f t="shared" si="166"/>
        <v>0010</v>
      </c>
      <c r="G1643" s="1" t="str">
        <f>""</f>
        <v/>
      </c>
      <c r="H1643" s="1" t="str">
        <f>"0035"</f>
        <v>0035</v>
      </c>
      <c r="I1643" s="1" t="s">
        <v>25</v>
      </c>
      <c r="J1643" s="1" t="str">
        <f>"01043977569"</f>
        <v>01043977569</v>
      </c>
      <c r="K1643" s="1" t="str">
        <f>"2017-03-30 09:31:04"</f>
        <v>2017-03-30 09:31:04</v>
      </c>
      <c r="L1643" s="1" t="str">
        <f>"2017-03-30 09:31:15"</f>
        <v>2017-03-30 09:31:15</v>
      </c>
      <c r="M1643" s="2">
        <v>1.8287037037037037E-3</v>
      </c>
      <c r="N1643" s="1" t="s">
        <v>26</v>
      </c>
      <c r="O1643" s="1" t="s">
        <v>27</v>
      </c>
      <c r="P1643" s="2">
        <v>1.9560185185185184E-3</v>
      </c>
      <c r="Q1643" s="1" t="s">
        <v>1224</v>
      </c>
      <c r="R1643" s="1">
        <v>0</v>
      </c>
      <c r="S1643" s="1" t="str">
        <f>""</f>
        <v/>
      </c>
      <c r="T1643" s="1" t="s">
        <v>29</v>
      </c>
      <c r="U1643" s="1" t="s">
        <v>30</v>
      </c>
      <c r="V1643" s="1">
        <v>0</v>
      </c>
    </row>
    <row r="1644" spans="2:22" x14ac:dyDescent="0.15">
      <c r="B1644" s="1" t="str">
        <f>"132****1000"</f>
        <v>132****1000</v>
      </c>
      <c r="C1644" s="1" t="s">
        <v>188</v>
      </c>
      <c r="D1644" s="1" t="str">
        <f t="shared" si="165"/>
        <v>89177328</v>
      </c>
      <c r="E1644" s="1" t="s">
        <v>24</v>
      </c>
      <c r="F1644" s="1" t="str">
        <f t="shared" si="166"/>
        <v>0010</v>
      </c>
      <c r="G1644" s="1" t="str">
        <f>""</f>
        <v/>
      </c>
      <c r="H1644" s="1" t="str">
        <f>"0031"</f>
        <v>0031</v>
      </c>
      <c r="I1644" s="1" t="s">
        <v>95</v>
      </c>
      <c r="J1644" s="1" t="str">
        <f>"01043977565"</f>
        <v>01043977565</v>
      </c>
      <c r="K1644" s="1" t="str">
        <f>"2017-03-30 09:23:03"</f>
        <v>2017-03-30 09:23:03</v>
      </c>
      <c r="L1644" s="1" t="str">
        <f>"2017-03-30 09:23:09"</f>
        <v>2017-03-30 09:23:09</v>
      </c>
      <c r="M1644" s="2">
        <v>9.0162037037037034E-3</v>
      </c>
      <c r="N1644" s="1" t="s">
        <v>26</v>
      </c>
      <c r="O1644" s="1" t="s">
        <v>27</v>
      </c>
      <c r="P1644" s="2">
        <v>9.0856481481481483E-3</v>
      </c>
      <c r="Q1644" s="1" t="s">
        <v>1225</v>
      </c>
      <c r="R1644" s="1">
        <v>0</v>
      </c>
      <c r="S1644" s="1" t="str">
        <f>""</f>
        <v/>
      </c>
      <c r="T1644" s="1" t="s">
        <v>29</v>
      </c>
      <c r="U1644" s="1" t="s">
        <v>30</v>
      </c>
      <c r="V1644" s="1">
        <v>0</v>
      </c>
    </row>
    <row r="1645" spans="2:22" x14ac:dyDescent="0.15">
      <c r="B1645" s="1" t="str">
        <f>"010****4092"</f>
        <v>010****4092</v>
      </c>
      <c r="C1645" s="1" t="s">
        <v>23</v>
      </c>
      <c r="D1645" s="1" t="str">
        <f t="shared" si="165"/>
        <v>89177328</v>
      </c>
      <c r="E1645" s="1" t="s">
        <v>24</v>
      </c>
      <c r="F1645" s="1" t="str">
        <f t="shared" si="166"/>
        <v>0010</v>
      </c>
      <c r="G1645" s="1" t="str">
        <f>""</f>
        <v/>
      </c>
      <c r="H1645" s="1" t="str">
        <f>"0010"</f>
        <v>0010</v>
      </c>
      <c r="I1645" s="1" t="s">
        <v>71</v>
      </c>
      <c r="J1645" s="1" t="str">
        <f>"01043989719"</f>
        <v>01043989719</v>
      </c>
      <c r="K1645" s="1" t="str">
        <f>"2017-03-30 08:54:11"</f>
        <v>2017-03-30 08:54:11</v>
      </c>
      <c r="L1645" s="1" t="str">
        <f>"2017-03-30 08:54:19"</f>
        <v>2017-03-30 08:54:19</v>
      </c>
      <c r="M1645" s="2">
        <v>8.7847222222222233E-3</v>
      </c>
      <c r="N1645" s="1" t="s">
        <v>26</v>
      </c>
      <c r="O1645" s="1" t="s">
        <v>27</v>
      </c>
      <c r="P1645" s="2">
        <v>8.8773148148148153E-3</v>
      </c>
      <c r="Q1645" s="1" t="s">
        <v>1226</v>
      </c>
      <c r="R1645" s="1">
        <v>0</v>
      </c>
      <c r="S1645" s="1" t="str">
        <f>""</f>
        <v/>
      </c>
      <c r="T1645" s="1" t="s">
        <v>29</v>
      </c>
      <c r="U1645" s="1" t="s">
        <v>30</v>
      </c>
      <c r="V1645" s="1">
        <v>0</v>
      </c>
    </row>
    <row r="1646" spans="2:22" x14ac:dyDescent="0.15">
      <c r="B1646" s="1" t="str">
        <f>"139****0623"</f>
        <v>139****0623</v>
      </c>
      <c r="C1646" s="1" t="s">
        <v>23</v>
      </c>
      <c r="D1646" s="1" t="str">
        <f t="shared" si="165"/>
        <v>89177328</v>
      </c>
      <c r="E1646" s="1" t="s">
        <v>24</v>
      </c>
      <c r="F1646" s="1" t="str">
        <f t="shared" si="166"/>
        <v>0010</v>
      </c>
      <c r="G1646" s="1" t="str">
        <f>""</f>
        <v/>
      </c>
      <c r="H1646" s="1" t="str">
        <f>"0031"</f>
        <v>0031</v>
      </c>
      <c r="I1646" s="1" t="s">
        <v>95</v>
      </c>
      <c r="J1646" s="1" t="str">
        <f>"01043977565"</f>
        <v>01043977565</v>
      </c>
      <c r="K1646" s="1" t="str">
        <f>"2017-03-30 08:50:44"</f>
        <v>2017-03-30 08:50:44</v>
      </c>
      <c r="L1646" s="1" t="str">
        <f>"2017-03-30 08:50:51"</f>
        <v>2017-03-30 08:50:51</v>
      </c>
      <c r="M1646" s="2">
        <v>3.5416666666666665E-3</v>
      </c>
      <c r="N1646" s="1" t="s">
        <v>26</v>
      </c>
      <c r="O1646" s="1" t="s">
        <v>27</v>
      </c>
      <c r="P1646" s="2">
        <v>3.6226851851851854E-3</v>
      </c>
      <c r="Q1646" s="1" t="s">
        <v>1227</v>
      </c>
      <c r="R1646" s="1">
        <v>0</v>
      </c>
      <c r="S1646" s="1" t="str">
        <f>""</f>
        <v/>
      </c>
      <c r="T1646" s="1" t="s">
        <v>29</v>
      </c>
      <c r="U1646" s="1" t="s">
        <v>30</v>
      </c>
      <c r="V1646" s="1">
        <v>0</v>
      </c>
    </row>
    <row r="1647" spans="2:22" x14ac:dyDescent="0.15">
      <c r="B1647" s="1" t="str">
        <f>"137****8615"</f>
        <v>137****8615</v>
      </c>
      <c r="C1647" s="1" t="s">
        <v>132</v>
      </c>
      <c r="D1647" s="1" t="str">
        <f t="shared" si="165"/>
        <v>89177328</v>
      </c>
      <c r="E1647" s="1" t="s">
        <v>24</v>
      </c>
      <c r="F1647" s="1" t="str">
        <f t="shared" si="166"/>
        <v>0010</v>
      </c>
      <c r="G1647" s="1" t="str">
        <f>""</f>
        <v/>
      </c>
      <c r="H1647" s="1" t="str">
        <f>"0018"</f>
        <v>0018</v>
      </c>
      <c r="I1647" s="1" t="s">
        <v>36</v>
      </c>
      <c r="J1647" s="1" t="str">
        <f>"01043989718"</f>
        <v>01043989718</v>
      </c>
      <c r="K1647" s="1" t="str">
        <f>"2017-03-30 08:47:23"</f>
        <v>2017-03-30 08:47:23</v>
      </c>
      <c r="L1647" s="1" t="str">
        <f>"2017-03-30 08:47:32"</f>
        <v>2017-03-30 08:47:32</v>
      </c>
      <c r="M1647" s="2">
        <v>3.4375E-3</v>
      </c>
      <c r="N1647" s="1" t="s">
        <v>26</v>
      </c>
      <c r="O1647" s="1" t="s">
        <v>34</v>
      </c>
      <c r="P1647" s="2">
        <v>3.5416666666666665E-3</v>
      </c>
      <c r="Q1647" s="1" t="s">
        <v>1228</v>
      </c>
      <c r="R1647" s="1">
        <v>0</v>
      </c>
      <c r="S1647" s="1" t="str">
        <f>""</f>
        <v/>
      </c>
      <c r="T1647" s="1" t="s">
        <v>29</v>
      </c>
      <c r="U1647" s="1" t="s">
        <v>30</v>
      </c>
      <c r="V1647" s="1">
        <v>0</v>
      </c>
    </row>
    <row r="1648" spans="2:22" x14ac:dyDescent="0.15">
      <c r="B1648" s="1" t="str">
        <f>"150****5606"</f>
        <v>150****5606</v>
      </c>
      <c r="C1648" s="1" t="s">
        <v>1090</v>
      </c>
      <c r="D1648" s="1" t="str">
        <f t="shared" si="165"/>
        <v>89177328</v>
      </c>
      <c r="E1648" s="1" t="s">
        <v>24</v>
      </c>
      <c r="F1648" s="1" t="str">
        <f t="shared" si="166"/>
        <v>0010</v>
      </c>
      <c r="G1648" s="1" t="str">
        <f>""</f>
        <v/>
      </c>
      <c r="H1648" s="1" t="str">
        <f>"0010"</f>
        <v>0010</v>
      </c>
      <c r="I1648" s="1" t="s">
        <v>71</v>
      </c>
      <c r="J1648" s="1" t="str">
        <f>"01043989719"</f>
        <v>01043989719</v>
      </c>
      <c r="K1648" s="1" t="str">
        <f>"2017-03-30 08:46:55"</f>
        <v>2017-03-30 08:46:55</v>
      </c>
      <c r="L1648" s="1" t="str">
        <f>"2017-03-30 08:47:06"</f>
        <v>2017-03-30 08:47:06</v>
      </c>
      <c r="M1648" s="2">
        <v>2.4537037037037036E-3</v>
      </c>
      <c r="N1648" s="1" t="s">
        <v>26</v>
      </c>
      <c r="O1648" s="1" t="s">
        <v>34</v>
      </c>
      <c r="P1648" s="2">
        <v>2.5810185185185185E-3</v>
      </c>
      <c r="Q1648" s="1" t="s">
        <v>1229</v>
      </c>
      <c r="R1648" s="1">
        <v>0</v>
      </c>
      <c r="S1648" s="1" t="str">
        <f>""</f>
        <v/>
      </c>
      <c r="T1648" s="1" t="s">
        <v>29</v>
      </c>
      <c r="U1648" s="1" t="s">
        <v>30</v>
      </c>
      <c r="V1648" s="1">
        <v>0</v>
      </c>
    </row>
    <row r="1649" spans="2:22" x14ac:dyDescent="0.15">
      <c r="B1649" s="1" t="str">
        <f>"137****8306"</f>
        <v>137****8306</v>
      </c>
      <c r="C1649" s="1" t="s">
        <v>188</v>
      </c>
      <c r="D1649" s="1" t="str">
        <f t="shared" si="165"/>
        <v>89177328</v>
      </c>
      <c r="E1649" s="1" t="s">
        <v>24</v>
      </c>
      <c r="F1649" s="1" t="str">
        <f t="shared" si="166"/>
        <v>0010</v>
      </c>
      <c r="G1649" s="1" t="str">
        <f>""</f>
        <v/>
      </c>
      <c r="H1649" s="1" t="str">
        <f>"0012"</f>
        <v>0012</v>
      </c>
      <c r="I1649" s="1" t="s">
        <v>612</v>
      </c>
      <c r="J1649" s="1" t="str">
        <f>"01043989720"</f>
        <v>01043989720</v>
      </c>
      <c r="K1649" s="1" t="str">
        <f>"2017-03-30 08:41:01"</f>
        <v>2017-03-30 08:41:01</v>
      </c>
      <c r="L1649" s="1" t="str">
        <f>"2017-03-30 08:41:11"</f>
        <v>2017-03-30 08:41:11</v>
      </c>
      <c r="M1649" s="2">
        <v>1.9710648148148147E-2</v>
      </c>
      <c r="N1649" s="1" t="s">
        <v>26</v>
      </c>
      <c r="O1649" s="1" t="s">
        <v>27</v>
      </c>
      <c r="P1649" s="2">
        <v>1.982638888888889E-2</v>
      </c>
      <c r="Q1649" s="1" t="s">
        <v>1230</v>
      </c>
      <c r="R1649" s="1">
        <v>0</v>
      </c>
      <c r="S1649" s="1" t="str">
        <f>""</f>
        <v/>
      </c>
      <c r="T1649" s="1" t="s">
        <v>29</v>
      </c>
      <c r="U1649" s="1" t="s">
        <v>30</v>
      </c>
      <c r="V1649" s="1">
        <v>0</v>
      </c>
    </row>
    <row r="1650" spans="2:22" x14ac:dyDescent="0.15">
      <c r="B1650" s="1" t="str">
        <f>"188****2019"</f>
        <v>188****2019</v>
      </c>
      <c r="C1650" s="1" t="s">
        <v>23</v>
      </c>
      <c r="D1650" s="1" t="str">
        <f t="shared" si="165"/>
        <v>89177328</v>
      </c>
      <c r="E1650" s="1" t="s">
        <v>24</v>
      </c>
      <c r="F1650" s="1" t="str">
        <f t="shared" si="166"/>
        <v>0010</v>
      </c>
      <c r="G1650" s="1" t="str">
        <f>""</f>
        <v/>
      </c>
      <c r="H1650" s="1" t="str">
        <f>"0018"</f>
        <v>0018</v>
      </c>
      <c r="I1650" s="1" t="s">
        <v>36</v>
      </c>
      <c r="J1650" s="1" t="str">
        <f>"01043989718"</f>
        <v>01043989718</v>
      </c>
      <c r="K1650" s="1" t="str">
        <f>"2017-03-30 08:33:20"</f>
        <v>2017-03-30 08:33:20</v>
      </c>
      <c r="L1650" s="1" t="str">
        <f>"2017-03-30 08:33:28"</f>
        <v>2017-03-30 08:33:28</v>
      </c>
      <c r="M1650" s="2">
        <v>9.8379629629629642E-4</v>
      </c>
      <c r="N1650" s="1" t="s">
        <v>26</v>
      </c>
      <c r="O1650" s="1" t="s">
        <v>34</v>
      </c>
      <c r="P1650" s="2">
        <v>1.0763888888888889E-3</v>
      </c>
      <c r="Q1650" s="1" t="s">
        <v>1231</v>
      </c>
      <c r="R1650" s="1">
        <v>0</v>
      </c>
      <c r="S1650" s="1" t="str">
        <f>""</f>
        <v/>
      </c>
      <c r="T1650" s="1" t="s">
        <v>29</v>
      </c>
      <c r="U1650" s="1" t="s">
        <v>30</v>
      </c>
      <c r="V1650" s="1">
        <v>0</v>
      </c>
    </row>
    <row r="1651" spans="2:22" x14ac:dyDescent="0.15">
      <c r="B1651" s="1" t="str">
        <f>"188****2019"</f>
        <v>188****2019</v>
      </c>
      <c r="C1651" s="1" t="s">
        <v>23</v>
      </c>
      <c r="D1651" s="1" t="str">
        <f t="shared" si="165"/>
        <v>89177328</v>
      </c>
      <c r="E1651" s="1" t="s">
        <v>24</v>
      </c>
      <c r="F1651" s="1" t="str">
        <f t="shared" si="166"/>
        <v>0010</v>
      </c>
      <c r="G1651" s="1" t="str">
        <f>""</f>
        <v/>
      </c>
      <c r="H1651" s="1" t="str">
        <f>"0031"</f>
        <v>0031</v>
      </c>
      <c r="I1651" s="1" t="s">
        <v>95</v>
      </c>
      <c r="J1651" s="1" t="str">
        <f>"01043977565"</f>
        <v>01043977565</v>
      </c>
      <c r="K1651" s="1" t="str">
        <f>"2017-03-30 08:22:41"</f>
        <v>2017-03-30 08:22:41</v>
      </c>
      <c r="L1651" s="1" t="str">
        <f>"2017-03-30 08:22:50"</f>
        <v>2017-03-30 08:22:50</v>
      </c>
      <c r="M1651" s="2">
        <v>1.8981481481481482E-3</v>
      </c>
      <c r="N1651" s="1" t="s">
        <v>26</v>
      </c>
      <c r="O1651" s="1" t="s">
        <v>27</v>
      </c>
      <c r="P1651" s="2">
        <v>2.0023148148148148E-3</v>
      </c>
      <c r="Q1651" s="1" t="s">
        <v>1232</v>
      </c>
      <c r="R1651" s="1">
        <v>0</v>
      </c>
      <c r="S1651" s="1" t="str">
        <f>""</f>
        <v/>
      </c>
      <c r="T1651" s="1" t="s">
        <v>29</v>
      </c>
      <c r="U1651" s="1" t="s">
        <v>30</v>
      </c>
      <c r="V1651" s="1">
        <v>0</v>
      </c>
    </row>
    <row r="1652" spans="2:22" x14ac:dyDescent="0.15">
      <c r="B1652" s="1" t="str">
        <f>"136****7609"</f>
        <v>136****7609</v>
      </c>
      <c r="C1652" s="1" t="s">
        <v>23</v>
      </c>
      <c r="D1652" s="1" t="str">
        <f t="shared" si="165"/>
        <v>89177328</v>
      </c>
      <c r="E1652" s="1" t="s">
        <v>24</v>
      </c>
      <c r="F1652" s="1" t="str">
        <f t="shared" si="166"/>
        <v>0010</v>
      </c>
      <c r="G1652" s="1" t="str">
        <f>""</f>
        <v/>
      </c>
      <c r="H1652" s="1" t="str">
        <f>"0017"</f>
        <v>0017</v>
      </c>
      <c r="I1652" s="1" t="s">
        <v>135</v>
      </c>
      <c r="J1652" s="1" t="str">
        <f>"01043989717"</f>
        <v>01043989717</v>
      </c>
      <c r="K1652" s="1" t="str">
        <f>"2017-03-30 08:01:31"</f>
        <v>2017-03-30 08:01:31</v>
      </c>
      <c r="L1652" s="1" t="str">
        <f>"2017-03-30 08:01:41"</f>
        <v>2017-03-30 08:01:41</v>
      </c>
      <c r="M1652" s="2">
        <v>5.4861111111111117E-3</v>
      </c>
      <c r="N1652" s="1" t="s">
        <v>26</v>
      </c>
      <c r="O1652" s="1" t="s">
        <v>27</v>
      </c>
      <c r="P1652" s="2">
        <v>5.6018518518518518E-3</v>
      </c>
      <c r="Q1652" s="1" t="s">
        <v>1233</v>
      </c>
      <c r="R1652" s="1">
        <v>0</v>
      </c>
      <c r="S1652" s="1" t="str">
        <f>""</f>
        <v/>
      </c>
      <c r="T1652" s="1" t="s">
        <v>29</v>
      </c>
      <c r="U1652" s="1" t="s">
        <v>30</v>
      </c>
      <c r="V1652" s="1">
        <v>0</v>
      </c>
    </row>
    <row r="1653" spans="2:22" x14ac:dyDescent="0.15">
      <c r="B1653" s="1" t="str">
        <f>"131****8846"</f>
        <v>131****8846</v>
      </c>
      <c r="C1653" s="1" t="s">
        <v>23</v>
      </c>
      <c r="D1653" s="1" t="str">
        <f t="shared" si="165"/>
        <v>89177328</v>
      </c>
      <c r="E1653" s="1" t="s">
        <v>24</v>
      </c>
      <c r="F1653" s="1" t="str">
        <f t="shared" si="166"/>
        <v>0010</v>
      </c>
      <c r="G1653" s="1" t="str">
        <f>""</f>
        <v/>
      </c>
      <c r="H1653" s="1" t="str">
        <f>"0033"</f>
        <v>0033</v>
      </c>
      <c r="I1653" s="1" t="s">
        <v>106</v>
      </c>
      <c r="J1653" s="1" t="str">
        <f>"01043977567"</f>
        <v>01043977567</v>
      </c>
      <c r="K1653" s="1" t="str">
        <f>"2017-03-29 20:30:25"</f>
        <v>2017-03-29 20:30:25</v>
      </c>
      <c r="L1653" s="1" t="str">
        <f>"2017-03-29 20:30:33"</f>
        <v>2017-03-29 20:30:33</v>
      </c>
      <c r="M1653" s="2">
        <v>1.3587962962962963E-2</v>
      </c>
      <c r="N1653" s="1" t="s">
        <v>26</v>
      </c>
      <c r="O1653" s="1" t="s">
        <v>27</v>
      </c>
      <c r="P1653" s="2">
        <v>1.3680555555555555E-2</v>
      </c>
      <c r="Q1653" s="1" t="s">
        <v>1234</v>
      </c>
      <c r="R1653" s="1">
        <v>0</v>
      </c>
      <c r="S1653" s="1" t="str">
        <f>""</f>
        <v/>
      </c>
      <c r="T1653" s="1" t="s">
        <v>29</v>
      </c>
      <c r="U1653" s="1" t="s">
        <v>30</v>
      </c>
      <c r="V1653" s="1">
        <v>0</v>
      </c>
    </row>
    <row r="1654" spans="2:22" x14ac:dyDescent="0.15">
      <c r="B1654" s="1" t="str">
        <f>"186****9208"</f>
        <v>186****9208</v>
      </c>
      <c r="C1654" s="1" t="s">
        <v>23</v>
      </c>
      <c r="D1654" s="1" t="str">
        <f t="shared" si="165"/>
        <v>89177328</v>
      </c>
      <c r="E1654" s="1" t="s">
        <v>24</v>
      </c>
      <c r="F1654" s="1" t="str">
        <f t="shared" si="166"/>
        <v>0010</v>
      </c>
      <c r="G1654" s="1" t="str">
        <f>""</f>
        <v/>
      </c>
      <c r="H1654" s="1" t="str">
        <f>""</f>
        <v/>
      </c>
      <c r="I1654" s="1" t="str">
        <f>""</f>
        <v/>
      </c>
      <c r="J1654" s="1" t="str">
        <f>""</f>
        <v/>
      </c>
      <c r="K1654" s="1" t="str">
        <f>"2017-03-29 20:18:38"</f>
        <v>2017-03-29 20:18:38</v>
      </c>
      <c r="L1654" s="1" t="str">
        <f>"-"</f>
        <v>-</v>
      </c>
      <c r="M1654" s="2">
        <v>0</v>
      </c>
      <c r="N1654" s="1" t="s">
        <v>55</v>
      </c>
      <c r="O1654" s="1" t="s">
        <v>34</v>
      </c>
      <c r="P1654" s="2">
        <v>2.3148148148148147E-5</v>
      </c>
      <c r="Q1654" s="1" t="str">
        <f>""</f>
        <v/>
      </c>
      <c r="R1654" s="1">
        <v>0</v>
      </c>
      <c r="S1654" s="1" t="str">
        <f>""</f>
        <v/>
      </c>
      <c r="T1654" s="1" t="s">
        <v>29</v>
      </c>
      <c r="U1654" s="1" t="s">
        <v>30</v>
      </c>
      <c r="V1654" s="1">
        <v>0</v>
      </c>
    </row>
    <row r="1655" spans="2:22" x14ac:dyDescent="0.15">
      <c r="B1655" s="1" t="str">
        <f>"183****7761"</f>
        <v>183****7761</v>
      </c>
      <c r="C1655" s="1" t="s">
        <v>23</v>
      </c>
      <c r="D1655" s="1" t="str">
        <f t="shared" si="165"/>
        <v>89177328</v>
      </c>
      <c r="E1655" s="1" t="s">
        <v>24</v>
      </c>
      <c r="F1655" s="1" t="str">
        <f t="shared" si="166"/>
        <v>0010</v>
      </c>
      <c r="G1655" s="1" t="str">
        <f>""</f>
        <v/>
      </c>
      <c r="H1655" s="1" t="str">
        <f>"0034"</f>
        <v>0034</v>
      </c>
      <c r="I1655" s="1" t="s">
        <v>31</v>
      </c>
      <c r="J1655" s="1" t="str">
        <f>"01043977568"</f>
        <v>01043977568</v>
      </c>
      <c r="K1655" s="1" t="str">
        <f>"2017-03-29 20:18:01"</f>
        <v>2017-03-29 20:18:01</v>
      </c>
      <c r="L1655" s="1" t="str">
        <f>"2017-03-29 20:18:12"</f>
        <v>2017-03-29 20:18:12</v>
      </c>
      <c r="M1655" s="2">
        <v>1.4155092592592592E-2</v>
      </c>
      <c r="N1655" s="1" t="s">
        <v>26</v>
      </c>
      <c r="O1655" s="1" t="s">
        <v>34</v>
      </c>
      <c r="P1655" s="2">
        <v>1.4282407407407409E-2</v>
      </c>
      <c r="Q1655" s="1" t="s">
        <v>1235</v>
      </c>
      <c r="R1655" s="1">
        <v>0</v>
      </c>
      <c r="S1655" s="1" t="str">
        <f>""</f>
        <v/>
      </c>
      <c r="T1655" s="1" t="s">
        <v>29</v>
      </c>
      <c r="U1655" s="1" t="s">
        <v>30</v>
      </c>
      <c r="V1655" s="1">
        <v>0</v>
      </c>
    </row>
    <row r="1656" spans="2:22" x14ac:dyDescent="0.15">
      <c r="B1656" s="1" t="str">
        <f>"139****1713"</f>
        <v>139****1713</v>
      </c>
      <c r="C1656" s="1" t="s">
        <v>23</v>
      </c>
      <c r="D1656" s="1" t="str">
        <f t="shared" si="165"/>
        <v>89177328</v>
      </c>
      <c r="E1656" s="1" t="s">
        <v>24</v>
      </c>
      <c r="F1656" s="1" t="str">
        <f t="shared" si="166"/>
        <v>0010</v>
      </c>
      <c r="G1656" s="1" t="str">
        <f>""</f>
        <v/>
      </c>
      <c r="H1656" s="1" t="str">
        <f>"0033"</f>
        <v>0033</v>
      </c>
      <c r="I1656" s="1" t="s">
        <v>106</v>
      </c>
      <c r="J1656" s="1" t="str">
        <f>"01043977567"</f>
        <v>01043977567</v>
      </c>
      <c r="K1656" s="1" t="str">
        <f>"2017-03-29 20:12:46"</f>
        <v>2017-03-29 20:12:46</v>
      </c>
      <c r="L1656" s="1" t="str">
        <f>"2017-03-29 20:13:21"</f>
        <v>2017-03-29 20:13:21</v>
      </c>
      <c r="M1656" s="2">
        <v>6.7476851851851856E-3</v>
      </c>
      <c r="N1656" s="1" t="s">
        <v>26</v>
      </c>
      <c r="O1656" s="1" t="s">
        <v>27</v>
      </c>
      <c r="P1656" s="2">
        <v>7.1527777777777787E-3</v>
      </c>
      <c r="Q1656" s="1" t="s">
        <v>1236</v>
      </c>
      <c r="R1656" s="1">
        <v>0</v>
      </c>
      <c r="S1656" s="1" t="str">
        <f>""</f>
        <v/>
      </c>
      <c r="T1656" s="1" t="s">
        <v>29</v>
      </c>
      <c r="U1656" s="1" t="s">
        <v>30</v>
      </c>
      <c r="V1656" s="1">
        <v>0</v>
      </c>
    </row>
    <row r="1657" spans="2:22" x14ac:dyDescent="0.15">
      <c r="B1657" s="1" t="str">
        <f>"139****1713"</f>
        <v>139****1713</v>
      </c>
      <c r="C1657" s="1" t="s">
        <v>23</v>
      </c>
      <c r="D1657" s="1" t="str">
        <f t="shared" si="165"/>
        <v>89177328</v>
      </c>
      <c r="E1657" s="1" t="s">
        <v>24</v>
      </c>
      <c r="F1657" s="1" t="str">
        <f t="shared" si="166"/>
        <v>0010</v>
      </c>
      <c r="G1657" s="1" t="str">
        <f>""</f>
        <v/>
      </c>
      <c r="H1657" s="1" t="str">
        <f>"0034"</f>
        <v>0034</v>
      </c>
      <c r="I1657" s="1" t="s">
        <v>31</v>
      </c>
      <c r="J1657" s="1" t="str">
        <f>"01043977568"</f>
        <v>01043977568</v>
      </c>
      <c r="K1657" s="1" t="str">
        <f>"2017-03-29 19:59:42"</f>
        <v>2017-03-29 19:59:42</v>
      </c>
      <c r="L1657" s="1" t="str">
        <f>"-"</f>
        <v>-</v>
      </c>
      <c r="M1657" s="2">
        <v>0</v>
      </c>
      <c r="N1657" s="1" t="s">
        <v>33</v>
      </c>
      <c r="O1657" s="1" t="s">
        <v>34</v>
      </c>
      <c r="P1657" s="2">
        <v>2.3148148148148147E-5</v>
      </c>
      <c r="Q1657" s="1" t="str">
        <f>""</f>
        <v/>
      </c>
      <c r="R1657" s="1">
        <v>0</v>
      </c>
      <c r="S1657" s="1" t="str">
        <f>""</f>
        <v/>
      </c>
      <c r="T1657" s="1" t="s">
        <v>29</v>
      </c>
      <c r="U1657" s="1" t="s">
        <v>30</v>
      </c>
      <c r="V1657" s="1">
        <v>0</v>
      </c>
    </row>
    <row r="1658" spans="2:22" x14ac:dyDescent="0.15">
      <c r="B1658" s="1" t="str">
        <f>"010****5359"</f>
        <v>010****5359</v>
      </c>
      <c r="C1658" s="1" t="s">
        <v>23</v>
      </c>
      <c r="D1658" s="1" t="str">
        <f t="shared" si="165"/>
        <v>89177328</v>
      </c>
      <c r="E1658" s="1" t="s">
        <v>24</v>
      </c>
      <c r="F1658" s="1" t="str">
        <f t="shared" si="166"/>
        <v>0010</v>
      </c>
      <c r="G1658" s="1" t="str">
        <f>""</f>
        <v/>
      </c>
      <c r="H1658" s="1" t="str">
        <f>"0033"</f>
        <v>0033</v>
      </c>
      <c r="I1658" s="1" t="s">
        <v>106</v>
      </c>
      <c r="J1658" s="1" t="str">
        <f>"01043977567"</f>
        <v>01043977567</v>
      </c>
      <c r="K1658" s="1" t="str">
        <f>"2017-03-29 19:54:32"</f>
        <v>2017-03-29 19:54:32</v>
      </c>
      <c r="L1658" s="1" t="str">
        <f>"2017-03-29 19:54:57"</f>
        <v>2017-03-29 19:54:57</v>
      </c>
      <c r="M1658" s="2">
        <v>4.1666666666666666E-3</v>
      </c>
      <c r="N1658" s="1" t="s">
        <v>26</v>
      </c>
      <c r="O1658" s="1" t="s">
        <v>27</v>
      </c>
      <c r="P1658" s="2">
        <v>4.4560185185185189E-3</v>
      </c>
      <c r="Q1658" s="1" t="s">
        <v>1237</v>
      </c>
      <c r="R1658" s="1">
        <v>0</v>
      </c>
      <c r="S1658" s="1" t="str">
        <f>""</f>
        <v/>
      </c>
      <c r="T1658" s="1" t="s">
        <v>29</v>
      </c>
      <c r="U1658" s="1" t="s">
        <v>30</v>
      </c>
      <c r="V1658" s="1">
        <v>0</v>
      </c>
    </row>
    <row r="1659" spans="2:22" x14ac:dyDescent="0.15">
      <c r="B1659" s="1" t="str">
        <f>"0316018910736834"</f>
        <v>0316018910736834</v>
      </c>
      <c r="C1659" s="1" t="s">
        <v>51</v>
      </c>
      <c r="D1659" s="1" t="str">
        <f t="shared" si="165"/>
        <v>89177328</v>
      </c>
      <c r="E1659" s="1" t="s">
        <v>24</v>
      </c>
      <c r="F1659" s="1" t="str">
        <f t="shared" si="166"/>
        <v>0010</v>
      </c>
      <c r="G1659" s="1" t="str">
        <f>""</f>
        <v/>
      </c>
      <c r="H1659" s="1" t="str">
        <f>"0034"</f>
        <v>0034</v>
      </c>
      <c r="I1659" s="1" t="s">
        <v>31</v>
      </c>
      <c r="J1659" s="1" t="str">
        <f>"01043977568"</f>
        <v>01043977568</v>
      </c>
      <c r="K1659" s="1" t="str">
        <f>"2017-03-29 19:51:53"</f>
        <v>2017-03-29 19:51:53</v>
      </c>
      <c r="L1659" s="1" t="str">
        <f>"2017-03-29 19:52:03"</f>
        <v>2017-03-29 19:52:03</v>
      </c>
      <c r="M1659" s="2">
        <v>2.7662037037037034E-3</v>
      </c>
      <c r="N1659" s="1" t="s">
        <v>26</v>
      </c>
      <c r="O1659" s="1" t="s">
        <v>27</v>
      </c>
      <c r="P1659" s="2">
        <v>2.8819444444444444E-3</v>
      </c>
      <c r="Q1659" s="1" t="s">
        <v>1238</v>
      </c>
      <c r="R1659" s="1">
        <v>0</v>
      </c>
      <c r="S1659" s="1" t="str">
        <f>""</f>
        <v/>
      </c>
      <c r="T1659" s="1" t="s">
        <v>29</v>
      </c>
      <c r="U1659" s="1" t="s">
        <v>30</v>
      </c>
      <c r="V1659" s="1">
        <v>0</v>
      </c>
    </row>
    <row r="1660" spans="2:22" x14ac:dyDescent="0.15">
      <c r="B1660" s="1" t="str">
        <f>"156****5184"</f>
        <v>156****5184</v>
      </c>
      <c r="C1660" s="1" t="s">
        <v>44</v>
      </c>
      <c r="D1660" s="1" t="str">
        <f t="shared" si="165"/>
        <v>89177328</v>
      </c>
      <c r="E1660" s="1" t="s">
        <v>24</v>
      </c>
      <c r="F1660" s="1" t="str">
        <f t="shared" si="166"/>
        <v>0010</v>
      </c>
      <c r="G1660" s="1" t="str">
        <f>""</f>
        <v/>
      </c>
      <c r="H1660" s="1" t="str">
        <f>"0033"</f>
        <v>0033</v>
      </c>
      <c r="I1660" s="1" t="s">
        <v>106</v>
      </c>
      <c r="J1660" s="1" t="str">
        <f>"01043977567"</f>
        <v>01043977567</v>
      </c>
      <c r="K1660" s="1" t="str">
        <f>"2017-03-29 19:37:23"</f>
        <v>2017-03-29 19:37:23</v>
      </c>
      <c r="L1660" s="1" t="str">
        <f>"2017-03-29 19:37:31"</f>
        <v>2017-03-29 19:37:31</v>
      </c>
      <c r="M1660" s="2">
        <v>1.1898148148148149E-2</v>
      </c>
      <c r="N1660" s="1" t="s">
        <v>26</v>
      </c>
      <c r="O1660" s="1" t="s">
        <v>27</v>
      </c>
      <c r="P1660" s="2">
        <v>1.1990740740740739E-2</v>
      </c>
      <c r="Q1660" s="1" t="s">
        <v>1239</v>
      </c>
      <c r="R1660" s="1">
        <v>0</v>
      </c>
      <c r="S1660" s="1" t="str">
        <f>""</f>
        <v/>
      </c>
      <c r="T1660" s="1" t="s">
        <v>29</v>
      </c>
      <c r="U1660" s="1" t="s">
        <v>30</v>
      </c>
      <c r="V1660" s="1">
        <v>0</v>
      </c>
    </row>
    <row r="1661" spans="2:22" x14ac:dyDescent="0.15">
      <c r="B1661" s="1" t="str">
        <f>"176****6760"</f>
        <v>176****6760</v>
      </c>
      <c r="C1661" s="1" t="s">
        <v>23</v>
      </c>
      <c r="D1661" s="1" t="str">
        <f t="shared" si="165"/>
        <v>89177328</v>
      </c>
      <c r="E1661" s="1" t="s">
        <v>24</v>
      </c>
      <c r="F1661" s="1" t="str">
        <f t="shared" si="166"/>
        <v>0010</v>
      </c>
      <c r="G1661" s="1" t="str">
        <f>""</f>
        <v/>
      </c>
      <c r="H1661" s="1" t="str">
        <f>"0033"</f>
        <v>0033</v>
      </c>
      <c r="I1661" s="1" t="s">
        <v>106</v>
      </c>
      <c r="J1661" s="1" t="str">
        <f>"01043977567"</f>
        <v>01043977567</v>
      </c>
      <c r="K1661" s="1" t="str">
        <f>"2017-03-29 19:29:39"</f>
        <v>2017-03-29 19:29:39</v>
      </c>
      <c r="L1661" s="1" t="str">
        <f>"-"</f>
        <v>-</v>
      </c>
      <c r="M1661" s="2">
        <v>0</v>
      </c>
      <c r="N1661" s="1" t="s">
        <v>33</v>
      </c>
      <c r="O1661" s="1" t="s">
        <v>34</v>
      </c>
      <c r="P1661" s="2">
        <v>9.2592592592592588E-5</v>
      </c>
      <c r="Q1661" s="1" t="str">
        <f>""</f>
        <v/>
      </c>
      <c r="R1661" s="1">
        <v>0</v>
      </c>
      <c r="S1661" s="1" t="str">
        <f>""</f>
        <v/>
      </c>
      <c r="T1661" s="1" t="s">
        <v>29</v>
      </c>
      <c r="U1661" s="1" t="s">
        <v>30</v>
      </c>
      <c r="V1661" s="1">
        <v>0</v>
      </c>
    </row>
    <row r="1662" spans="2:22" x14ac:dyDescent="0.15">
      <c r="B1662" s="1" t="str">
        <f>"159****6715"</f>
        <v>159****6715</v>
      </c>
      <c r="C1662" s="1" t="s">
        <v>23</v>
      </c>
      <c r="D1662" s="1" t="str">
        <f t="shared" si="165"/>
        <v>89177328</v>
      </c>
      <c r="E1662" s="1" t="s">
        <v>24</v>
      </c>
      <c r="F1662" s="1" t="str">
        <f t="shared" si="166"/>
        <v>0010</v>
      </c>
      <c r="G1662" s="1" t="str">
        <f>""</f>
        <v/>
      </c>
      <c r="H1662" s="1" t="str">
        <f>"0034"</f>
        <v>0034</v>
      </c>
      <c r="I1662" s="1" t="s">
        <v>31</v>
      </c>
      <c r="J1662" s="1" t="str">
        <f>"01043977568"</f>
        <v>01043977568</v>
      </c>
      <c r="K1662" s="1" t="str">
        <f>"2017-03-29 19:25:06"</f>
        <v>2017-03-29 19:25:06</v>
      </c>
      <c r="L1662" s="1" t="str">
        <f>"-"</f>
        <v>-</v>
      </c>
      <c r="M1662" s="2">
        <v>0</v>
      </c>
      <c r="N1662" s="1" t="s">
        <v>33</v>
      </c>
      <c r="O1662" s="1" t="s">
        <v>34</v>
      </c>
      <c r="P1662" s="2">
        <v>2.3148148148148147E-5</v>
      </c>
      <c r="Q1662" s="1" t="str">
        <f>""</f>
        <v/>
      </c>
      <c r="R1662" s="1">
        <v>0</v>
      </c>
      <c r="S1662" s="1" t="str">
        <f>""</f>
        <v/>
      </c>
      <c r="T1662" s="1" t="s">
        <v>29</v>
      </c>
      <c r="U1662" s="1" t="s">
        <v>30</v>
      </c>
      <c r="V1662" s="1">
        <v>0</v>
      </c>
    </row>
    <row r="1663" spans="2:22" x14ac:dyDescent="0.15">
      <c r="B1663" s="1" t="str">
        <f>"153****6530"</f>
        <v>153****6530</v>
      </c>
      <c r="C1663" s="1" t="s">
        <v>23</v>
      </c>
      <c r="D1663" s="1" t="str">
        <f t="shared" si="165"/>
        <v>89177328</v>
      </c>
      <c r="E1663" s="1" t="s">
        <v>24</v>
      </c>
      <c r="F1663" s="1" t="str">
        <f t="shared" si="166"/>
        <v>0010</v>
      </c>
      <c r="G1663" s="1" t="str">
        <f>""</f>
        <v/>
      </c>
      <c r="H1663" s="1" t="str">
        <f>"0033"</f>
        <v>0033</v>
      </c>
      <c r="I1663" s="1" t="s">
        <v>106</v>
      </c>
      <c r="J1663" s="1" t="str">
        <f>"01043977567"</f>
        <v>01043977567</v>
      </c>
      <c r="K1663" s="1" t="str">
        <f>"2017-03-29 19:14:57"</f>
        <v>2017-03-29 19:14:57</v>
      </c>
      <c r="L1663" s="1" t="str">
        <f>"2017-03-29 19:15:05"</f>
        <v>2017-03-29 19:15:05</v>
      </c>
      <c r="M1663" s="2">
        <v>4.0162037037037033E-3</v>
      </c>
      <c r="N1663" s="1" t="s">
        <v>26</v>
      </c>
      <c r="O1663" s="1" t="s">
        <v>27</v>
      </c>
      <c r="P1663" s="2">
        <v>4.108796296296297E-3</v>
      </c>
      <c r="Q1663" s="1" t="s">
        <v>1240</v>
      </c>
      <c r="R1663" s="1">
        <v>0</v>
      </c>
      <c r="S1663" s="1" t="str">
        <f>""</f>
        <v/>
      </c>
      <c r="T1663" s="1" t="s">
        <v>29</v>
      </c>
      <c r="U1663" s="1" t="s">
        <v>30</v>
      </c>
      <c r="V1663" s="1">
        <v>0</v>
      </c>
    </row>
    <row r="1664" spans="2:22" x14ac:dyDescent="0.15">
      <c r="B1664" s="1" t="str">
        <f>"180****2276"</f>
        <v>180****2276</v>
      </c>
      <c r="C1664" s="1" t="s">
        <v>23</v>
      </c>
      <c r="D1664" s="1" t="str">
        <f t="shared" si="165"/>
        <v>89177328</v>
      </c>
      <c r="E1664" s="1" t="s">
        <v>24</v>
      </c>
      <c r="F1664" s="1" t="str">
        <f t="shared" si="166"/>
        <v>0010</v>
      </c>
      <c r="G1664" s="1" t="str">
        <f>""</f>
        <v/>
      </c>
      <c r="H1664" s="1" t="str">
        <f>"0018"</f>
        <v>0018</v>
      </c>
      <c r="I1664" s="1" t="s">
        <v>36</v>
      </c>
      <c r="J1664" s="1" t="str">
        <f>"01043989718"</f>
        <v>01043989718</v>
      </c>
      <c r="K1664" s="1" t="str">
        <f>"2017-03-29 19:14:16"</f>
        <v>2017-03-29 19:14:16</v>
      </c>
      <c r="L1664" s="1" t="str">
        <f>"2017-03-29 19:14:46"</f>
        <v>2017-03-29 19:14:46</v>
      </c>
      <c r="M1664" s="2">
        <v>4.3981481481481484E-3</v>
      </c>
      <c r="N1664" s="1" t="s">
        <v>26</v>
      </c>
      <c r="O1664" s="1" t="s">
        <v>34</v>
      </c>
      <c r="P1664" s="2">
        <v>4.7453703703703703E-3</v>
      </c>
      <c r="Q1664" s="1" t="s">
        <v>1241</v>
      </c>
      <c r="R1664" s="1">
        <v>0</v>
      </c>
      <c r="S1664" s="1" t="str">
        <f>""</f>
        <v/>
      </c>
      <c r="T1664" s="1" t="s">
        <v>29</v>
      </c>
      <c r="U1664" s="1" t="s">
        <v>30</v>
      </c>
      <c r="V1664" s="1">
        <v>0</v>
      </c>
    </row>
    <row r="1665" spans="2:22" x14ac:dyDescent="0.15">
      <c r="B1665" s="1" t="str">
        <f>"182****0625"</f>
        <v>182****0625</v>
      </c>
      <c r="C1665" s="1" t="s">
        <v>904</v>
      </c>
      <c r="D1665" s="1" t="str">
        <f t="shared" si="165"/>
        <v>89177328</v>
      </c>
      <c r="E1665" s="1" t="s">
        <v>24</v>
      </c>
      <c r="F1665" s="1" t="str">
        <f t="shared" si="166"/>
        <v>0010</v>
      </c>
      <c r="G1665" s="1" t="str">
        <f>""</f>
        <v/>
      </c>
      <c r="H1665" s="1" t="str">
        <f>"0034"</f>
        <v>0034</v>
      </c>
      <c r="I1665" s="1" t="s">
        <v>31</v>
      </c>
      <c r="J1665" s="1" t="str">
        <f>"01043977568"</f>
        <v>01043977568</v>
      </c>
      <c r="K1665" s="1" t="str">
        <f>"2017-03-29 19:08:11"</f>
        <v>2017-03-29 19:08:11</v>
      </c>
      <c r="L1665" s="1" t="str">
        <f>"2017-03-29 19:08:19"</f>
        <v>2017-03-29 19:08:19</v>
      </c>
      <c r="M1665" s="2">
        <v>6.7013888888888887E-3</v>
      </c>
      <c r="N1665" s="1" t="s">
        <v>26</v>
      </c>
      <c r="O1665" s="1" t="s">
        <v>27</v>
      </c>
      <c r="P1665" s="2">
        <v>6.7939814814814816E-3</v>
      </c>
      <c r="Q1665" s="1" t="s">
        <v>1242</v>
      </c>
      <c r="R1665" s="1">
        <v>0</v>
      </c>
      <c r="S1665" s="1" t="str">
        <f>""</f>
        <v/>
      </c>
      <c r="T1665" s="1" t="s">
        <v>29</v>
      </c>
      <c r="U1665" s="1" t="s">
        <v>30</v>
      </c>
      <c r="V1665" s="1">
        <v>0</v>
      </c>
    </row>
    <row r="1666" spans="2:22" x14ac:dyDescent="0.15">
      <c r="B1666" s="1" t="str">
        <f>"137****2904"</f>
        <v>137****2904</v>
      </c>
      <c r="C1666" s="1" t="s">
        <v>693</v>
      </c>
      <c r="D1666" s="1" t="str">
        <f t="shared" si="165"/>
        <v>89177328</v>
      </c>
      <c r="E1666" s="1" t="s">
        <v>24</v>
      </c>
      <c r="F1666" s="1" t="str">
        <f t="shared" si="166"/>
        <v>0010</v>
      </c>
      <c r="G1666" s="1" t="str">
        <f>""</f>
        <v/>
      </c>
      <c r="H1666" s="1" t="str">
        <f>"0034"</f>
        <v>0034</v>
      </c>
      <c r="I1666" s="1" t="s">
        <v>31</v>
      </c>
      <c r="J1666" s="1" t="str">
        <f>"01043977568"</f>
        <v>01043977568</v>
      </c>
      <c r="K1666" s="1" t="str">
        <f>"2017-03-29 19:00:12"</f>
        <v>2017-03-29 19:00:12</v>
      </c>
      <c r="L1666" s="1" t="str">
        <f>"-"</f>
        <v>-</v>
      </c>
      <c r="M1666" s="2">
        <v>0</v>
      </c>
      <c r="N1666" s="1" t="s">
        <v>33</v>
      </c>
      <c r="O1666" s="1" t="s">
        <v>34</v>
      </c>
      <c r="P1666" s="2">
        <v>2.3148148148148147E-5</v>
      </c>
      <c r="Q1666" s="1" t="str">
        <f>""</f>
        <v/>
      </c>
      <c r="R1666" s="1">
        <v>0</v>
      </c>
      <c r="S1666" s="1" t="str">
        <f>""</f>
        <v/>
      </c>
      <c r="T1666" s="1" t="s">
        <v>29</v>
      </c>
      <c r="U1666" s="1" t="s">
        <v>30</v>
      </c>
      <c r="V1666" s="1">
        <v>0</v>
      </c>
    </row>
    <row r="1667" spans="2:22" x14ac:dyDescent="0.15">
      <c r="B1667" s="1" t="str">
        <f>"180****2276"</f>
        <v>180****2276</v>
      </c>
      <c r="C1667" s="1" t="s">
        <v>23</v>
      </c>
      <c r="D1667" s="1" t="str">
        <f t="shared" si="165"/>
        <v>89177328</v>
      </c>
      <c r="E1667" s="1" t="s">
        <v>24</v>
      </c>
      <c r="F1667" s="1" t="str">
        <f t="shared" si="166"/>
        <v>0010</v>
      </c>
      <c r="G1667" s="1" t="str">
        <f>""</f>
        <v/>
      </c>
      <c r="H1667" s="1" t="str">
        <f>"0018"</f>
        <v>0018</v>
      </c>
      <c r="I1667" s="1" t="s">
        <v>36</v>
      </c>
      <c r="J1667" s="1" t="str">
        <f>"01043989718"</f>
        <v>01043989718</v>
      </c>
      <c r="K1667" s="1" t="str">
        <f>"2017-03-29 18:50:03"</f>
        <v>2017-03-29 18:50:03</v>
      </c>
      <c r="L1667" s="1" t="str">
        <f>"2017-03-29 18:50:11"</f>
        <v>2017-03-29 18:50:11</v>
      </c>
      <c r="M1667" s="2">
        <v>1.6076388888888887E-2</v>
      </c>
      <c r="N1667" s="1" t="s">
        <v>26</v>
      </c>
      <c r="O1667" s="1" t="s">
        <v>34</v>
      </c>
      <c r="P1667" s="2">
        <v>1.6168981481481482E-2</v>
      </c>
      <c r="Q1667" s="1" t="s">
        <v>1243</v>
      </c>
      <c r="R1667" s="1">
        <v>0</v>
      </c>
      <c r="S1667" s="1" t="str">
        <f>""</f>
        <v/>
      </c>
      <c r="T1667" s="1" t="s">
        <v>29</v>
      </c>
      <c r="U1667" s="1" t="s">
        <v>30</v>
      </c>
      <c r="V1667" s="1">
        <v>0</v>
      </c>
    </row>
    <row r="1668" spans="2:22" x14ac:dyDescent="0.15">
      <c r="B1668" s="1" t="str">
        <f>"152****4144"</f>
        <v>152****4144</v>
      </c>
      <c r="C1668" s="1" t="s">
        <v>44</v>
      </c>
      <c r="D1668" s="1" t="str">
        <f t="shared" si="165"/>
        <v>89177328</v>
      </c>
      <c r="E1668" s="1" t="s">
        <v>24</v>
      </c>
      <c r="F1668" s="1" t="str">
        <f t="shared" si="166"/>
        <v>0010</v>
      </c>
      <c r="G1668" s="1" t="str">
        <f>""</f>
        <v/>
      </c>
      <c r="H1668" s="1" t="str">
        <f>"0018"</f>
        <v>0018</v>
      </c>
      <c r="I1668" s="1" t="s">
        <v>36</v>
      </c>
      <c r="J1668" s="1" t="str">
        <f>"01043989718"</f>
        <v>01043989718</v>
      </c>
      <c r="K1668" s="1" t="str">
        <f>"2017-03-29 18:45:19"</f>
        <v>2017-03-29 18:45:19</v>
      </c>
      <c r="L1668" s="1" t="str">
        <f>"-"</f>
        <v>-</v>
      </c>
      <c r="M1668" s="2">
        <v>0</v>
      </c>
      <c r="N1668" s="1" t="s">
        <v>33</v>
      </c>
      <c r="O1668" s="1" t="s">
        <v>34</v>
      </c>
      <c r="P1668" s="2">
        <v>1.1574074074074073E-5</v>
      </c>
      <c r="Q1668" s="1" t="str">
        <f>""</f>
        <v/>
      </c>
      <c r="R1668" s="1">
        <v>0</v>
      </c>
      <c r="S1668" s="1" t="str">
        <f>""</f>
        <v/>
      </c>
      <c r="T1668" s="1" t="s">
        <v>29</v>
      </c>
      <c r="U1668" s="1" t="s">
        <v>30</v>
      </c>
      <c r="V1668" s="1">
        <v>0</v>
      </c>
    </row>
    <row r="1669" spans="2:22" x14ac:dyDescent="0.15">
      <c r="B1669" s="1" t="str">
        <f>"130****2419"</f>
        <v>130****2419</v>
      </c>
      <c r="C1669" s="1" t="s">
        <v>23</v>
      </c>
      <c r="D1669" s="1" t="str">
        <f t="shared" si="165"/>
        <v>89177328</v>
      </c>
      <c r="E1669" s="1" t="s">
        <v>24</v>
      </c>
      <c r="F1669" s="1" t="str">
        <f t="shared" si="166"/>
        <v>0010</v>
      </c>
      <c r="G1669" s="1" t="str">
        <f>""</f>
        <v/>
      </c>
      <c r="H1669" s="1" t="str">
        <f>"0018"</f>
        <v>0018</v>
      </c>
      <c r="I1669" s="1" t="s">
        <v>36</v>
      </c>
      <c r="J1669" s="1" t="str">
        <f>"01043989718"</f>
        <v>01043989718</v>
      </c>
      <c r="K1669" s="1" t="str">
        <f>"2017-03-29 18:00:33"</f>
        <v>2017-03-29 18:00:33</v>
      </c>
      <c r="L1669" s="1" t="str">
        <f>"2017-03-29 18:00:41"</f>
        <v>2017-03-29 18:00:41</v>
      </c>
      <c r="M1669" s="2">
        <v>9.2592592592592605E-3</v>
      </c>
      <c r="N1669" s="1" t="s">
        <v>26</v>
      </c>
      <c r="O1669" s="1" t="s">
        <v>34</v>
      </c>
      <c r="P1669" s="2">
        <v>9.3518518518518525E-3</v>
      </c>
      <c r="Q1669" s="1" t="s">
        <v>1244</v>
      </c>
      <c r="R1669" s="1">
        <v>0</v>
      </c>
      <c r="S1669" s="1" t="str">
        <f>""</f>
        <v/>
      </c>
      <c r="T1669" s="1" t="s">
        <v>29</v>
      </c>
      <c r="U1669" s="1" t="s">
        <v>30</v>
      </c>
      <c r="V1669" s="1">
        <v>0</v>
      </c>
    </row>
    <row r="1670" spans="2:22" x14ac:dyDescent="0.15">
      <c r="B1670" s="1" t="str">
        <f>"189****6000"</f>
        <v>189****6000</v>
      </c>
      <c r="C1670" s="1" t="s">
        <v>1245</v>
      </c>
      <c r="D1670" s="1" t="str">
        <f t="shared" si="165"/>
        <v>89177328</v>
      </c>
      <c r="E1670" s="1" t="s">
        <v>24</v>
      </c>
      <c r="F1670" s="1" t="str">
        <f t="shared" si="166"/>
        <v>0010</v>
      </c>
      <c r="G1670" s="1" t="str">
        <f>""</f>
        <v/>
      </c>
      <c r="H1670" s="1" t="str">
        <f>"0018"</f>
        <v>0018</v>
      </c>
      <c r="I1670" s="1" t="s">
        <v>36</v>
      </c>
      <c r="J1670" s="1" t="str">
        <f>"01043989718"</f>
        <v>01043989718</v>
      </c>
      <c r="K1670" s="1" t="str">
        <f>"2017-03-29 17:40:18"</f>
        <v>2017-03-29 17:40:18</v>
      </c>
      <c r="L1670" s="1" t="str">
        <f>"2017-03-29 17:40:25"</f>
        <v>2017-03-29 17:40:25</v>
      </c>
      <c r="M1670" s="2">
        <v>8.4722222222222213E-3</v>
      </c>
      <c r="N1670" s="1" t="s">
        <v>26</v>
      </c>
      <c r="O1670" s="1" t="s">
        <v>34</v>
      </c>
      <c r="P1670" s="2">
        <v>8.5532407407407415E-3</v>
      </c>
      <c r="Q1670" s="1" t="s">
        <v>1246</v>
      </c>
      <c r="R1670" s="1">
        <v>0</v>
      </c>
      <c r="S1670" s="1" t="str">
        <f>""</f>
        <v/>
      </c>
      <c r="T1670" s="1" t="s">
        <v>29</v>
      </c>
      <c r="U1670" s="1" t="s">
        <v>30</v>
      </c>
      <c r="V1670" s="1">
        <v>0</v>
      </c>
    </row>
    <row r="1671" spans="2:22" x14ac:dyDescent="0.15">
      <c r="B1671" s="1" t="str">
        <f>"010****5080"</f>
        <v>010****5080</v>
      </c>
      <c r="C1671" s="1" t="s">
        <v>23</v>
      </c>
      <c r="D1671" s="1" t="str">
        <f t="shared" si="165"/>
        <v>89177328</v>
      </c>
      <c r="E1671" s="1" t="s">
        <v>24</v>
      </c>
      <c r="F1671" s="1" t="str">
        <f t="shared" si="166"/>
        <v>0010</v>
      </c>
      <c r="G1671" s="1" t="str">
        <f>""</f>
        <v/>
      </c>
      <c r="H1671" s="1" t="str">
        <f>"0018"</f>
        <v>0018</v>
      </c>
      <c r="I1671" s="1" t="s">
        <v>36</v>
      </c>
      <c r="J1671" s="1" t="str">
        <f>"01043989718"</f>
        <v>01043989718</v>
      </c>
      <c r="K1671" s="1" t="str">
        <f>"2017-03-29 17:36:38"</f>
        <v>2017-03-29 17:36:38</v>
      </c>
      <c r="L1671" s="1" t="str">
        <f>"2017-03-29 17:36:46"</f>
        <v>2017-03-29 17:36:46</v>
      </c>
      <c r="M1671" s="2">
        <v>2.1064814814814813E-3</v>
      </c>
      <c r="N1671" s="1" t="s">
        <v>26</v>
      </c>
      <c r="O1671" s="1" t="s">
        <v>34</v>
      </c>
      <c r="P1671" s="2">
        <v>2.1990740740740742E-3</v>
      </c>
      <c r="Q1671" s="1" t="s">
        <v>1247</v>
      </c>
      <c r="R1671" s="1">
        <v>0</v>
      </c>
      <c r="S1671" s="1" t="str">
        <f>""</f>
        <v/>
      </c>
      <c r="T1671" s="1" t="s">
        <v>29</v>
      </c>
      <c r="U1671" s="1" t="s">
        <v>30</v>
      </c>
      <c r="V1671" s="1">
        <v>0</v>
      </c>
    </row>
    <row r="1672" spans="2:22" x14ac:dyDescent="0.15">
      <c r="B1672" s="1" t="str">
        <f>"0411****1318"</f>
        <v>0411****1318</v>
      </c>
      <c r="C1672" s="1" t="s">
        <v>127</v>
      </c>
      <c r="D1672" s="1" t="str">
        <f t="shared" si="165"/>
        <v>89177328</v>
      </c>
      <c r="E1672" s="1" t="s">
        <v>24</v>
      </c>
      <c r="F1672" s="1" t="str">
        <f t="shared" si="166"/>
        <v>0010</v>
      </c>
      <c r="G1672" s="1" t="str">
        <f>""</f>
        <v/>
      </c>
      <c r="H1672" s="1" t="str">
        <f>"0034"</f>
        <v>0034</v>
      </c>
      <c r="I1672" s="1" t="s">
        <v>31</v>
      </c>
      <c r="J1672" s="1" t="str">
        <f>"01043977568"</f>
        <v>01043977568</v>
      </c>
      <c r="K1672" s="1" t="str">
        <f>"2017-03-29 17:36:12"</f>
        <v>2017-03-29 17:36:12</v>
      </c>
      <c r="L1672" s="1" t="str">
        <f>"2017-03-29 17:36:24"</f>
        <v>2017-03-29 17:36:24</v>
      </c>
      <c r="M1672" s="2">
        <v>7.6504629629629631E-3</v>
      </c>
      <c r="N1672" s="1" t="s">
        <v>26</v>
      </c>
      <c r="O1672" s="1" t="s">
        <v>34</v>
      </c>
      <c r="P1672" s="2">
        <v>7.789351851851852E-3</v>
      </c>
      <c r="Q1672" s="1" t="s">
        <v>1248</v>
      </c>
      <c r="R1672" s="1">
        <v>0</v>
      </c>
      <c r="S1672" s="1" t="str">
        <f>""</f>
        <v/>
      </c>
      <c r="T1672" s="1" t="s">
        <v>29</v>
      </c>
      <c r="U1672" s="1" t="s">
        <v>30</v>
      </c>
      <c r="V1672" s="1">
        <v>0</v>
      </c>
    </row>
    <row r="1673" spans="2:22" x14ac:dyDescent="0.15">
      <c r="B1673" s="1" t="str">
        <f>"130****5656"</f>
        <v>130****5656</v>
      </c>
      <c r="C1673" s="1" t="s">
        <v>112</v>
      </c>
      <c r="D1673" s="1" t="str">
        <f t="shared" si="165"/>
        <v>89177328</v>
      </c>
      <c r="E1673" s="1" t="s">
        <v>24</v>
      </c>
      <c r="F1673" s="1" t="str">
        <f t="shared" si="166"/>
        <v>0010</v>
      </c>
      <c r="G1673" s="1" t="str">
        <f>""</f>
        <v/>
      </c>
      <c r="H1673" s="1" t="str">
        <f>"0034"</f>
        <v>0034</v>
      </c>
      <c r="I1673" s="1" t="s">
        <v>31</v>
      </c>
      <c r="J1673" s="1" t="str">
        <f>"01043977568"</f>
        <v>01043977568</v>
      </c>
      <c r="K1673" s="1" t="str">
        <f>"2017-03-29 17:33:06"</f>
        <v>2017-03-29 17:33:06</v>
      </c>
      <c r="L1673" s="1" t="str">
        <f>"-"</f>
        <v>-</v>
      </c>
      <c r="M1673" s="2">
        <v>0</v>
      </c>
      <c r="N1673" s="1" t="s">
        <v>33</v>
      </c>
      <c r="O1673" s="1" t="s">
        <v>34</v>
      </c>
      <c r="P1673" s="2">
        <v>5.7870370370370366E-5</v>
      </c>
      <c r="Q1673" s="1" t="str">
        <f>""</f>
        <v/>
      </c>
      <c r="R1673" s="1">
        <v>0</v>
      </c>
      <c r="S1673" s="1" t="str">
        <f>""</f>
        <v/>
      </c>
      <c r="T1673" s="1" t="s">
        <v>29</v>
      </c>
      <c r="U1673" s="1" t="s">
        <v>30</v>
      </c>
      <c r="V1673" s="1">
        <v>0</v>
      </c>
    </row>
    <row r="1674" spans="2:22" x14ac:dyDescent="0.15">
      <c r="B1674" s="1" t="str">
        <f>"153****5937"</f>
        <v>153****5937</v>
      </c>
      <c r="C1674" s="1" t="s">
        <v>126</v>
      </c>
      <c r="D1674" s="1" t="str">
        <f t="shared" si="165"/>
        <v>89177328</v>
      </c>
      <c r="E1674" s="1" t="s">
        <v>24</v>
      </c>
      <c r="F1674" s="1" t="str">
        <f t="shared" si="166"/>
        <v>0010</v>
      </c>
      <c r="G1674" s="1" t="str">
        <f>""</f>
        <v/>
      </c>
      <c r="H1674" s="1" t="str">
        <f>"0017"</f>
        <v>0017</v>
      </c>
      <c r="I1674" s="1" t="s">
        <v>135</v>
      </c>
      <c r="J1674" s="1" t="str">
        <f>"01043989717"</f>
        <v>01043989717</v>
      </c>
      <c r="K1674" s="1" t="str">
        <f>"2017-03-29 17:22:24"</f>
        <v>2017-03-29 17:22:24</v>
      </c>
      <c r="L1674" s="1" t="str">
        <f>"-"</f>
        <v>-</v>
      </c>
      <c r="M1674" s="2">
        <v>0</v>
      </c>
      <c r="N1674" s="1" t="s">
        <v>33</v>
      </c>
      <c r="O1674" s="1" t="s">
        <v>34</v>
      </c>
      <c r="P1674" s="2">
        <v>2.3148148148148147E-5</v>
      </c>
      <c r="Q1674" s="1" t="str">
        <f>""</f>
        <v/>
      </c>
      <c r="R1674" s="1">
        <v>0</v>
      </c>
      <c r="S1674" s="1" t="str">
        <f>""</f>
        <v/>
      </c>
      <c r="T1674" s="1" t="s">
        <v>29</v>
      </c>
      <c r="U1674" s="1" t="s">
        <v>30</v>
      </c>
      <c r="V1674" s="1">
        <v>0</v>
      </c>
    </row>
    <row r="1675" spans="2:22" x14ac:dyDescent="0.15">
      <c r="B1675" s="1" t="str">
        <f>"189****4608"</f>
        <v>189****4608</v>
      </c>
      <c r="C1675" s="1" t="s">
        <v>23</v>
      </c>
      <c r="D1675" s="1" t="str">
        <f t="shared" si="165"/>
        <v>89177328</v>
      </c>
      <c r="E1675" s="1" t="s">
        <v>24</v>
      </c>
      <c r="F1675" s="1" t="str">
        <f t="shared" si="166"/>
        <v>0010</v>
      </c>
      <c r="G1675" s="1" t="str">
        <f>""</f>
        <v/>
      </c>
      <c r="H1675" s="1" t="str">
        <f>"0033"</f>
        <v>0033</v>
      </c>
      <c r="I1675" s="1" t="s">
        <v>106</v>
      </c>
      <c r="J1675" s="1" t="str">
        <f>"01043977567"</f>
        <v>01043977567</v>
      </c>
      <c r="K1675" s="1" t="str">
        <f>"2017-03-29 17:19:46"</f>
        <v>2017-03-29 17:19:46</v>
      </c>
      <c r="L1675" s="1" t="str">
        <f>"2017-03-29 17:19:54"</f>
        <v>2017-03-29 17:19:54</v>
      </c>
      <c r="M1675" s="2">
        <v>6.1111111111111114E-3</v>
      </c>
      <c r="N1675" s="1" t="s">
        <v>26</v>
      </c>
      <c r="O1675" s="1" t="s">
        <v>34</v>
      </c>
      <c r="P1675" s="2">
        <v>6.2037037037037043E-3</v>
      </c>
      <c r="Q1675" s="1" t="s">
        <v>1249</v>
      </c>
      <c r="R1675" s="1">
        <v>0</v>
      </c>
      <c r="S1675" s="1" t="str">
        <f>""</f>
        <v/>
      </c>
      <c r="T1675" s="1" t="s">
        <v>29</v>
      </c>
      <c r="U1675" s="1" t="s">
        <v>30</v>
      </c>
      <c r="V1675" s="1">
        <v>0</v>
      </c>
    </row>
    <row r="1676" spans="2:22" x14ac:dyDescent="0.15">
      <c r="B1676" s="1" t="str">
        <f>"189****8814"</f>
        <v>189****8814</v>
      </c>
      <c r="C1676" s="1" t="s">
        <v>23</v>
      </c>
      <c r="D1676" s="1" t="str">
        <f t="shared" si="165"/>
        <v>89177328</v>
      </c>
      <c r="E1676" s="1" t="s">
        <v>24</v>
      </c>
      <c r="F1676" s="1" t="str">
        <f t="shared" si="166"/>
        <v>0010</v>
      </c>
      <c r="G1676" s="1" t="str">
        <f>""</f>
        <v/>
      </c>
      <c r="H1676" s="1" t="str">
        <f>"0033"</f>
        <v>0033</v>
      </c>
      <c r="I1676" s="1" t="s">
        <v>106</v>
      </c>
      <c r="J1676" s="1" t="str">
        <f>"01043977567"</f>
        <v>01043977567</v>
      </c>
      <c r="K1676" s="1" t="str">
        <f>"2017-03-29 16:39:52"</f>
        <v>2017-03-29 16:39:52</v>
      </c>
      <c r="L1676" s="1" t="str">
        <f>"2017-03-29 16:40:03"</f>
        <v>2017-03-29 16:40:03</v>
      </c>
      <c r="M1676" s="2">
        <v>5.6597222222222222E-3</v>
      </c>
      <c r="N1676" s="1" t="s">
        <v>26</v>
      </c>
      <c r="O1676" s="1" t="s">
        <v>27</v>
      </c>
      <c r="P1676" s="2">
        <v>5.7870370370370376E-3</v>
      </c>
      <c r="Q1676" s="1" t="s">
        <v>1250</v>
      </c>
      <c r="R1676" s="1">
        <v>0</v>
      </c>
      <c r="S1676" s="1" t="str">
        <f>""</f>
        <v/>
      </c>
      <c r="T1676" s="1" t="s">
        <v>29</v>
      </c>
      <c r="U1676" s="1" t="s">
        <v>30</v>
      </c>
      <c r="V1676" s="1">
        <v>0</v>
      </c>
    </row>
    <row r="1677" spans="2:22" x14ac:dyDescent="0.15">
      <c r="B1677" s="1" t="str">
        <f>"137****8032"</f>
        <v>137****8032</v>
      </c>
      <c r="C1677" s="1" t="s">
        <v>23</v>
      </c>
      <c r="D1677" s="1" t="str">
        <f t="shared" si="165"/>
        <v>89177328</v>
      </c>
      <c r="E1677" s="1" t="s">
        <v>24</v>
      </c>
      <c r="F1677" s="1" t="str">
        <f t="shared" si="166"/>
        <v>0010</v>
      </c>
      <c r="G1677" s="1" t="str">
        <f>""</f>
        <v/>
      </c>
      <c r="H1677" s="1" t="str">
        <f>"0017"</f>
        <v>0017</v>
      </c>
      <c r="I1677" s="1" t="s">
        <v>135</v>
      </c>
      <c r="J1677" s="1" t="str">
        <f>"01043989717"</f>
        <v>01043989717</v>
      </c>
      <c r="K1677" s="1" t="str">
        <f>"2017-03-29 16:14:13"</f>
        <v>2017-03-29 16:14:13</v>
      </c>
      <c r="L1677" s="1" t="str">
        <f>"2017-03-29 16:14:20"</f>
        <v>2017-03-29 16:14:20</v>
      </c>
      <c r="M1677" s="2">
        <v>4.8379629629629632E-3</v>
      </c>
      <c r="N1677" s="1" t="s">
        <v>26</v>
      </c>
      <c r="O1677" s="1" t="s">
        <v>27</v>
      </c>
      <c r="P1677" s="2">
        <v>4.9189814814814816E-3</v>
      </c>
      <c r="Q1677" s="1" t="s">
        <v>1251</v>
      </c>
      <c r="R1677" s="1">
        <v>0</v>
      </c>
      <c r="S1677" s="1" t="str">
        <f>""</f>
        <v/>
      </c>
      <c r="T1677" s="1" t="s">
        <v>29</v>
      </c>
      <c r="U1677" s="1" t="s">
        <v>30</v>
      </c>
      <c r="V1677" s="1">
        <v>0</v>
      </c>
    </row>
    <row r="1678" spans="2:22" x14ac:dyDescent="0.15">
      <c r="B1678" s="1" t="str">
        <f>"186****8857"</f>
        <v>186****8857</v>
      </c>
      <c r="C1678" s="1" t="s">
        <v>908</v>
      </c>
      <c r="D1678" s="1" t="str">
        <f t="shared" si="165"/>
        <v>89177328</v>
      </c>
      <c r="E1678" s="1" t="s">
        <v>24</v>
      </c>
      <c r="F1678" s="1" t="str">
        <f t="shared" si="166"/>
        <v>0010</v>
      </c>
      <c r="G1678" s="1" t="str">
        <f>""</f>
        <v/>
      </c>
      <c r="H1678" s="1" t="str">
        <f>"0031"</f>
        <v>0031</v>
      </c>
      <c r="I1678" s="1" t="s">
        <v>95</v>
      </c>
      <c r="J1678" s="1" t="str">
        <f>"01043977565"</f>
        <v>01043977565</v>
      </c>
      <c r="K1678" s="1" t="str">
        <f>"2017-03-29 16:01:54"</f>
        <v>2017-03-29 16:01:54</v>
      </c>
      <c r="L1678" s="1" t="str">
        <f>"2017-03-29 16:02:01"</f>
        <v>2017-03-29 16:02:01</v>
      </c>
      <c r="M1678" s="2">
        <v>8.773148148148148E-3</v>
      </c>
      <c r="N1678" s="1" t="s">
        <v>26</v>
      </c>
      <c r="O1678" s="1" t="s">
        <v>27</v>
      </c>
      <c r="P1678" s="2">
        <v>8.8541666666666664E-3</v>
      </c>
      <c r="Q1678" s="1" t="s">
        <v>1252</v>
      </c>
      <c r="R1678" s="1">
        <v>0</v>
      </c>
      <c r="S1678" s="1" t="str">
        <f>""</f>
        <v/>
      </c>
      <c r="T1678" s="1" t="s">
        <v>29</v>
      </c>
      <c r="U1678" s="1" t="s">
        <v>30</v>
      </c>
      <c r="V1678" s="1">
        <v>0</v>
      </c>
    </row>
    <row r="1679" spans="2:22" x14ac:dyDescent="0.15">
      <c r="B1679" s="1" t="str">
        <f>"138****0459"</f>
        <v>138****0459</v>
      </c>
      <c r="C1679" s="1" t="s">
        <v>23</v>
      </c>
      <c r="D1679" s="1" t="str">
        <f t="shared" si="165"/>
        <v>89177328</v>
      </c>
      <c r="E1679" s="1" t="s">
        <v>24</v>
      </c>
      <c r="F1679" s="1" t="str">
        <f t="shared" si="166"/>
        <v>0010</v>
      </c>
      <c r="G1679" s="1" t="str">
        <f>""</f>
        <v/>
      </c>
      <c r="H1679" s="1" t="str">
        <f>"0018"</f>
        <v>0018</v>
      </c>
      <c r="I1679" s="1" t="s">
        <v>36</v>
      </c>
      <c r="J1679" s="1" t="str">
        <f>"01043989718"</f>
        <v>01043989718</v>
      </c>
      <c r="K1679" s="1" t="str">
        <f>"2017-03-29 15:50:37"</f>
        <v>2017-03-29 15:50:37</v>
      </c>
      <c r="L1679" s="1" t="str">
        <f>"2017-03-29 15:50:45"</f>
        <v>2017-03-29 15:50:45</v>
      </c>
      <c r="M1679" s="2">
        <v>5.5902777777777782E-3</v>
      </c>
      <c r="N1679" s="1" t="s">
        <v>26</v>
      </c>
      <c r="O1679" s="1" t="s">
        <v>34</v>
      </c>
      <c r="P1679" s="2">
        <v>5.6828703703703702E-3</v>
      </c>
      <c r="Q1679" s="1" t="s">
        <v>1253</v>
      </c>
      <c r="R1679" s="1">
        <v>0</v>
      </c>
      <c r="S1679" s="1" t="str">
        <f>""</f>
        <v/>
      </c>
      <c r="T1679" s="1" t="s">
        <v>29</v>
      </c>
      <c r="U1679" s="1" t="s">
        <v>30</v>
      </c>
      <c r="V1679" s="1">
        <v>0</v>
      </c>
    </row>
    <row r="1680" spans="2:22" x14ac:dyDescent="0.15">
      <c r="B1680" s="1" t="str">
        <f>"189****0009"</f>
        <v>189****0009</v>
      </c>
      <c r="C1680" s="1" t="s">
        <v>99</v>
      </c>
      <c r="D1680" s="1" t="str">
        <f t="shared" si="165"/>
        <v>89177328</v>
      </c>
      <c r="E1680" s="1" t="s">
        <v>24</v>
      </c>
      <c r="F1680" s="1" t="str">
        <f t="shared" si="166"/>
        <v>0010</v>
      </c>
      <c r="G1680" s="1" t="str">
        <f>""</f>
        <v/>
      </c>
      <c r="H1680" s="1" t="str">
        <f>"0012"</f>
        <v>0012</v>
      </c>
      <c r="I1680" s="1" t="s">
        <v>612</v>
      </c>
      <c r="J1680" s="1" t="str">
        <f>"01043989720"</f>
        <v>01043989720</v>
      </c>
      <c r="K1680" s="1" t="str">
        <f>"2017-03-29 15:48:20"</f>
        <v>2017-03-29 15:48:20</v>
      </c>
      <c r="L1680" s="1" t="str">
        <f>"2017-03-29 15:48:32"</f>
        <v>2017-03-29 15:48:32</v>
      </c>
      <c r="M1680" s="2">
        <v>1.3680555555555555E-2</v>
      </c>
      <c r="N1680" s="1" t="s">
        <v>26</v>
      </c>
      <c r="O1680" s="1" t="s">
        <v>34</v>
      </c>
      <c r="P1680" s="2">
        <v>1.3819444444444445E-2</v>
      </c>
      <c r="Q1680" s="1" t="s">
        <v>1254</v>
      </c>
      <c r="R1680" s="1">
        <v>0</v>
      </c>
      <c r="S1680" s="1" t="str">
        <f>""</f>
        <v/>
      </c>
      <c r="T1680" s="1" t="s">
        <v>29</v>
      </c>
      <c r="U1680" s="1" t="s">
        <v>30</v>
      </c>
      <c r="V1680" s="1">
        <v>0</v>
      </c>
    </row>
    <row r="1681" spans="2:22" x14ac:dyDescent="0.15">
      <c r="B1681" s="1" t="str">
        <f>"188****3118"</f>
        <v>188****3118</v>
      </c>
      <c r="C1681" s="1" t="s">
        <v>23</v>
      </c>
      <c r="D1681" s="1" t="str">
        <f t="shared" si="165"/>
        <v>89177328</v>
      </c>
      <c r="E1681" s="1" t="s">
        <v>24</v>
      </c>
      <c r="F1681" s="1" t="str">
        <f t="shared" si="166"/>
        <v>0010</v>
      </c>
      <c r="G1681" s="1" t="str">
        <f>""</f>
        <v/>
      </c>
      <c r="H1681" s="1" t="str">
        <f>"0034"</f>
        <v>0034</v>
      </c>
      <c r="I1681" s="1" t="s">
        <v>31</v>
      </c>
      <c r="J1681" s="1" t="str">
        <f>"01043977568"</f>
        <v>01043977568</v>
      </c>
      <c r="K1681" s="1" t="str">
        <f>"2017-03-29 15:32:46"</f>
        <v>2017-03-29 15:32:46</v>
      </c>
      <c r="L1681" s="1" t="str">
        <f>"2017-03-29 15:32:57"</f>
        <v>2017-03-29 15:32:57</v>
      </c>
      <c r="M1681" s="2">
        <v>6.782407407407408E-3</v>
      </c>
      <c r="N1681" s="1" t="s">
        <v>26</v>
      </c>
      <c r="O1681" s="1" t="s">
        <v>27</v>
      </c>
      <c r="P1681" s="2">
        <v>6.9097222222222225E-3</v>
      </c>
      <c r="Q1681" s="1" t="s">
        <v>1255</v>
      </c>
      <c r="R1681" s="1">
        <v>0</v>
      </c>
      <c r="S1681" s="1" t="str">
        <f>""</f>
        <v/>
      </c>
      <c r="T1681" s="1" t="s">
        <v>29</v>
      </c>
      <c r="U1681" s="1" t="s">
        <v>30</v>
      </c>
      <c r="V1681" s="1">
        <v>0</v>
      </c>
    </row>
    <row r="1682" spans="2:22" x14ac:dyDescent="0.15">
      <c r="B1682" s="1" t="str">
        <f>"136****1951"</f>
        <v>136****1951</v>
      </c>
      <c r="C1682" s="1" t="s">
        <v>23</v>
      </c>
      <c r="D1682" s="1" t="str">
        <f t="shared" ref="D1682:D1683" si="167">"89177328"</f>
        <v>89177328</v>
      </c>
      <c r="E1682" s="1" t="s">
        <v>24</v>
      </c>
      <c r="F1682" s="1" t="str">
        <f t="shared" ref="F1682:F1683" si="168">"0010"</f>
        <v>0010</v>
      </c>
      <c r="G1682" s="1" t="str">
        <f>""</f>
        <v/>
      </c>
      <c r="H1682" s="1" t="str">
        <f>"0034"</f>
        <v>0034</v>
      </c>
      <c r="I1682" s="1" t="s">
        <v>31</v>
      </c>
      <c r="J1682" s="1" t="str">
        <f>"01043977568"</f>
        <v>01043977568</v>
      </c>
      <c r="K1682" s="1" t="str">
        <f>"2017-03-29 15:14:17"</f>
        <v>2017-03-29 15:14:17</v>
      </c>
      <c r="L1682" s="1" t="str">
        <f>"2017-03-29 15:14:28"</f>
        <v>2017-03-29 15:14:28</v>
      </c>
      <c r="M1682" s="2">
        <v>1.1018518518518518E-2</v>
      </c>
      <c r="N1682" s="1" t="s">
        <v>26</v>
      </c>
      <c r="O1682" s="1" t="s">
        <v>34</v>
      </c>
      <c r="P1682" s="2">
        <v>1.1145833333333334E-2</v>
      </c>
      <c r="Q1682" s="1" t="s">
        <v>1256</v>
      </c>
      <c r="R1682" s="1">
        <v>0</v>
      </c>
      <c r="S1682" s="1" t="str">
        <f>""</f>
        <v/>
      </c>
      <c r="T1682" s="1" t="s">
        <v>29</v>
      </c>
      <c r="U1682" s="1" t="s">
        <v>30</v>
      </c>
      <c r="V1682" s="1">
        <v>0</v>
      </c>
    </row>
    <row r="1683" spans="2:22" x14ac:dyDescent="0.15">
      <c r="B1683" s="1" t="str">
        <f>"158****0729"</f>
        <v>158****0729</v>
      </c>
      <c r="C1683" s="1" t="s">
        <v>23</v>
      </c>
      <c r="D1683" s="1" t="str">
        <f t="shared" si="167"/>
        <v>89177328</v>
      </c>
      <c r="E1683" s="1" t="s">
        <v>24</v>
      </c>
      <c r="F1683" s="1" t="str">
        <f t="shared" si="168"/>
        <v>0010</v>
      </c>
      <c r="G1683" s="1" t="str">
        <f>""</f>
        <v/>
      </c>
      <c r="H1683" s="1" t="str">
        <f>"0012"</f>
        <v>0012</v>
      </c>
      <c r="I1683" s="1" t="s">
        <v>612</v>
      </c>
      <c r="J1683" s="1" t="str">
        <f>"01043989720"</f>
        <v>01043989720</v>
      </c>
      <c r="K1683" s="1" t="str">
        <f>"2017-03-29 14:54:16"</f>
        <v>2017-03-29 14:54:16</v>
      </c>
      <c r="L1683" s="1" t="str">
        <f>"2017-03-29 14:54:26"</f>
        <v>2017-03-29 14:54:26</v>
      </c>
      <c r="M1683" s="2">
        <v>5.3125000000000004E-3</v>
      </c>
      <c r="N1683" s="1" t="s">
        <v>26</v>
      </c>
      <c r="O1683" s="1" t="s">
        <v>27</v>
      </c>
      <c r="P1683" s="2">
        <v>5.4282407407407404E-3</v>
      </c>
      <c r="Q1683" s="1" t="s">
        <v>1257</v>
      </c>
      <c r="R1683" s="1">
        <v>0</v>
      </c>
      <c r="S1683" s="1" t="str">
        <f>""</f>
        <v/>
      </c>
      <c r="T1683" s="1" t="s">
        <v>29</v>
      </c>
      <c r="U1683" s="1" t="s">
        <v>30</v>
      </c>
      <c r="V1683" s="1">
        <v>0</v>
      </c>
    </row>
    <row r="1684" spans="2:22" x14ac:dyDescent="0.15">
      <c r="B1684" s="1" t="str">
        <f>"010****4873"</f>
        <v>010****4873</v>
      </c>
      <c r="C1684" s="1" t="s">
        <v>23</v>
      </c>
      <c r="D1684" s="1" t="str">
        <f>"4000108333"</f>
        <v>4000108333</v>
      </c>
      <c r="E1684" s="1" t="s">
        <v>53</v>
      </c>
      <c r="F1684" s="1" t="str">
        <f>"0000"</f>
        <v>0000</v>
      </c>
      <c r="G1684" s="1" t="str">
        <f>""</f>
        <v/>
      </c>
      <c r="H1684" s="1" t="str">
        <f>"1010"</f>
        <v>1010</v>
      </c>
      <c r="I1684" s="1" t="s">
        <v>148</v>
      </c>
      <c r="J1684" s="1" t="str">
        <f>"13718091869"</f>
        <v>13718091869</v>
      </c>
      <c r="K1684" s="1" t="str">
        <f>"2017-03-29 14:34:44"</f>
        <v>2017-03-29 14:34:44</v>
      </c>
      <c r="L1684" s="1" t="str">
        <f>"2017-03-29 14:35:20"</f>
        <v>2017-03-29 14:35:20</v>
      </c>
      <c r="M1684" s="2">
        <v>2.3148148148148147E-5</v>
      </c>
      <c r="N1684" s="1" t="s">
        <v>26</v>
      </c>
      <c r="O1684" s="1" t="s">
        <v>34</v>
      </c>
      <c r="P1684" s="2">
        <v>4.3981481481481481E-4</v>
      </c>
      <c r="Q1684" s="1" t="str">
        <f>""</f>
        <v/>
      </c>
      <c r="R1684" s="1">
        <v>0.12</v>
      </c>
      <c r="S1684" s="1" t="str">
        <f>""</f>
        <v/>
      </c>
      <c r="T1684" s="1" t="s">
        <v>29</v>
      </c>
      <c r="U1684" s="1" t="s">
        <v>30</v>
      </c>
      <c r="V1684" s="1">
        <v>0</v>
      </c>
    </row>
    <row r="1685" spans="2:22" x14ac:dyDescent="0.15">
      <c r="B1685" s="1" t="str">
        <f>"183****7598"</f>
        <v>183****7598</v>
      </c>
      <c r="C1685" s="1" t="s">
        <v>23</v>
      </c>
      <c r="D1685" s="1" t="str">
        <f t="shared" ref="D1685:D1731" si="169">"89177328"</f>
        <v>89177328</v>
      </c>
      <c r="E1685" s="1" t="s">
        <v>24</v>
      </c>
      <c r="F1685" s="1" t="str">
        <f t="shared" ref="F1685:F1731" si="170">"0010"</f>
        <v>0010</v>
      </c>
      <c r="G1685" s="1" t="str">
        <f>""</f>
        <v/>
      </c>
      <c r="H1685" s="1" t="str">
        <f>"0033"</f>
        <v>0033</v>
      </c>
      <c r="I1685" s="1" t="s">
        <v>106</v>
      </c>
      <c r="J1685" s="1" t="str">
        <f>"01043977567"</f>
        <v>01043977567</v>
      </c>
      <c r="K1685" s="1" t="str">
        <f>"2017-03-29 14:32:55"</f>
        <v>2017-03-29 14:32:55</v>
      </c>
      <c r="L1685" s="1" t="str">
        <f>"2017-03-29 14:33:06"</f>
        <v>2017-03-29 14:33:06</v>
      </c>
      <c r="M1685" s="2">
        <v>9.1435185185185185E-4</v>
      </c>
      <c r="N1685" s="1" t="s">
        <v>26</v>
      </c>
      <c r="O1685" s="1" t="s">
        <v>27</v>
      </c>
      <c r="P1685" s="2">
        <v>1.0416666666666667E-3</v>
      </c>
      <c r="Q1685" s="1" t="s">
        <v>1258</v>
      </c>
      <c r="R1685" s="1">
        <v>0</v>
      </c>
      <c r="S1685" s="1" t="str">
        <f>""</f>
        <v/>
      </c>
      <c r="T1685" s="1" t="s">
        <v>29</v>
      </c>
      <c r="U1685" s="1" t="s">
        <v>30</v>
      </c>
      <c r="V1685" s="1">
        <v>0</v>
      </c>
    </row>
    <row r="1686" spans="2:22" x14ac:dyDescent="0.15">
      <c r="B1686" s="1" t="str">
        <f>"136****6726"</f>
        <v>136****6726</v>
      </c>
      <c r="C1686" s="1" t="s">
        <v>23</v>
      </c>
      <c r="D1686" s="1" t="str">
        <f t="shared" si="169"/>
        <v>89177328</v>
      </c>
      <c r="E1686" s="1" t="s">
        <v>24</v>
      </c>
      <c r="F1686" s="1" t="str">
        <f t="shared" si="170"/>
        <v>0010</v>
      </c>
      <c r="G1686" s="1" t="str">
        <f>""</f>
        <v/>
      </c>
      <c r="H1686" s="1" t="str">
        <f>"0012"</f>
        <v>0012</v>
      </c>
      <c r="I1686" s="1" t="s">
        <v>612</v>
      </c>
      <c r="J1686" s="1" t="str">
        <f>"01043989720"</f>
        <v>01043989720</v>
      </c>
      <c r="K1686" s="1" t="str">
        <f>"2017-03-29 14:30:01"</f>
        <v>2017-03-29 14:30:01</v>
      </c>
      <c r="L1686" s="1" t="str">
        <f>"-"</f>
        <v>-</v>
      </c>
      <c r="M1686" s="2">
        <v>0</v>
      </c>
      <c r="N1686" s="1" t="s">
        <v>33</v>
      </c>
      <c r="O1686" s="1" t="s">
        <v>34</v>
      </c>
      <c r="P1686" s="2">
        <v>1.1574074074074073E-4</v>
      </c>
      <c r="Q1686" s="1" t="str">
        <f>""</f>
        <v/>
      </c>
      <c r="R1686" s="1">
        <v>0</v>
      </c>
      <c r="S1686" s="1" t="str">
        <f>""</f>
        <v/>
      </c>
      <c r="T1686" s="1" t="s">
        <v>29</v>
      </c>
      <c r="U1686" s="1" t="s">
        <v>30</v>
      </c>
      <c r="V1686" s="1">
        <v>0</v>
      </c>
    </row>
    <row r="1687" spans="2:22" x14ac:dyDescent="0.15">
      <c r="B1687" s="1" t="str">
        <f>"158****0555"</f>
        <v>158****0555</v>
      </c>
      <c r="C1687" s="1" t="s">
        <v>226</v>
      </c>
      <c r="D1687" s="1" t="str">
        <f t="shared" si="169"/>
        <v>89177328</v>
      </c>
      <c r="E1687" s="1" t="s">
        <v>24</v>
      </c>
      <c r="F1687" s="1" t="str">
        <f t="shared" si="170"/>
        <v>0010</v>
      </c>
      <c r="G1687" s="1" t="str">
        <f>""</f>
        <v/>
      </c>
      <c r="H1687" s="1" t="str">
        <f>"0017"</f>
        <v>0017</v>
      </c>
      <c r="I1687" s="1" t="s">
        <v>135</v>
      </c>
      <c r="J1687" s="1" t="str">
        <f>"01043989717"</f>
        <v>01043989717</v>
      </c>
      <c r="K1687" s="1" t="str">
        <f>"2017-03-29 14:15:23"</f>
        <v>2017-03-29 14:15:23</v>
      </c>
      <c r="L1687" s="1" t="str">
        <f>"2017-03-29 14:15:32"</f>
        <v>2017-03-29 14:15:32</v>
      </c>
      <c r="M1687" s="2">
        <v>5.9606481481481489E-3</v>
      </c>
      <c r="N1687" s="1" t="s">
        <v>26</v>
      </c>
      <c r="O1687" s="1" t="s">
        <v>27</v>
      </c>
      <c r="P1687" s="2">
        <v>6.0648148148148145E-3</v>
      </c>
      <c r="Q1687" s="1" t="s">
        <v>1259</v>
      </c>
      <c r="R1687" s="1">
        <v>0</v>
      </c>
      <c r="S1687" s="1" t="str">
        <f>""</f>
        <v/>
      </c>
      <c r="T1687" s="1" t="s">
        <v>29</v>
      </c>
      <c r="U1687" s="1" t="s">
        <v>30</v>
      </c>
      <c r="V1687" s="1">
        <v>0</v>
      </c>
    </row>
    <row r="1688" spans="2:22" x14ac:dyDescent="0.15">
      <c r="B1688" s="1" t="str">
        <f>"010****1287"</f>
        <v>010****1287</v>
      </c>
      <c r="C1688" s="1" t="s">
        <v>23</v>
      </c>
      <c r="D1688" s="1" t="str">
        <f t="shared" si="169"/>
        <v>89177328</v>
      </c>
      <c r="E1688" s="1" t="s">
        <v>24</v>
      </c>
      <c r="F1688" s="1" t="str">
        <f t="shared" si="170"/>
        <v>0010</v>
      </c>
      <c r="G1688" s="1" t="str">
        <f>""</f>
        <v/>
      </c>
      <c r="H1688" s="1" t="str">
        <f>"0010"</f>
        <v>0010</v>
      </c>
      <c r="I1688" s="1" t="s">
        <v>71</v>
      </c>
      <c r="J1688" s="1" t="str">
        <f>"01043989719"</f>
        <v>01043989719</v>
      </c>
      <c r="K1688" s="1" t="str">
        <f>"2017-03-29 14:05:32"</f>
        <v>2017-03-29 14:05:32</v>
      </c>
      <c r="L1688" s="1" t="str">
        <f>"2017-03-29 14:05:39"</f>
        <v>2017-03-29 14:05:39</v>
      </c>
      <c r="M1688" s="2">
        <v>1.5335648148148147E-2</v>
      </c>
      <c r="N1688" s="1" t="s">
        <v>26</v>
      </c>
      <c r="O1688" s="1" t="s">
        <v>34</v>
      </c>
      <c r="P1688" s="2">
        <v>1.5416666666666667E-2</v>
      </c>
      <c r="Q1688" s="1" t="s">
        <v>1260</v>
      </c>
      <c r="R1688" s="1">
        <v>0</v>
      </c>
      <c r="S1688" s="1" t="str">
        <f>""</f>
        <v/>
      </c>
      <c r="T1688" s="1" t="s">
        <v>29</v>
      </c>
      <c r="U1688" s="1" t="s">
        <v>30</v>
      </c>
      <c r="V1688" s="1">
        <v>0</v>
      </c>
    </row>
    <row r="1689" spans="2:22" x14ac:dyDescent="0.15">
      <c r="B1689" s="1" t="str">
        <f>"158****1361"</f>
        <v>158****1361</v>
      </c>
      <c r="C1689" s="1" t="s">
        <v>226</v>
      </c>
      <c r="D1689" s="1" t="str">
        <f t="shared" si="169"/>
        <v>89177328</v>
      </c>
      <c r="E1689" s="1" t="s">
        <v>24</v>
      </c>
      <c r="F1689" s="1" t="str">
        <f t="shared" si="170"/>
        <v>0010</v>
      </c>
      <c r="G1689" s="1" t="str">
        <f>""</f>
        <v/>
      </c>
      <c r="H1689" s="1" t="str">
        <f>"0034"</f>
        <v>0034</v>
      </c>
      <c r="I1689" s="1" t="s">
        <v>31</v>
      </c>
      <c r="J1689" s="1" t="str">
        <f>"01043977568"</f>
        <v>01043977568</v>
      </c>
      <c r="K1689" s="1" t="str">
        <f>"2017-03-29 14:00:38"</f>
        <v>2017-03-29 14:00:38</v>
      </c>
      <c r="L1689" s="1" t="str">
        <f>"2017-03-29 14:01:23"</f>
        <v>2017-03-29 14:01:23</v>
      </c>
      <c r="M1689" s="2">
        <v>4.0624999999999993E-3</v>
      </c>
      <c r="N1689" s="1" t="s">
        <v>26</v>
      </c>
      <c r="O1689" s="1" t="s">
        <v>34</v>
      </c>
      <c r="P1689" s="2">
        <v>4.5833333333333334E-3</v>
      </c>
      <c r="Q1689" s="1" t="s">
        <v>1261</v>
      </c>
      <c r="R1689" s="1">
        <v>0</v>
      </c>
      <c r="S1689" s="1" t="str">
        <f>""</f>
        <v/>
      </c>
      <c r="T1689" s="1" t="s">
        <v>29</v>
      </c>
      <c r="U1689" s="1" t="s">
        <v>30</v>
      </c>
      <c r="V1689" s="1">
        <v>0</v>
      </c>
    </row>
    <row r="1690" spans="2:22" x14ac:dyDescent="0.15">
      <c r="B1690" s="1" t="str">
        <f>"010****0433"</f>
        <v>010****0433</v>
      </c>
      <c r="C1690" s="1" t="s">
        <v>23</v>
      </c>
      <c r="D1690" s="1" t="str">
        <f t="shared" si="169"/>
        <v>89177328</v>
      </c>
      <c r="E1690" s="1" t="s">
        <v>24</v>
      </c>
      <c r="F1690" s="1" t="str">
        <f t="shared" si="170"/>
        <v>0010</v>
      </c>
      <c r="G1690" s="1" t="str">
        <f>""</f>
        <v/>
      </c>
      <c r="H1690" s="1" t="str">
        <f>"0035"</f>
        <v>0035</v>
      </c>
      <c r="I1690" s="1" t="s">
        <v>25</v>
      </c>
      <c r="J1690" s="1" t="str">
        <f>"01043977569"</f>
        <v>01043977569</v>
      </c>
      <c r="K1690" s="1" t="str">
        <f>"2017-03-29 14:00:06"</f>
        <v>2017-03-29 14:00:06</v>
      </c>
      <c r="L1690" s="1" t="str">
        <f>"2017-03-29 14:00:16"</f>
        <v>2017-03-29 14:00:16</v>
      </c>
      <c r="M1690" s="2">
        <v>3.9930555555555561E-3</v>
      </c>
      <c r="N1690" s="1" t="s">
        <v>26</v>
      </c>
      <c r="O1690" s="1" t="s">
        <v>27</v>
      </c>
      <c r="P1690" s="2">
        <v>4.108796296296297E-3</v>
      </c>
      <c r="Q1690" s="1" t="s">
        <v>1262</v>
      </c>
      <c r="R1690" s="1">
        <v>0</v>
      </c>
      <c r="S1690" s="1" t="str">
        <f>""</f>
        <v/>
      </c>
      <c r="T1690" s="1" t="s">
        <v>29</v>
      </c>
      <c r="U1690" s="1" t="s">
        <v>30</v>
      </c>
      <c r="V1690" s="1">
        <v>0</v>
      </c>
    </row>
    <row r="1691" spans="2:22" x14ac:dyDescent="0.15">
      <c r="B1691" s="1" t="str">
        <f>"182****8800"</f>
        <v>182****8800</v>
      </c>
      <c r="C1691" s="1" t="s">
        <v>1263</v>
      </c>
      <c r="D1691" s="1" t="str">
        <f t="shared" si="169"/>
        <v>89177328</v>
      </c>
      <c r="E1691" s="1" t="s">
        <v>24</v>
      </c>
      <c r="F1691" s="1" t="str">
        <f t="shared" si="170"/>
        <v>0010</v>
      </c>
      <c r="G1691" s="1" t="str">
        <f>""</f>
        <v/>
      </c>
      <c r="H1691" s="1" t="str">
        <f>""</f>
        <v/>
      </c>
      <c r="I1691" s="1" t="str">
        <f>""</f>
        <v/>
      </c>
      <c r="J1691" s="1" t="str">
        <f>""</f>
        <v/>
      </c>
      <c r="K1691" s="1" t="str">
        <f>"2017-03-29 13:46:20"</f>
        <v>2017-03-29 13:46:20</v>
      </c>
      <c r="L1691" s="1" t="str">
        <f>"-"</f>
        <v>-</v>
      </c>
      <c r="M1691" s="2">
        <v>0</v>
      </c>
      <c r="N1691" s="1" t="s">
        <v>55</v>
      </c>
      <c r="O1691" s="1" t="s">
        <v>34</v>
      </c>
      <c r="P1691" s="2">
        <v>2.1874999999999998E-3</v>
      </c>
      <c r="Q1691" s="1" t="str">
        <f>""</f>
        <v/>
      </c>
      <c r="R1691" s="1">
        <v>0</v>
      </c>
      <c r="S1691" s="1" t="str">
        <f>""</f>
        <v/>
      </c>
      <c r="T1691" s="1" t="s">
        <v>29</v>
      </c>
      <c r="U1691" s="1" t="s">
        <v>30</v>
      </c>
      <c r="V1691" s="1">
        <v>0</v>
      </c>
    </row>
    <row r="1692" spans="2:22" x14ac:dyDescent="0.15">
      <c r="B1692" s="1" t="str">
        <f>"138****0578"</f>
        <v>138****0578</v>
      </c>
      <c r="C1692" s="1" t="s">
        <v>237</v>
      </c>
      <c r="D1692" s="1" t="str">
        <f t="shared" si="169"/>
        <v>89177328</v>
      </c>
      <c r="E1692" s="1" t="s">
        <v>24</v>
      </c>
      <c r="F1692" s="1" t="str">
        <f t="shared" si="170"/>
        <v>0010</v>
      </c>
      <c r="G1692" s="1" t="str">
        <f>""</f>
        <v/>
      </c>
      <c r="H1692" s="1" t="str">
        <f>"0035"</f>
        <v>0035</v>
      </c>
      <c r="I1692" s="1" t="s">
        <v>25</v>
      </c>
      <c r="J1692" s="1" t="str">
        <f>"01043977569"</f>
        <v>01043977569</v>
      </c>
      <c r="K1692" s="1" t="str">
        <f>"2017-03-29 13:46:14"</f>
        <v>2017-03-29 13:46:14</v>
      </c>
      <c r="L1692" s="1" t="str">
        <f>"2017-03-29 13:46:23"</f>
        <v>2017-03-29 13:46:23</v>
      </c>
      <c r="M1692" s="2">
        <v>2.3495370370370371E-3</v>
      </c>
      <c r="N1692" s="1" t="s">
        <v>26</v>
      </c>
      <c r="O1692" s="1" t="s">
        <v>27</v>
      </c>
      <c r="P1692" s="2">
        <v>2.4537037037037036E-3</v>
      </c>
      <c r="Q1692" s="1" t="s">
        <v>1264</v>
      </c>
      <c r="R1692" s="1">
        <v>0</v>
      </c>
      <c r="S1692" s="1" t="str">
        <f>""</f>
        <v/>
      </c>
      <c r="T1692" s="1" t="s">
        <v>29</v>
      </c>
      <c r="U1692" s="1" t="s">
        <v>30</v>
      </c>
      <c r="V1692" s="1">
        <v>0</v>
      </c>
    </row>
    <row r="1693" spans="2:22" x14ac:dyDescent="0.15">
      <c r="B1693" s="1" t="str">
        <f>"132****3308"</f>
        <v>132****3308</v>
      </c>
      <c r="C1693" s="1" t="s">
        <v>531</v>
      </c>
      <c r="D1693" s="1" t="str">
        <f t="shared" si="169"/>
        <v>89177328</v>
      </c>
      <c r="E1693" s="1" t="s">
        <v>24</v>
      </c>
      <c r="F1693" s="1" t="str">
        <f t="shared" si="170"/>
        <v>0010</v>
      </c>
      <c r="G1693" s="1" t="str">
        <f>""</f>
        <v/>
      </c>
      <c r="H1693" s="1" t="str">
        <f>"0034"</f>
        <v>0034</v>
      </c>
      <c r="I1693" s="1" t="s">
        <v>31</v>
      </c>
      <c r="J1693" s="1" t="str">
        <f>"01043977568"</f>
        <v>01043977568</v>
      </c>
      <c r="K1693" s="1" t="str">
        <f>"2017-03-29 13:43:24"</f>
        <v>2017-03-29 13:43:24</v>
      </c>
      <c r="L1693" s="1" t="str">
        <f>"2017-03-29 13:43:34"</f>
        <v>2017-03-29 13:43:34</v>
      </c>
      <c r="M1693" s="2">
        <v>1.2152777777777778E-2</v>
      </c>
      <c r="N1693" s="1" t="s">
        <v>26</v>
      </c>
      <c r="O1693" s="1" t="s">
        <v>34</v>
      </c>
      <c r="P1693" s="2">
        <v>1.2268518518518519E-2</v>
      </c>
      <c r="Q1693" s="1" t="s">
        <v>1265</v>
      </c>
      <c r="R1693" s="1">
        <v>0</v>
      </c>
      <c r="S1693" s="1" t="str">
        <f>""</f>
        <v/>
      </c>
      <c r="T1693" s="1" t="s">
        <v>29</v>
      </c>
      <c r="U1693" s="1" t="s">
        <v>30</v>
      </c>
      <c r="V1693" s="1">
        <v>0</v>
      </c>
    </row>
    <row r="1694" spans="2:22" x14ac:dyDescent="0.15">
      <c r="B1694" s="1" t="str">
        <f>"131****2388"</f>
        <v>131****2388</v>
      </c>
      <c r="C1694" s="1" t="s">
        <v>23</v>
      </c>
      <c r="D1694" s="1" t="str">
        <f t="shared" si="169"/>
        <v>89177328</v>
      </c>
      <c r="E1694" s="1" t="s">
        <v>24</v>
      </c>
      <c r="F1694" s="1" t="str">
        <f t="shared" si="170"/>
        <v>0010</v>
      </c>
      <c r="G1694" s="1" t="str">
        <f>""</f>
        <v/>
      </c>
      <c r="H1694" s="1" t="str">
        <f>"0034"</f>
        <v>0034</v>
      </c>
      <c r="I1694" s="1" t="s">
        <v>31</v>
      </c>
      <c r="J1694" s="1" t="str">
        <f>"01043977568"</f>
        <v>01043977568</v>
      </c>
      <c r="K1694" s="1" t="str">
        <f>"2017-03-29 13:07:28"</f>
        <v>2017-03-29 13:07:28</v>
      </c>
      <c r="L1694" s="1" t="str">
        <f>"-"</f>
        <v>-</v>
      </c>
      <c r="M1694" s="2">
        <v>0</v>
      </c>
      <c r="N1694" s="1" t="s">
        <v>33</v>
      </c>
      <c r="O1694" s="1" t="s">
        <v>34</v>
      </c>
      <c r="P1694" s="2">
        <v>1.1574074074074073E-5</v>
      </c>
      <c r="Q1694" s="1" t="str">
        <f>""</f>
        <v/>
      </c>
      <c r="R1694" s="1">
        <v>0</v>
      </c>
      <c r="S1694" s="1" t="str">
        <f>""</f>
        <v/>
      </c>
      <c r="T1694" s="1" t="s">
        <v>29</v>
      </c>
      <c r="U1694" s="1" t="s">
        <v>30</v>
      </c>
      <c r="V1694" s="1">
        <v>0</v>
      </c>
    </row>
    <row r="1695" spans="2:22" x14ac:dyDescent="0.15">
      <c r="B1695" s="1" t="str">
        <f>"139****3240"</f>
        <v>139****3240</v>
      </c>
      <c r="C1695" s="1" t="s">
        <v>23</v>
      </c>
      <c r="D1695" s="1" t="str">
        <f t="shared" si="169"/>
        <v>89177328</v>
      </c>
      <c r="E1695" s="1" t="s">
        <v>24</v>
      </c>
      <c r="F1695" s="1" t="str">
        <f t="shared" si="170"/>
        <v>0010</v>
      </c>
      <c r="G1695" s="1" t="str">
        <f>""</f>
        <v/>
      </c>
      <c r="H1695" s="1" t="str">
        <f>"0033"</f>
        <v>0033</v>
      </c>
      <c r="I1695" s="1" t="s">
        <v>106</v>
      </c>
      <c r="J1695" s="1" t="str">
        <f>"01043977567"</f>
        <v>01043977567</v>
      </c>
      <c r="K1695" s="1" t="str">
        <f>"2017-03-29 12:43:18"</f>
        <v>2017-03-29 12:43:18</v>
      </c>
      <c r="L1695" s="1" t="str">
        <f>"2017-03-29 12:43:27"</f>
        <v>2017-03-29 12:43:27</v>
      </c>
      <c r="M1695" s="2">
        <v>5.5671296296296302E-3</v>
      </c>
      <c r="N1695" s="1" t="s">
        <v>26</v>
      </c>
      <c r="O1695" s="1" t="s">
        <v>27</v>
      </c>
      <c r="P1695" s="2">
        <v>5.6712962962962958E-3</v>
      </c>
      <c r="Q1695" s="1" t="s">
        <v>1266</v>
      </c>
      <c r="R1695" s="1">
        <v>0</v>
      </c>
      <c r="S1695" s="1" t="str">
        <f>""</f>
        <v/>
      </c>
      <c r="T1695" s="1" t="s">
        <v>29</v>
      </c>
      <c r="U1695" s="1" t="s">
        <v>30</v>
      </c>
      <c r="V1695" s="1">
        <v>0</v>
      </c>
    </row>
    <row r="1696" spans="2:22" x14ac:dyDescent="0.15">
      <c r="B1696" s="1" t="str">
        <f>"130****5656"</f>
        <v>130****5656</v>
      </c>
      <c r="C1696" s="1" t="s">
        <v>112</v>
      </c>
      <c r="D1696" s="1" t="str">
        <f t="shared" si="169"/>
        <v>89177328</v>
      </c>
      <c r="E1696" s="1" t="s">
        <v>24</v>
      </c>
      <c r="F1696" s="1" t="str">
        <f t="shared" si="170"/>
        <v>0010</v>
      </c>
      <c r="G1696" s="1" t="str">
        <f>""</f>
        <v/>
      </c>
      <c r="H1696" s="1" t="str">
        <f>"0034"</f>
        <v>0034</v>
      </c>
      <c r="I1696" s="1" t="s">
        <v>31</v>
      </c>
      <c r="J1696" s="1" t="str">
        <f>"01043977568"</f>
        <v>01043977568</v>
      </c>
      <c r="K1696" s="1" t="str">
        <f>"2017-03-29 12:22:48"</f>
        <v>2017-03-29 12:22:48</v>
      </c>
      <c r="L1696" s="1" t="str">
        <f>"-"</f>
        <v>-</v>
      </c>
      <c r="M1696" s="2">
        <v>0</v>
      </c>
      <c r="N1696" s="1" t="s">
        <v>33</v>
      </c>
      <c r="O1696" s="1" t="s">
        <v>34</v>
      </c>
      <c r="P1696" s="2">
        <v>6.9444444444444444E-5</v>
      </c>
      <c r="Q1696" s="1" t="str">
        <f>""</f>
        <v/>
      </c>
      <c r="R1696" s="1">
        <v>0</v>
      </c>
      <c r="S1696" s="1" t="str">
        <f>""</f>
        <v/>
      </c>
      <c r="T1696" s="1" t="s">
        <v>29</v>
      </c>
      <c r="U1696" s="1" t="s">
        <v>30</v>
      </c>
      <c r="V1696" s="1">
        <v>0</v>
      </c>
    </row>
    <row r="1697" spans="2:22" x14ac:dyDescent="0.15">
      <c r="B1697" s="1" t="str">
        <f>"177****0206"</f>
        <v>177****0206</v>
      </c>
      <c r="C1697" s="1" t="s">
        <v>23</v>
      </c>
      <c r="D1697" s="1" t="str">
        <f t="shared" si="169"/>
        <v>89177328</v>
      </c>
      <c r="E1697" s="1" t="s">
        <v>24</v>
      </c>
      <c r="F1697" s="1" t="str">
        <f t="shared" si="170"/>
        <v>0010</v>
      </c>
      <c r="G1697" s="1" t="str">
        <f>""</f>
        <v/>
      </c>
      <c r="H1697" s="1" t="str">
        <f>"0034"</f>
        <v>0034</v>
      </c>
      <c r="I1697" s="1" t="s">
        <v>31</v>
      </c>
      <c r="J1697" s="1" t="str">
        <f>"01043977568"</f>
        <v>01043977568</v>
      </c>
      <c r="K1697" s="1" t="str">
        <f>"2017-03-29 12:19:07"</f>
        <v>2017-03-29 12:19:07</v>
      </c>
      <c r="L1697" s="1" t="str">
        <f>"-"</f>
        <v>-</v>
      </c>
      <c r="M1697" s="2">
        <v>0</v>
      </c>
      <c r="N1697" s="1" t="s">
        <v>33</v>
      </c>
      <c r="O1697" s="1" t="s">
        <v>34</v>
      </c>
      <c r="P1697" s="2">
        <v>5.7870370370370366E-5</v>
      </c>
      <c r="Q1697" s="1" t="str">
        <f>""</f>
        <v/>
      </c>
      <c r="R1697" s="1">
        <v>0</v>
      </c>
      <c r="S1697" s="1" t="str">
        <f>""</f>
        <v/>
      </c>
      <c r="T1697" s="1" t="s">
        <v>29</v>
      </c>
      <c r="U1697" s="1" t="s">
        <v>30</v>
      </c>
      <c r="V1697" s="1">
        <v>0</v>
      </c>
    </row>
    <row r="1698" spans="2:22" x14ac:dyDescent="0.15">
      <c r="B1698" s="1" t="str">
        <f>"157****4678"</f>
        <v>157****4678</v>
      </c>
      <c r="C1698" s="1" t="s">
        <v>23</v>
      </c>
      <c r="D1698" s="1" t="str">
        <f t="shared" si="169"/>
        <v>89177328</v>
      </c>
      <c r="E1698" s="1" t="s">
        <v>24</v>
      </c>
      <c r="F1698" s="1" t="str">
        <f t="shared" si="170"/>
        <v>0010</v>
      </c>
      <c r="G1698" s="1" t="str">
        <f>""</f>
        <v/>
      </c>
      <c r="H1698" s="1" t="str">
        <f>"0033"</f>
        <v>0033</v>
      </c>
      <c r="I1698" s="1" t="s">
        <v>106</v>
      </c>
      <c r="J1698" s="1" t="str">
        <f>"01043977567"</f>
        <v>01043977567</v>
      </c>
      <c r="K1698" s="1" t="str">
        <f>"2017-03-29 12:18:41"</f>
        <v>2017-03-29 12:18:41</v>
      </c>
      <c r="L1698" s="1" t="str">
        <f>"2017-03-29 12:18:50"</f>
        <v>2017-03-29 12:18:50</v>
      </c>
      <c r="M1698" s="2">
        <v>2.3148148148148147E-5</v>
      </c>
      <c r="N1698" s="1" t="s">
        <v>26</v>
      </c>
      <c r="O1698" s="1" t="s">
        <v>34</v>
      </c>
      <c r="P1698" s="2">
        <v>1.273148148148148E-4</v>
      </c>
      <c r="Q1698" s="1" t="str">
        <f>""</f>
        <v/>
      </c>
      <c r="R1698" s="1">
        <v>0</v>
      </c>
      <c r="S1698" s="1" t="str">
        <f>""</f>
        <v/>
      </c>
      <c r="T1698" s="1" t="s">
        <v>29</v>
      </c>
      <c r="U1698" s="1" t="s">
        <v>30</v>
      </c>
      <c r="V1698" s="1">
        <v>0</v>
      </c>
    </row>
    <row r="1699" spans="2:22" x14ac:dyDescent="0.15">
      <c r="B1699" s="1" t="str">
        <f>"130****5656"</f>
        <v>130****5656</v>
      </c>
      <c r="C1699" s="1" t="s">
        <v>112</v>
      </c>
      <c r="D1699" s="1" t="str">
        <f t="shared" si="169"/>
        <v>89177328</v>
      </c>
      <c r="E1699" s="1" t="s">
        <v>24</v>
      </c>
      <c r="F1699" s="1" t="str">
        <f t="shared" si="170"/>
        <v>0010</v>
      </c>
      <c r="G1699" s="1" t="str">
        <f>""</f>
        <v/>
      </c>
      <c r="H1699" s="1" t="str">
        <f>"0010"</f>
        <v>0010</v>
      </c>
      <c r="I1699" s="1" t="s">
        <v>71</v>
      </c>
      <c r="J1699" s="1" t="str">
        <f>"01043989719"</f>
        <v>01043989719</v>
      </c>
      <c r="K1699" s="1" t="str">
        <f>"2017-03-29 12:11:41"</f>
        <v>2017-03-29 12:11:41</v>
      </c>
      <c r="L1699" s="1" t="str">
        <f t="shared" ref="L1699:L1706" si="171">"-"</f>
        <v>-</v>
      </c>
      <c r="M1699" s="2">
        <v>0</v>
      </c>
      <c r="N1699" s="1" t="s">
        <v>33</v>
      </c>
      <c r="O1699" s="1" t="s">
        <v>34</v>
      </c>
      <c r="P1699" s="2">
        <v>4.6296296296296294E-5</v>
      </c>
      <c r="Q1699" s="1" t="str">
        <f>""</f>
        <v/>
      </c>
      <c r="R1699" s="1">
        <v>0</v>
      </c>
      <c r="S1699" s="1" t="str">
        <f>""</f>
        <v/>
      </c>
      <c r="T1699" s="1" t="s">
        <v>29</v>
      </c>
      <c r="U1699" s="1" t="s">
        <v>30</v>
      </c>
      <c r="V1699" s="1">
        <v>0</v>
      </c>
    </row>
    <row r="1700" spans="2:22" x14ac:dyDescent="0.15">
      <c r="B1700" s="1" t="str">
        <f>"188****7867"</f>
        <v>188****7867</v>
      </c>
      <c r="C1700" s="1" t="s">
        <v>23</v>
      </c>
      <c r="D1700" s="1" t="str">
        <f t="shared" si="169"/>
        <v>89177328</v>
      </c>
      <c r="E1700" s="1" t="s">
        <v>24</v>
      </c>
      <c r="F1700" s="1" t="str">
        <f t="shared" si="170"/>
        <v>0010</v>
      </c>
      <c r="G1700" s="1" t="str">
        <f>""</f>
        <v/>
      </c>
      <c r="H1700" s="1" t="str">
        <f>"0012"</f>
        <v>0012</v>
      </c>
      <c r="I1700" s="1" t="s">
        <v>612</v>
      </c>
      <c r="J1700" s="1" t="str">
        <f>"01043989720"</f>
        <v>01043989720</v>
      </c>
      <c r="K1700" s="1" t="str">
        <f>"2017-03-29 12:09:40"</f>
        <v>2017-03-29 12:09:40</v>
      </c>
      <c r="L1700" s="1" t="str">
        <f t="shared" si="171"/>
        <v>-</v>
      </c>
      <c r="M1700" s="2">
        <v>0</v>
      </c>
      <c r="N1700" s="1" t="s">
        <v>33</v>
      </c>
      <c r="O1700" s="1" t="s">
        <v>34</v>
      </c>
      <c r="P1700" s="2">
        <v>6.9444444444444444E-5</v>
      </c>
      <c r="Q1700" s="1" t="str">
        <f>""</f>
        <v/>
      </c>
      <c r="R1700" s="1">
        <v>0</v>
      </c>
      <c r="S1700" s="1" t="str">
        <f>""</f>
        <v/>
      </c>
      <c r="T1700" s="1" t="s">
        <v>29</v>
      </c>
      <c r="U1700" s="1" t="s">
        <v>30</v>
      </c>
      <c r="V1700" s="1">
        <v>0</v>
      </c>
    </row>
    <row r="1701" spans="2:22" x14ac:dyDescent="0.15">
      <c r="B1701" s="1" t="str">
        <f>"157****4678"</f>
        <v>157****4678</v>
      </c>
      <c r="C1701" s="1" t="s">
        <v>23</v>
      </c>
      <c r="D1701" s="1" t="str">
        <f t="shared" si="169"/>
        <v>89177328</v>
      </c>
      <c r="E1701" s="1" t="s">
        <v>24</v>
      </c>
      <c r="F1701" s="1" t="str">
        <f t="shared" si="170"/>
        <v>0010</v>
      </c>
      <c r="G1701" s="1" t="str">
        <f>""</f>
        <v/>
      </c>
      <c r="H1701" s="1" t="str">
        <f>"0012"</f>
        <v>0012</v>
      </c>
      <c r="I1701" s="1" t="s">
        <v>612</v>
      </c>
      <c r="J1701" s="1" t="str">
        <f>"01043989720"</f>
        <v>01043989720</v>
      </c>
      <c r="K1701" s="1" t="str">
        <f>"2017-03-29 12:08:44"</f>
        <v>2017-03-29 12:08:44</v>
      </c>
      <c r="L1701" s="1" t="str">
        <f t="shared" si="171"/>
        <v>-</v>
      </c>
      <c r="M1701" s="2">
        <v>0</v>
      </c>
      <c r="N1701" s="1" t="s">
        <v>33</v>
      </c>
      <c r="O1701" s="1" t="s">
        <v>34</v>
      </c>
      <c r="P1701" s="2">
        <v>8.1018518518518516E-5</v>
      </c>
      <c r="Q1701" s="1" t="str">
        <f>""</f>
        <v/>
      </c>
      <c r="R1701" s="1">
        <v>0</v>
      </c>
      <c r="S1701" s="1" t="str">
        <f>""</f>
        <v/>
      </c>
      <c r="T1701" s="1" t="s">
        <v>29</v>
      </c>
      <c r="U1701" s="1" t="s">
        <v>30</v>
      </c>
      <c r="V1701" s="1">
        <v>0</v>
      </c>
    </row>
    <row r="1702" spans="2:22" x14ac:dyDescent="0.15">
      <c r="B1702" s="1" t="str">
        <f>"130****5656"</f>
        <v>130****5656</v>
      </c>
      <c r="C1702" s="1" t="s">
        <v>112</v>
      </c>
      <c r="D1702" s="1" t="str">
        <f t="shared" si="169"/>
        <v>89177328</v>
      </c>
      <c r="E1702" s="1" t="s">
        <v>24</v>
      </c>
      <c r="F1702" s="1" t="str">
        <f t="shared" si="170"/>
        <v>0010</v>
      </c>
      <c r="G1702" s="1" t="str">
        <f>""</f>
        <v/>
      </c>
      <c r="H1702" s="1" t="str">
        <f>"0034"</f>
        <v>0034</v>
      </c>
      <c r="I1702" s="1" t="s">
        <v>31</v>
      </c>
      <c r="J1702" s="1" t="str">
        <f>"01043977568"</f>
        <v>01043977568</v>
      </c>
      <c r="K1702" s="1" t="str">
        <f>"2017-03-29 12:07:52"</f>
        <v>2017-03-29 12:07:52</v>
      </c>
      <c r="L1702" s="1" t="str">
        <f t="shared" si="171"/>
        <v>-</v>
      </c>
      <c r="M1702" s="2">
        <v>0</v>
      </c>
      <c r="N1702" s="1" t="s">
        <v>33</v>
      </c>
      <c r="O1702" s="1" t="s">
        <v>34</v>
      </c>
      <c r="P1702" s="2">
        <v>8.1018518518518516E-5</v>
      </c>
      <c r="Q1702" s="1" t="str">
        <f>""</f>
        <v/>
      </c>
      <c r="R1702" s="1">
        <v>0</v>
      </c>
      <c r="S1702" s="1" t="str">
        <f>""</f>
        <v/>
      </c>
      <c r="T1702" s="1" t="s">
        <v>29</v>
      </c>
      <c r="U1702" s="1" t="s">
        <v>30</v>
      </c>
      <c r="V1702" s="1">
        <v>0</v>
      </c>
    </row>
    <row r="1703" spans="2:22" x14ac:dyDescent="0.15">
      <c r="B1703" s="1" t="str">
        <f>"188****7867"</f>
        <v>188****7867</v>
      </c>
      <c r="C1703" s="1" t="s">
        <v>23</v>
      </c>
      <c r="D1703" s="1" t="str">
        <f t="shared" si="169"/>
        <v>89177328</v>
      </c>
      <c r="E1703" s="1" t="s">
        <v>24</v>
      </c>
      <c r="F1703" s="1" t="str">
        <f t="shared" si="170"/>
        <v>0010</v>
      </c>
      <c r="G1703" s="1" t="str">
        <f>""</f>
        <v/>
      </c>
      <c r="H1703" s="1" t="str">
        <f>"0034"</f>
        <v>0034</v>
      </c>
      <c r="I1703" s="1" t="s">
        <v>31</v>
      </c>
      <c r="J1703" s="1" t="str">
        <f>"01043977568"</f>
        <v>01043977568</v>
      </c>
      <c r="K1703" s="1" t="str">
        <f>"2017-03-29 12:06:26"</f>
        <v>2017-03-29 12:06:26</v>
      </c>
      <c r="L1703" s="1" t="str">
        <f t="shared" si="171"/>
        <v>-</v>
      </c>
      <c r="M1703" s="2">
        <v>0</v>
      </c>
      <c r="N1703" s="1" t="s">
        <v>33</v>
      </c>
      <c r="O1703" s="1" t="s">
        <v>34</v>
      </c>
      <c r="P1703" s="2">
        <v>6.9444444444444444E-5</v>
      </c>
      <c r="Q1703" s="1" t="str">
        <f>""</f>
        <v/>
      </c>
      <c r="R1703" s="1">
        <v>0</v>
      </c>
      <c r="S1703" s="1" t="str">
        <f>""</f>
        <v/>
      </c>
      <c r="T1703" s="1" t="s">
        <v>29</v>
      </c>
      <c r="U1703" s="1" t="s">
        <v>30</v>
      </c>
      <c r="V1703" s="1">
        <v>0</v>
      </c>
    </row>
    <row r="1704" spans="2:22" x14ac:dyDescent="0.15">
      <c r="B1704" s="1" t="str">
        <f>"136****7588"</f>
        <v>136****7588</v>
      </c>
      <c r="C1704" s="1" t="s">
        <v>23</v>
      </c>
      <c r="D1704" s="1" t="str">
        <f t="shared" si="169"/>
        <v>89177328</v>
      </c>
      <c r="E1704" s="1" t="s">
        <v>24</v>
      </c>
      <c r="F1704" s="1" t="str">
        <f t="shared" si="170"/>
        <v>0010</v>
      </c>
      <c r="G1704" s="1" t="str">
        <f>""</f>
        <v/>
      </c>
      <c r="H1704" s="1" t="str">
        <f>"0012"</f>
        <v>0012</v>
      </c>
      <c r="I1704" s="1" t="s">
        <v>612</v>
      </c>
      <c r="J1704" s="1" t="str">
        <f>"01043989720"</f>
        <v>01043989720</v>
      </c>
      <c r="K1704" s="1" t="str">
        <f>"2017-03-29 12:05:38"</f>
        <v>2017-03-29 12:05:38</v>
      </c>
      <c r="L1704" s="1" t="str">
        <f t="shared" si="171"/>
        <v>-</v>
      </c>
      <c r="M1704" s="2">
        <v>0</v>
      </c>
      <c r="N1704" s="1" t="s">
        <v>33</v>
      </c>
      <c r="O1704" s="1" t="s">
        <v>34</v>
      </c>
      <c r="P1704" s="2">
        <v>1.1574074074074073E-5</v>
      </c>
      <c r="Q1704" s="1" t="str">
        <f>""</f>
        <v/>
      </c>
      <c r="R1704" s="1">
        <v>0</v>
      </c>
      <c r="S1704" s="1" t="str">
        <f>""</f>
        <v/>
      </c>
      <c r="T1704" s="1" t="s">
        <v>29</v>
      </c>
      <c r="U1704" s="1" t="s">
        <v>30</v>
      </c>
      <c r="V1704" s="1">
        <v>0</v>
      </c>
    </row>
    <row r="1705" spans="2:22" x14ac:dyDescent="0.15">
      <c r="B1705" s="1" t="str">
        <f>"157****4678"</f>
        <v>157****4678</v>
      </c>
      <c r="C1705" s="1" t="s">
        <v>23</v>
      </c>
      <c r="D1705" s="1" t="str">
        <f t="shared" si="169"/>
        <v>89177328</v>
      </c>
      <c r="E1705" s="1" t="s">
        <v>24</v>
      </c>
      <c r="F1705" s="1" t="str">
        <f t="shared" si="170"/>
        <v>0010</v>
      </c>
      <c r="G1705" s="1" t="str">
        <f>""</f>
        <v/>
      </c>
      <c r="H1705" s="1" t="str">
        <f>"0034"</f>
        <v>0034</v>
      </c>
      <c r="I1705" s="1" t="s">
        <v>31</v>
      </c>
      <c r="J1705" s="1" t="str">
        <f>"01043977568"</f>
        <v>01043977568</v>
      </c>
      <c r="K1705" s="1" t="str">
        <f>"2017-03-29 12:05:24"</f>
        <v>2017-03-29 12:05:24</v>
      </c>
      <c r="L1705" s="1" t="str">
        <f t="shared" si="171"/>
        <v>-</v>
      </c>
      <c r="M1705" s="2">
        <v>0</v>
      </c>
      <c r="N1705" s="1" t="s">
        <v>33</v>
      </c>
      <c r="O1705" s="1" t="s">
        <v>34</v>
      </c>
      <c r="P1705" s="2">
        <v>6.9444444444444444E-5</v>
      </c>
      <c r="Q1705" s="1" t="str">
        <f>""</f>
        <v/>
      </c>
      <c r="R1705" s="1">
        <v>0</v>
      </c>
      <c r="S1705" s="1" t="str">
        <f>""</f>
        <v/>
      </c>
      <c r="T1705" s="1" t="s">
        <v>29</v>
      </c>
      <c r="U1705" s="1" t="s">
        <v>30</v>
      </c>
      <c r="V1705" s="1">
        <v>0</v>
      </c>
    </row>
    <row r="1706" spans="2:22" x14ac:dyDescent="0.15">
      <c r="B1706" s="1" t="str">
        <f>"130****5656"</f>
        <v>130****5656</v>
      </c>
      <c r="C1706" s="1" t="s">
        <v>112</v>
      </c>
      <c r="D1706" s="1" t="str">
        <f t="shared" si="169"/>
        <v>89177328</v>
      </c>
      <c r="E1706" s="1" t="s">
        <v>24</v>
      </c>
      <c r="F1706" s="1" t="str">
        <f t="shared" si="170"/>
        <v>0010</v>
      </c>
      <c r="G1706" s="1" t="str">
        <f>""</f>
        <v/>
      </c>
      <c r="H1706" s="1" t="str">
        <f>"0012"</f>
        <v>0012</v>
      </c>
      <c r="I1706" s="1" t="s">
        <v>612</v>
      </c>
      <c r="J1706" s="1" t="str">
        <f>"01043989720"</f>
        <v>01043989720</v>
      </c>
      <c r="K1706" s="1" t="str">
        <f>"2017-03-29 12:04:24"</f>
        <v>2017-03-29 12:04:24</v>
      </c>
      <c r="L1706" s="1" t="str">
        <f t="shared" si="171"/>
        <v>-</v>
      </c>
      <c r="M1706" s="2">
        <v>0</v>
      </c>
      <c r="N1706" s="1" t="s">
        <v>33</v>
      </c>
      <c r="O1706" s="1" t="s">
        <v>34</v>
      </c>
      <c r="P1706" s="2">
        <v>4.6296296296296294E-5</v>
      </c>
      <c r="Q1706" s="1" t="str">
        <f>""</f>
        <v/>
      </c>
      <c r="R1706" s="1">
        <v>0</v>
      </c>
      <c r="S1706" s="1" t="str">
        <f>""</f>
        <v/>
      </c>
      <c r="T1706" s="1" t="s">
        <v>29</v>
      </c>
      <c r="U1706" s="1" t="s">
        <v>30</v>
      </c>
      <c r="V1706" s="1">
        <v>0</v>
      </c>
    </row>
    <row r="1707" spans="2:22" x14ac:dyDescent="0.15">
      <c r="B1707" s="1" t="str">
        <f>"152****4155"</f>
        <v>152****4155</v>
      </c>
      <c r="C1707" s="1" t="s">
        <v>23</v>
      </c>
      <c r="D1707" s="1" t="str">
        <f t="shared" si="169"/>
        <v>89177328</v>
      </c>
      <c r="E1707" s="1" t="s">
        <v>24</v>
      </c>
      <c r="F1707" s="1" t="str">
        <f t="shared" si="170"/>
        <v>0010</v>
      </c>
      <c r="G1707" s="1" t="str">
        <f>""</f>
        <v/>
      </c>
      <c r="H1707" s="1" t="str">
        <f>"0010"</f>
        <v>0010</v>
      </c>
      <c r="I1707" s="1" t="s">
        <v>71</v>
      </c>
      <c r="J1707" s="1" t="str">
        <f>"01043989719"</f>
        <v>01043989719</v>
      </c>
      <c r="K1707" s="1" t="str">
        <f>"2017-03-29 12:03:35"</f>
        <v>2017-03-29 12:03:35</v>
      </c>
      <c r="L1707" s="1" t="str">
        <f>"2017-03-29 12:03:44"</f>
        <v>2017-03-29 12:03:44</v>
      </c>
      <c r="M1707" s="2">
        <v>4.5023148148148149E-3</v>
      </c>
      <c r="N1707" s="1" t="s">
        <v>26</v>
      </c>
      <c r="O1707" s="1" t="s">
        <v>27</v>
      </c>
      <c r="P1707" s="2">
        <v>4.6064814814814814E-3</v>
      </c>
      <c r="Q1707" s="1" t="s">
        <v>1267</v>
      </c>
      <c r="R1707" s="1">
        <v>0</v>
      </c>
      <c r="S1707" s="1" t="str">
        <f>""</f>
        <v/>
      </c>
      <c r="T1707" s="1" t="s">
        <v>29</v>
      </c>
      <c r="U1707" s="1" t="s">
        <v>30</v>
      </c>
      <c r="V1707" s="1">
        <v>0</v>
      </c>
    </row>
    <row r="1708" spans="2:22" x14ac:dyDescent="0.15">
      <c r="B1708" s="1" t="str">
        <f>"170****8111"</f>
        <v>170****8111</v>
      </c>
      <c r="C1708" s="1" t="s">
        <v>23</v>
      </c>
      <c r="D1708" s="1" t="str">
        <f t="shared" si="169"/>
        <v>89177328</v>
      </c>
      <c r="E1708" s="1" t="s">
        <v>24</v>
      </c>
      <c r="F1708" s="1" t="str">
        <f t="shared" si="170"/>
        <v>0010</v>
      </c>
      <c r="G1708" s="1" t="str">
        <f>""</f>
        <v/>
      </c>
      <c r="H1708" s="1" t="str">
        <f>"0018"</f>
        <v>0018</v>
      </c>
      <c r="I1708" s="1" t="s">
        <v>36</v>
      </c>
      <c r="J1708" s="1" t="str">
        <f>"01043989718"</f>
        <v>01043989718</v>
      </c>
      <c r="K1708" s="1" t="str">
        <f>"2017-03-29 11:45:16"</f>
        <v>2017-03-29 11:45:16</v>
      </c>
      <c r="L1708" s="1" t="str">
        <f>"2017-03-29 11:45:30"</f>
        <v>2017-03-29 11:45:30</v>
      </c>
      <c r="M1708" s="2">
        <v>7.743055555555556E-3</v>
      </c>
      <c r="N1708" s="1" t="s">
        <v>26</v>
      </c>
      <c r="O1708" s="1" t="s">
        <v>34</v>
      </c>
      <c r="P1708" s="2">
        <v>7.905092592592592E-3</v>
      </c>
      <c r="Q1708" s="1" t="s">
        <v>1268</v>
      </c>
      <c r="R1708" s="1">
        <v>0</v>
      </c>
      <c r="S1708" s="1" t="str">
        <f>""</f>
        <v/>
      </c>
      <c r="T1708" s="1" t="s">
        <v>29</v>
      </c>
      <c r="U1708" s="1" t="s">
        <v>30</v>
      </c>
      <c r="V1708" s="1">
        <v>0</v>
      </c>
    </row>
    <row r="1709" spans="2:22" x14ac:dyDescent="0.15">
      <c r="B1709" s="1" t="str">
        <f>"136****6133"</f>
        <v>136****6133</v>
      </c>
      <c r="C1709" s="1" t="s">
        <v>23</v>
      </c>
      <c r="D1709" s="1" t="str">
        <f t="shared" si="169"/>
        <v>89177328</v>
      </c>
      <c r="E1709" s="1" t="s">
        <v>24</v>
      </c>
      <c r="F1709" s="1" t="str">
        <f t="shared" si="170"/>
        <v>0010</v>
      </c>
      <c r="G1709" s="1" t="str">
        <f>""</f>
        <v/>
      </c>
      <c r="H1709" s="1" t="str">
        <f>"0018"</f>
        <v>0018</v>
      </c>
      <c r="I1709" s="1" t="s">
        <v>36</v>
      </c>
      <c r="J1709" s="1" t="str">
        <f>"01043989718"</f>
        <v>01043989718</v>
      </c>
      <c r="K1709" s="1" t="str">
        <f>"2017-03-29 11:38:44"</f>
        <v>2017-03-29 11:38:44</v>
      </c>
      <c r="L1709" s="1" t="str">
        <f>"2017-03-29 11:38:53"</f>
        <v>2017-03-29 11:38:53</v>
      </c>
      <c r="M1709" s="2">
        <v>1.2384259259259258E-3</v>
      </c>
      <c r="N1709" s="1" t="s">
        <v>26</v>
      </c>
      <c r="O1709" s="1" t="s">
        <v>27</v>
      </c>
      <c r="P1709" s="2">
        <v>1.3425925925925925E-3</v>
      </c>
      <c r="Q1709" s="1" t="s">
        <v>1269</v>
      </c>
      <c r="R1709" s="1">
        <v>0</v>
      </c>
      <c r="S1709" s="1" t="str">
        <f>""</f>
        <v/>
      </c>
      <c r="T1709" s="1" t="s">
        <v>29</v>
      </c>
      <c r="U1709" s="1" t="s">
        <v>30</v>
      </c>
      <c r="V1709" s="1">
        <v>0</v>
      </c>
    </row>
    <row r="1710" spans="2:22" x14ac:dyDescent="0.15">
      <c r="B1710" s="1" t="str">
        <f>"138****6270"</f>
        <v>138****6270</v>
      </c>
      <c r="C1710" s="1" t="s">
        <v>23</v>
      </c>
      <c r="D1710" s="1" t="str">
        <f t="shared" si="169"/>
        <v>89177328</v>
      </c>
      <c r="E1710" s="1" t="s">
        <v>24</v>
      </c>
      <c r="F1710" s="1" t="str">
        <f t="shared" si="170"/>
        <v>0010</v>
      </c>
      <c r="G1710" s="1" t="str">
        <f>""</f>
        <v/>
      </c>
      <c r="H1710" s="1" t="str">
        <f>"0034"</f>
        <v>0034</v>
      </c>
      <c r="I1710" s="1" t="s">
        <v>31</v>
      </c>
      <c r="J1710" s="1" t="str">
        <f>"01043977568"</f>
        <v>01043977568</v>
      </c>
      <c r="K1710" s="1" t="str">
        <f>"2017-03-29 11:38:32"</f>
        <v>2017-03-29 11:38:32</v>
      </c>
      <c r="L1710" s="1" t="str">
        <f>"2017-03-29 11:38:40"</f>
        <v>2017-03-29 11:38:40</v>
      </c>
      <c r="M1710" s="2">
        <v>1.7372685185185185E-2</v>
      </c>
      <c r="N1710" s="1" t="s">
        <v>26</v>
      </c>
      <c r="O1710" s="1" t="s">
        <v>34</v>
      </c>
      <c r="P1710" s="2">
        <v>1.7465277777777777E-2</v>
      </c>
      <c r="Q1710" s="1" t="s">
        <v>1270</v>
      </c>
      <c r="R1710" s="1">
        <v>0</v>
      </c>
      <c r="S1710" s="1" t="str">
        <f>""</f>
        <v/>
      </c>
      <c r="T1710" s="1" t="s">
        <v>29</v>
      </c>
      <c r="U1710" s="1" t="s">
        <v>30</v>
      </c>
      <c r="V1710" s="1">
        <v>0</v>
      </c>
    </row>
    <row r="1711" spans="2:22" x14ac:dyDescent="0.15">
      <c r="B1711" s="1" t="str">
        <f>"010****3123"</f>
        <v>010****3123</v>
      </c>
      <c r="C1711" s="1" t="s">
        <v>23</v>
      </c>
      <c r="D1711" s="1" t="str">
        <f t="shared" si="169"/>
        <v>89177328</v>
      </c>
      <c r="E1711" s="1" t="s">
        <v>24</v>
      </c>
      <c r="F1711" s="1" t="str">
        <f t="shared" si="170"/>
        <v>0010</v>
      </c>
      <c r="G1711" s="1" t="str">
        <f>""</f>
        <v/>
      </c>
      <c r="H1711" s="1" t="str">
        <f>"0012"</f>
        <v>0012</v>
      </c>
      <c r="I1711" s="1" t="s">
        <v>612</v>
      </c>
      <c r="J1711" s="1" t="str">
        <f>"01043989720"</f>
        <v>01043989720</v>
      </c>
      <c r="K1711" s="1" t="str">
        <f>"2017-03-29 11:16:35"</f>
        <v>2017-03-29 11:16:35</v>
      </c>
      <c r="L1711" s="1" t="str">
        <f>"2017-03-29 11:16:49"</f>
        <v>2017-03-29 11:16:49</v>
      </c>
      <c r="M1711" s="2">
        <v>1.1111111111111111E-3</v>
      </c>
      <c r="N1711" s="1" t="s">
        <v>26</v>
      </c>
      <c r="O1711" s="1" t="s">
        <v>27</v>
      </c>
      <c r="P1711" s="2">
        <v>1.2731481481481483E-3</v>
      </c>
      <c r="Q1711" s="1" t="s">
        <v>1271</v>
      </c>
      <c r="R1711" s="1">
        <v>0</v>
      </c>
      <c r="S1711" s="1" t="str">
        <f>""</f>
        <v/>
      </c>
      <c r="T1711" s="1" t="s">
        <v>29</v>
      </c>
      <c r="U1711" s="1" t="s">
        <v>30</v>
      </c>
      <c r="V1711" s="1">
        <v>0</v>
      </c>
    </row>
    <row r="1712" spans="2:22" x14ac:dyDescent="0.15">
      <c r="B1712" s="1" t="str">
        <f>"010****0391"</f>
        <v>010****0391</v>
      </c>
      <c r="C1712" s="1" t="s">
        <v>23</v>
      </c>
      <c r="D1712" s="1" t="str">
        <f t="shared" si="169"/>
        <v>89177328</v>
      </c>
      <c r="E1712" s="1" t="s">
        <v>24</v>
      </c>
      <c r="F1712" s="1" t="str">
        <f t="shared" si="170"/>
        <v>0010</v>
      </c>
      <c r="G1712" s="1" t="str">
        <f>""</f>
        <v/>
      </c>
      <c r="H1712" s="1" t="str">
        <f>"0018"</f>
        <v>0018</v>
      </c>
      <c r="I1712" s="1" t="s">
        <v>36</v>
      </c>
      <c r="J1712" s="1" t="str">
        <f>"01043989718"</f>
        <v>01043989718</v>
      </c>
      <c r="K1712" s="1" t="str">
        <f>"2017-03-29 11:02:17"</f>
        <v>2017-03-29 11:02:17</v>
      </c>
      <c r="L1712" s="1" t="str">
        <f>"2017-03-29 11:02:21"</f>
        <v>2017-03-29 11:02:21</v>
      </c>
      <c r="M1712" s="2">
        <v>4.6296296296296294E-5</v>
      </c>
      <c r="N1712" s="1" t="s">
        <v>26</v>
      </c>
      <c r="O1712" s="1" t="s">
        <v>34</v>
      </c>
      <c r="P1712" s="2">
        <v>9.2592592592592588E-5</v>
      </c>
      <c r="Q1712" s="1" t="str">
        <f>""</f>
        <v/>
      </c>
      <c r="R1712" s="1">
        <v>0</v>
      </c>
      <c r="S1712" s="1" t="str">
        <f>""</f>
        <v/>
      </c>
      <c r="T1712" s="1" t="s">
        <v>29</v>
      </c>
      <c r="U1712" s="1" t="s">
        <v>30</v>
      </c>
      <c r="V1712" s="1">
        <v>0</v>
      </c>
    </row>
    <row r="1713" spans="2:22" x14ac:dyDescent="0.15">
      <c r="B1713" s="1" t="str">
        <f>"010****8202"</f>
        <v>010****8202</v>
      </c>
      <c r="C1713" s="1" t="s">
        <v>23</v>
      </c>
      <c r="D1713" s="1" t="str">
        <f t="shared" si="169"/>
        <v>89177328</v>
      </c>
      <c r="E1713" s="1" t="s">
        <v>24</v>
      </c>
      <c r="F1713" s="1" t="str">
        <f t="shared" si="170"/>
        <v>0010</v>
      </c>
      <c r="G1713" s="1" t="str">
        <f>""</f>
        <v/>
      </c>
      <c r="H1713" s="1" t="str">
        <f>"0033"</f>
        <v>0033</v>
      </c>
      <c r="I1713" s="1" t="s">
        <v>106</v>
      </c>
      <c r="J1713" s="1" t="str">
        <f>"01043977567"</f>
        <v>01043977567</v>
      </c>
      <c r="K1713" s="1" t="str">
        <f>"2017-03-29 11:01:31"</f>
        <v>2017-03-29 11:01:31</v>
      </c>
      <c r="L1713" s="1" t="str">
        <f>"2017-03-29 11:01:39"</f>
        <v>2017-03-29 11:01:39</v>
      </c>
      <c r="M1713" s="2">
        <v>7.6620370370370366E-3</v>
      </c>
      <c r="N1713" s="1" t="s">
        <v>26</v>
      </c>
      <c r="O1713" s="1" t="s">
        <v>27</v>
      </c>
      <c r="P1713" s="2">
        <v>7.7546296296296287E-3</v>
      </c>
      <c r="Q1713" s="1" t="s">
        <v>1272</v>
      </c>
      <c r="R1713" s="1">
        <v>0</v>
      </c>
      <c r="S1713" s="1" t="str">
        <f>""</f>
        <v/>
      </c>
      <c r="T1713" s="1" t="s">
        <v>29</v>
      </c>
      <c r="U1713" s="1" t="s">
        <v>30</v>
      </c>
      <c r="V1713" s="1">
        <v>0</v>
      </c>
    </row>
    <row r="1714" spans="2:22" x14ac:dyDescent="0.15">
      <c r="B1714" s="1" t="str">
        <f>"116114"</f>
        <v>116114</v>
      </c>
      <c r="C1714" s="1" t="s">
        <v>159</v>
      </c>
      <c r="D1714" s="1" t="str">
        <f t="shared" si="169"/>
        <v>89177328</v>
      </c>
      <c r="E1714" s="1" t="s">
        <v>24</v>
      </c>
      <c r="F1714" s="1" t="str">
        <f t="shared" si="170"/>
        <v>0010</v>
      </c>
      <c r="G1714" s="1" t="str">
        <f>""</f>
        <v/>
      </c>
      <c r="H1714" s="1" t="str">
        <f>"0018"</f>
        <v>0018</v>
      </c>
      <c r="I1714" s="1" t="s">
        <v>36</v>
      </c>
      <c r="J1714" s="1" t="str">
        <f>"01043989718"</f>
        <v>01043989718</v>
      </c>
      <c r="K1714" s="1" t="str">
        <f>"2017-03-29 11:00:00"</f>
        <v>2017-03-29 11:00:00</v>
      </c>
      <c r="L1714" s="1" t="str">
        <f>"-"</f>
        <v>-</v>
      </c>
      <c r="M1714" s="2">
        <v>0</v>
      </c>
      <c r="N1714" s="1" t="s">
        <v>33</v>
      </c>
      <c r="O1714" s="1" t="s">
        <v>34</v>
      </c>
      <c r="P1714" s="2">
        <v>4.6296296296296294E-5</v>
      </c>
      <c r="Q1714" s="1" t="str">
        <f>""</f>
        <v/>
      </c>
      <c r="R1714" s="1">
        <v>0</v>
      </c>
      <c r="S1714" s="1" t="str">
        <f>""</f>
        <v/>
      </c>
      <c r="T1714" s="1" t="s">
        <v>29</v>
      </c>
      <c r="U1714" s="1" t="s">
        <v>30</v>
      </c>
      <c r="V1714" s="1">
        <v>0</v>
      </c>
    </row>
    <row r="1715" spans="2:22" x14ac:dyDescent="0.15">
      <c r="B1715" s="1" t="str">
        <f>"114"</f>
        <v>114</v>
      </c>
      <c r="C1715" s="1" t="s">
        <v>159</v>
      </c>
      <c r="D1715" s="1" t="str">
        <f t="shared" si="169"/>
        <v>89177328</v>
      </c>
      <c r="E1715" s="1" t="s">
        <v>24</v>
      </c>
      <c r="F1715" s="1" t="str">
        <f t="shared" si="170"/>
        <v>0010</v>
      </c>
      <c r="G1715" s="1" t="str">
        <f>""</f>
        <v/>
      </c>
      <c r="H1715" s="1" t="str">
        <f>"0018"</f>
        <v>0018</v>
      </c>
      <c r="I1715" s="1" t="s">
        <v>36</v>
      </c>
      <c r="J1715" s="1" t="str">
        <f>"01043989718"</f>
        <v>01043989718</v>
      </c>
      <c r="K1715" s="1" t="str">
        <f>"2017-03-29 10:58:17"</f>
        <v>2017-03-29 10:58:17</v>
      </c>
      <c r="L1715" s="1" t="str">
        <f>"-"</f>
        <v>-</v>
      </c>
      <c r="M1715" s="2">
        <v>0</v>
      </c>
      <c r="N1715" s="1" t="s">
        <v>33</v>
      </c>
      <c r="O1715" s="1" t="s">
        <v>34</v>
      </c>
      <c r="P1715" s="2">
        <v>4.6296296296296294E-5</v>
      </c>
      <c r="Q1715" s="1" t="str">
        <f>""</f>
        <v/>
      </c>
      <c r="R1715" s="1">
        <v>0</v>
      </c>
      <c r="S1715" s="1" t="str">
        <f>""</f>
        <v/>
      </c>
      <c r="T1715" s="1" t="s">
        <v>29</v>
      </c>
      <c r="U1715" s="1" t="s">
        <v>30</v>
      </c>
      <c r="V1715" s="1">
        <v>0</v>
      </c>
    </row>
    <row r="1716" spans="2:22" x14ac:dyDescent="0.15">
      <c r="B1716" s="1" t="str">
        <f>"0371****3248"</f>
        <v>0371****3248</v>
      </c>
      <c r="C1716" s="1" t="s">
        <v>283</v>
      </c>
      <c r="D1716" s="1" t="str">
        <f t="shared" si="169"/>
        <v>89177328</v>
      </c>
      <c r="E1716" s="1" t="s">
        <v>24</v>
      </c>
      <c r="F1716" s="1" t="str">
        <f t="shared" si="170"/>
        <v>0010</v>
      </c>
      <c r="G1716" s="1" t="str">
        <f>""</f>
        <v/>
      </c>
      <c r="H1716" s="1" t="str">
        <f>"0035"</f>
        <v>0035</v>
      </c>
      <c r="I1716" s="1" t="s">
        <v>25</v>
      </c>
      <c r="J1716" s="1" t="str">
        <f>"01043977569"</f>
        <v>01043977569</v>
      </c>
      <c r="K1716" s="1" t="str">
        <f>"2017-03-29 10:56:36"</f>
        <v>2017-03-29 10:56:36</v>
      </c>
      <c r="L1716" s="1" t="str">
        <f>"2017-03-29 10:56:44"</f>
        <v>2017-03-29 10:56:44</v>
      </c>
      <c r="M1716" s="2">
        <v>3.2175925925925926E-3</v>
      </c>
      <c r="N1716" s="1" t="s">
        <v>26</v>
      </c>
      <c r="O1716" s="1" t="s">
        <v>27</v>
      </c>
      <c r="P1716" s="2">
        <v>3.3101851851851851E-3</v>
      </c>
      <c r="Q1716" s="1" t="s">
        <v>1273</v>
      </c>
      <c r="R1716" s="1">
        <v>0</v>
      </c>
      <c r="S1716" s="1" t="str">
        <f>""</f>
        <v/>
      </c>
      <c r="T1716" s="1" t="s">
        <v>29</v>
      </c>
      <c r="U1716" s="1" t="s">
        <v>30</v>
      </c>
      <c r="V1716" s="1">
        <v>0</v>
      </c>
    </row>
    <row r="1717" spans="2:22" x14ac:dyDescent="0.15">
      <c r="B1717" s="1" t="str">
        <f>"182****3540"</f>
        <v>182****3540</v>
      </c>
      <c r="C1717" s="1" t="s">
        <v>102</v>
      </c>
      <c r="D1717" s="1" t="str">
        <f t="shared" si="169"/>
        <v>89177328</v>
      </c>
      <c r="E1717" s="1" t="s">
        <v>24</v>
      </c>
      <c r="F1717" s="1" t="str">
        <f t="shared" si="170"/>
        <v>0010</v>
      </c>
      <c r="G1717" s="1" t="str">
        <f>""</f>
        <v/>
      </c>
      <c r="H1717" s="1" t="str">
        <f>"0017"</f>
        <v>0017</v>
      </c>
      <c r="I1717" s="1" t="s">
        <v>135</v>
      </c>
      <c r="J1717" s="1" t="str">
        <f>"01043989717"</f>
        <v>01043989717</v>
      </c>
      <c r="K1717" s="1" t="str">
        <f>"2017-03-29 10:55:29"</f>
        <v>2017-03-29 10:55:29</v>
      </c>
      <c r="L1717" s="1" t="str">
        <f>"2017-03-29 10:55:39"</f>
        <v>2017-03-29 10:55:39</v>
      </c>
      <c r="M1717" s="2">
        <v>1.6400462962962964E-2</v>
      </c>
      <c r="N1717" s="1" t="s">
        <v>26</v>
      </c>
      <c r="O1717" s="1" t="s">
        <v>27</v>
      </c>
      <c r="P1717" s="2">
        <v>1.6516203703703703E-2</v>
      </c>
      <c r="Q1717" s="1" t="s">
        <v>1274</v>
      </c>
      <c r="R1717" s="1">
        <v>0</v>
      </c>
      <c r="S1717" s="1" t="str">
        <f>""</f>
        <v/>
      </c>
      <c r="T1717" s="1" t="s">
        <v>29</v>
      </c>
      <c r="U1717" s="1" t="s">
        <v>30</v>
      </c>
      <c r="V1717" s="1">
        <v>0</v>
      </c>
    </row>
    <row r="1718" spans="2:22" x14ac:dyDescent="0.15">
      <c r="B1718" s="1" t="str">
        <f>"116114"</f>
        <v>116114</v>
      </c>
      <c r="C1718" s="1" t="s">
        <v>159</v>
      </c>
      <c r="D1718" s="1" t="str">
        <f t="shared" si="169"/>
        <v>89177328</v>
      </c>
      <c r="E1718" s="1" t="s">
        <v>24</v>
      </c>
      <c r="F1718" s="1" t="str">
        <f t="shared" si="170"/>
        <v>0010</v>
      </c>
      <c r="G1718" s="1" t="str">
        <f>""</f>
        <v/>
      </c>
      <c r="H1718" s="1" t="str">
        <f>"0035"</f>
        <v>0035</v>
      </c>
      <c r="I1718" s="1" t="s">
        <v>25</v>
      </c>
      <c r="J1718" s="1" t="str">
        <f>"01043977569"</f>
        <v>01043977569</v>
      </c>
      <c r="K1718" s="1" t="str">
        <f>"2017-03-29 10:55:14"</f>
        <v>2017-03-29 10:55:14</v>
      </c>
      <c r="L1718" s="1" t="str">
        <f>"-"</f>
        <v>-</v>
      </c>
      <c r="M1718" s="2">
        <v>0</v>
      </c>
      <c r="N1718" s="1" t="s">
        <v>33</v>
      </c>
      <c r="O1718" s="1" t="s">
        <v>34</v>
      </c>
      <c r="P1718" s="2">
        <v>1.1574074074074073E-5</v>
      </c>
      <c r="Q1718" s="1" t="str">
        <f>""</f>
        <v/>
      </c>
      <c r="R1718" s="1">
        <v>0</v>
      </c>
      <c r="S1718" s="1" t="str">
        <f>""</f>
        <v/>
      </c>
      <c r="T1718" s="1" t="s">
        <v>29</v>
      </c>
      <c r="U1718" s="1" t="s">
        <v>30</v>
      </c>
      <c r="V1718" s="1">
        <v>0</v>
      </c>
    </row>
    <row r="1719" spans="2:22" x14ac:dyDescent="0.15">
      <c r="B1719" s="1" t="str">
        <f>"185****3838"</f>
        <v>185****3838</v>
      </c>
      <c r="C1719" s="1" t="s">
        <v>23</v>
      </c>
      <c r="D1719" s="1" t="str">
        <f t="shared" si="169"/>
        <v>89177328</v>
      </c>
      <c r="E1719" s="1" t="s">
        <v>24</v>
      </c>
      <c r="F1719" s="1" t="str">
        <f t="shared" si="170"/>
        <v>0010</v>
      </c>
      <c r="G1719" s="1" t="str">
        <f>""</f>
        <v/>
      </c>
      <c r="H1719" s="1" t="str">
        <f>"0012"</f>
        <v>0012</v>
      </c>
      <c r="I1719" s="1" t="s">
        <v>612</v>
      </c>
      <c r="J1719" s="1" t="str">
        <f>"01043989720"</f>
        <v>01043989720</v>
      </c>
      <c r="K1719" s="1" t="str">
        <f>"2017-03-29 10:53:42"</f>
        <v>2017-03-29 10:53:42</v>
      </c>
      <c r="L1719" s="1" t="str">
        <f>"2017-03-29 10:53:54"</f>
        <v>2017-03-29 10:53:54</v>
      </c>
      <c r="M1719" s="2">
        <v>1.0254629629629629E-2</v>
      </c>
      <c r="N1719" s="1" t="s">
        <v>26</v>
      </c>
      <c r="O1719" s="1" t="s">
        <v>34</v>
      </c>
      <c r="P1719" s="2">
        <v>1.0393518518518519E-2</v>
      </c>
      <c r="Q1719" s="1" t="s">
        <v>1275</v>
      </c>
      <c r="R1719" s="1">
        <v>0</v>
      </c>
      <c r="S1719" s="1" t="str">
        <f>""</f>
        <v/>
      </c>
      <c r="T1719" s="1" t="s">
        <v>29</v>
      </c>
      <c r="U1719" s="1" t="s">
        <v>30</v>
      </c>
      <c r="V1719" s="1">
        <v>0</v>
      </c>
    </row>
    <row r="1720" spans="2:22" x14ac:dyDescent="0.15">
      <c r="B1720" s="1" t="str">
        <f>"010****0391"</f>
        <v>010****0391</v>
      </c>
      <c r="C1720" s="1" t="s">
        <v>23</v>
      </c>
      <c r="D1720" s="1" t="str">
        <f t="shared" si="169"/>
        <v>89177328</v>
      </c>
      <c r="E1720" s="1" t="s">
        <v>24</v>
      </c>
      <c r="F1720" s="1" t="str">
        <f t="shared" si="170"/>
        <v>0010</v>
      </c>
      <c r="G1720" s="1" t="str">
        <f>""</f>
        <v/>
      </c>
      <c r="H1720" s="1" t="str">
        <f>"0033"</f>
        <v>0033</v>
      </c>
      <c r="I1720" s="1" t="s">
        <v>106</v>
      </c>
      <c r="J1720" s="1" t="str">
        <f>"01043977567"</f>
        <v>01043977567</v>
      </c>
      <c r="K1720" s="1" t="str">
        <f>"2017-03-29 10:53:05"</f>
        <v>2017-03-29 10:53:05</v>
      </c>
      <c r="L1720" s="1" t="str">
        <f>"-"</f>
        <v>-</v>
      </c>
      <c r="M1720" s="2">
        <v>0</v>
      </c>
      <c r="N1720" s="1" t="s">
        <v>33</v>
      </c>
      <c r="O1720" s="1" t="s">
        <v>34</v>
      </c>
      <c r="P1720" s="2">
        <v>4.6296296296296294E-5</v>
      </c>
      <c r="Q1720" s="1" t="str">
        <f>""</f>
        <v/>
      </c>
      <c r="R1720" s="1">
        <v>0</v>
      </c>
      <c r="S1720" s="1" t="str">
        <f>""</f>
        <v/>
      </c>
      <c r="T1720" s="1" t="s">
        <v>29</v>
      </c>
      <c r="U1720" s="1" t="s">
        <v>30</v>
      </c>
      <c r="V1720" s="1">
        <v>0</v>
      </c>
    </row>
    <row r="1721" spans="2:22" x14ac:dyDescent="0.15">
      <c r="B1721" s="1" t="str">
        <f>"010****5243"</f>
        <v>010****5243</v>
      </c>
      <c r="C1721" s="1" t="s">
        <v>23</v>
      </c>
      <c r="D1721" s="1" t="str">
        <f t="shared" si="169"/>
        <v>89177328</v>
      </c>
      <c r="E1721" s="1" t="s">
        <v>24</v>
      </c>
      <c r="F1721" s="1" t="str">
        <f t="shared" si="170"/>
        <v>0010</v>
      </c>
      <c r="G1721" s="1" t="str">
        <f>""</f>
        <v/>
      </c>
      <c r="H1721" s="1" t="str">
        <f>"0034"</f>
        <v>0034</v>
      </c>
      <c r="I1721" s="1" t="s">
        <v>31</v>
      </c>
      <c r="J1721" s="1" t="str">
        <f>"01043977568"</f>
        <v>01043977568</v>
      </c>
      <c r="K1721" s="1" t="str">
        <f>"2017-03-29 10:48:49"</f>
        <v>2017-03-29 10:48:49</v>
      </c>
      <c r="L1721" s="1" t="str">
        <f>"2017-03-29 10:48:52"</f>
        <v>2017-03-29 10:48:52</v>
      </c>
      <c r="M1721" s="2">
        <v>0</v>
      </c>
      <c r="N1721" s="1" t="s">
        <v>26</v>
      </c>
      <c r="O1721" s="1" t="s">
        <v>34</v>
      </c>
      <c r="P1721" s="2">
        <v>3.4722222222222222E-5</v>
      </c>
      <c r="Q1721" s="1" t="str">
        <f>""</f>
        <v/>
      </c>
      <c r="R1721" s="1">
        <v>0</v>
      </c>
      <c r="S1721" s="1" t="str">
        <f>""</f>
        <v/>
      </c>
      <c r="T1721" s="1" t="s">
        <v>29</v>
      </c>
      <c r="U1721" s="1" t="s">
        <v>30</v>
      </c>
      <c r="V1721" s="1">
        <v>0</v>
      </c>
    </row>
    <row r="1722" spans="2:22" x14ac:dyDescent="0.15">
      <c r="B1722" s="1" t="str">
        <f>"010****5243"</f>
        <v>010****5243</v>
      </c>
      <c r="C1722" s="1" t="s">
        <v>23</v>
      </c>
      <c r="D1722" s="1" t="str">
        <f t="shared" si="169"/>
        <v>89177328</v>
      </c>
      <c r="E1722" s="1" t="s">
        <v>24</v>
      </c>
      <c r="F1722" s="1" t="str">
        <f t="shared" si="170"/>
        <v>0010</v>
      </c>
      <c r="G1722" s="1" t="str">
        <f>""</f>
        <v/>
      </c>
      <c r="H1722" s="1" t="str">
        <f>"0034"</f>
        <v>0034</v>
      </c>
      <c r="I1722" s="1" t="s">
        <v>31</v>
      </c>
      <c r="J1722" s="1" t="str">
        <f>"01043977568"</f>
        <v>01043977568</v>
      </c>
      <c r="K1722" s="1" t="str">
        <f>"2017-03-29 10:46:39"</f>
        <v>2017-03-29 10:46:39</v>
      </c>
      <c r="L1722" s="1" t="str">
        <f>"-"</f>
        <v>-</v>
      </c>
      <c r="M1722" s="2">
        <v>0</v>
      </c>
      <c r="N1722" s="1" t="s">
        <v>33</v>
      </c>
      <c r="O1722" s="1" t="s">
        <v>34</v>
      </c>
      <c r="P1722" s="2">
        <v>4.6296296296296294E-5</v>
      </c>
      <c r="Q1722" s="1" t="str">
        <f>""</f>
        <v/>
      </c>
      <c r="R1722" s="1">
        <v>0</v>
      </c>
      <c r="S1722" s="1" t="str">
        <f>""</f>
        <v/>
      </c>
      <c r="T1722" s="1" t="s">
        <v>29</v>
      </c>
      <c r="U1722" s="1" t="s">
        <v>30</v>
      </c>
      <c r="V1722" s="1">
        <v>0</v>
      </c>
    </row>
    <row r="1723" spans="2:22" x14ac:dyDescent="0.15">
      <c r="B1723" s="1" t="str">
        <f>"010****5243"</f>
        <v>010****5243</v>
      </c>
      <c r="C1723" s="1" t="s">
        <v>23</v>
      </c>
      <c r="D1723" s="1" t="str">
        <f t="shared" si="169"/>
        <v>89177328</v>
      </c>
      <c r="E1723" s="1" t="s">
        <v>24</v>
      </c>
      <c r="F1723" s="1" t="str">
        <f t="shared" si="170"/>
        <v>0010</v>
      </c>
      <c r="G1723" s="1" t="str">
        <f>""</f>
        <v/>
      </c>
      <c r="H1723" s="1" t="str">
        <f>"0033"</f>
        <v>0033</v>
      </c>
      <c r="I1723" s="1" t="s">
        <v>106</v>
      </c>
      <c r="J1723" s="1" t="str">
        <f>"01043977567"</f>
        <v>01043977567</v>
      </c>
      <c r="K1723" s="1" t="str">
        <f>"2017-03-29 10:44:21"</f>
        <v>2017-03-29 10:44:21</v>
      </c>
      <c r="L1723" s="1" t="str">
        <f>"-"</f>
        <v>-</v>
      </c>
      <c r="M1723" s="2">
        <v>0</v>
      </c>
      <c r="N1723" s="1" t="s">
        <v>33</v>
      </c>
      <c r="O1723" s="1" t="s">
        <v>34</v>
      </c>
      <c r="P1723" s="2">
        <v>3.4722222222222222E-5</v>
      </c>
      <c r="Q1723" s="1" t="str">
        <f>""</f>
        <v/>
      </c>
      <c r="R1723" s="1">
        <v>0</v>
      </c>
      <c r="S1723" s="1" t="str">
        <f>""</f>
        <v/>
      </c>
      <c r="T1723" s="1" t="s">
        <v>29</v>
      </c>
      <c r="U1723" s="1" t="s">
        <v>30</v>
      </c>
      <c r="V1723" s="1">
        <v>0</v>
      </c>
    </row>
    <row r="1724" spans="2:22" x14ac:dyDescent="0.15">
      <c r="B1724" s="1" t="str">
        <f>"138****6490"</f>
        <v>138****6490</v>
      </c>
      <c r="C1724" s="1" t="s">
        <v>23</v>
      </c>
      <c r="D1724" s="1" t="str">
        <f t="shared" si="169"/>
        <v>89177328</v>
      </c>
      <c r="E1724" s="1" t="s">
        <v>24</v>
      </c>
      <c r="F1724" s="1" t="str">
        <f t="shared" si="170"/>
        <v>0010</v>
      </c>
      <c r="G1724" s="1" t="str">
        <f>""</f>
        <v/>
      </c>
      <c r="H1724" s="1" t="str">
        <f>"0018"</f>
        <v>0018</v>
      </c>
      <c r="I1724" s="1" t="s">
        <v>36</v>
      </c>
      <c r="J1724" s="1" t="str">
        <f>"01043989718"</f>
        <v>01043989718</v>
      </c>
      <c r="K1724" s="1" t="str">
        <f>"2017-03-29 10:42:03"</f>
        <v>2017-03-29 10:42:03</v>
      </c>
      <c r="L1724" s="1" t="str">
        <f>"2017-03-29 10:42:11"</f>
        <v>2017-03-29 10:42:11</v>
      </c>
      <c r="M1724" s="2">
        <v>5.6597222222222222E-3</v>
      </c>
      <c r="N1724" s="1" t="s">
        <v>26</v>
      </c>
      <c r="O1724" s="1" t="s">
        <v>34</v>
      </c>
      <c r="P1724" s="2">
        <v>5.7523148148148143E-3</v>
      </c>
      <c r="Q1724" s="1" t="s">
        <v>1276</v>
      </c>
      <c r="R1724" s="1">
        <v>0</v>
      </c>
      <c r="S1724" s="1" t="str">
        <f>""</f>
        <v/>
      </c>
      <c r="T1724" s="1" t="s">
        <v>29</v>
      </c>
      <c r="U1724" s="1" t="s">
        <v>30</v>
      </c>
      <c r="V1724" s="1">
        <v>0</v>
      </c>
    </row>
    <row r="1725" spans="2:22" x14ac:dyDescent="0.15">
      <c r="B1725" s="1" t="str">
        <f>"010****5243"</f>
        <v>010****5243</v>
      </c>
      <c r="C1725" s="1" t="s">
        <v>23</v>
      </c>
      <c r="D1725" s="1" t="str">
        <f t="shared" si="169"/>
        <v>89177328</v>
      </c>
      <c r="E1725" s="1" t="s">
        <v>24</v>
      </c>
      <c r="F1725" s="1" t="str">
        <f t="shared" si="170"/>
        <v>0010</v>
      </c>
      <c r="G1725" s="1" t="str">
        <f>""</f>
        <v/>
      </c>
      <c r="H1725" s="1" t="str">
        <f>"0033"</f>
        <v>0033</v>
      </c>
      <c r="I1725" s="1" t="s">
        <v>106</v>
      </c>
      <c r="J1725" s="1" t="str">
        <f>"01043977567"</f>
        <v>01043977567</v>
      </c>
      <c r="K1725" s="1" t="str">
        <f>"2017-03-29 10:41:36"</f>
        <v>2017-03-29 10:41:36</v>
      </c>
      <c r="L1725" s="1" t="str">
        <f>"2017-03-29 10:41:44"</f>
        <v>2017-03-29 10:41:44</v>
      </c>
      <c r="M1725" s="2">
        <v>1.3888888888888889E-4</v>
      </c>
      <c r="N1725" s="1" t="s">
        <v>26</v>
      </c>
      <c r="O1725" s="1" t="s">
        <v>27</v>
      </c>
      <c r="P1725" s="2">
        <v>2.3148148148148146E-4</v>
      </c>
      <c r="Q1725" s="1" t="s">
        <v>1277</v>
      </c>
      <c r="R1725" s="1">
        <v>0</v>
      </c>
      <c r="S1725" s="1" t="str">
        <f>""</f>
        <v/>
      </c>
      <c r="T1725" s="1" t="s">
        <v>29</v>
      </c>
      <c r="U1725" s="1" t="s">
        <v>30</v>
      </c>
      <c r="V1725" s="1">
        <v>0</v>
      </c>
    </row>
    <row r="1726" spans="2:22" x14ac:dyDescent="0.15">
      <c r="B1726" s="1" t="str">
        <f>"010****5243"</f>
        <v>010****5243</v>
      </c>
      <c r="C1726" s="1" t="s">
        <v>23</v>
      </c>
      <c r="D1726" s="1" t="str">
        <f t="shared" si="169"/>
        <v>89177328</v>
      </c>
      <c r="E1726" s="1" t="s">
        <v>24</v>
      </c>
      <c r="F1726" s="1" t="str">
        <f t="shared" si="170"/>
        <v>0010</v>
      </c>
      <c r="G1726" s="1" t="str">
        <f>""</f>
        <v/>
      </c>
      <c r="H1726" s="1" t="str">
        <f>"0033"</f>
        <v>0033</v>
      </c>
      <c r="I1726" s="1" t="s">
        <v>106</v>
      </c>
      <c r="J1726" s="1" t="str">
        <f>"01043977567"</f>
        <v>01043977567</v>
      </c>
      <c r="K1726" s="1" t="str">
        <f>"2017-03-29 10:39:16"</f>
        <v>2017-03-29 10:39:16</v>
      </c>
      <c r="L1726" s="1" t="str">
        <f>"-"</f>
        <v>-</v>
      </c>
      <c r="M1726" s="2">
        <v>0</v>
      </c>
      <c r="N1726" s="1" t="s">
        <v>33</v>
      </c>
      <c r="O1726" s="1" t="s">
        <v>34</v>
      </c>
      <c r="P1726" s="2">
        <v>5.7870370370370366E-5</v>
      </c>
      <c r="Q1726" s="1" t="str">
        <f>""</f>
        <v/>
      </c>
      <c r="R1726" s="1">
        <v>0</v>
      </c>
      <c r="S1726" s="1" t="str">
        <f>""</f>
        <v/>
      </c>
      <c r="T1726" s="1" t="s">
        <v>29</v>
      </c>
      <c r="U1726" s="1" t="s">
        <v>30</v>
      </c>
      <c r="V1726" s="1">
        <v>0</v>
      </c>
    </row>
    <row r="1727" spans="2:22" x14ac:dyDescent="0.15">
      <c r="B1727" s="1" t="str">
        <f>"150****9053"</f>
        <v>150****9053</v>
      </c>
      <c r="C1727" s="1" t="s">
        <v>23</v>
      </c>
      <c r="D1727" s="1" t="str">
        <f t="shared" si="169"/>
        <v>89177328</v>
      </c>
      <c r="E1727" s="1" t="s">
        <v>24</v>
      </c>
      <c r="F1727" s="1" t="str">
        <f t="shared" si="170"/>
        <v>0010</v>
      </c>
      <c r="G1727" s="1" t="str">
        <f>""</f>
        <v/>
      </c>
      <c r="H1727" s="1" t="str">
        <f>"0012"</f>
        <v>0012</v>
      </c>
      <c r="I1727" s="1" t="s">
        <v>612</v>
      </c>
      <c r="J1727" s="1" t="str">
        <f>"01043989720"</f>
        <v>01043989720</v>
      </c>
      <c r="K1727" s="1" t="str">
        <f>"2017-03-29 10:31:33"</f>
        <v>2017-03-29 10:31:33</v>
      </c>
      <c r="L1727" s="1" t="str">
        <f>"2017-03-29 10:31:50"</f>
        <v>2017-03-29 10:31:50</v>
      </c>
      <c r="M1727" s="2">
        <v>2.9861111111111113E-3</v>
      </c>
      <c r="N1727" s="1" t="s">
        <v>26</v>
      </c>
      <c r="O1727" s="1" t="s">
        <v>27</v>
      </c>
      <c r="P1727" s="2">
        <v>3.1828703703703702E-3</v>
      </c>
      <c r="Q1727" s="1" t="s">
        <v>1278</v>
      </c>
      <c r="R1727" s="1">
        <v>0</v>
      </c>
      <c r="S1727" s="1" t="str">
        <f>""</f>
        <v/>
      </c>
      <c r="T1727" s="1" t="s">
        <v>29</v>
      </c>
      <c r="U1727" s="1" t="s">
        <v>30</v>
      </c>
      <c r="V1727" s="1">
        <v>0</v>
      </c>
    </row>
    <row r="1728" spans="2:22" x14ac:dyDescent="0.15">
      <c r="B1728" s="1" t="str">
        <f>"186****5660"</f>
        <v>186****5660</v>
      </c>
      <c r="C1728" s="1" t="s">
        <v>23</v>
      </c>
      <c r="D1728" s="1" t="str">
        <f t="shared" si="169"/>
        <v>89177328</v>
      </c>
      <c r="E1728" s="1" t="s">
        <v>24</v>
      </c>
      <c r="F1728" s="1" t="str">
        <f t="shared" si="170"/>
        <v>0010</v>
      </c>
      <c r="G1728" s="1" t="str">
        <f>""</f>
        <v/>
      </c>
      <c r="H1728" s="1" t="str">
        <f>"0034"</f>
        <v>0034</v>
      </c>
      <c r="I1728" s="1" t="s">
        <v>31</v>
      </c>
      <c r="J1728" s="1" t="str">
        <f>"01043977568"</f>
        <v>01043977568</v>
      </c>
      <c r="K1728" s="1" t="str">
        <f>"2017-03-29 10:28:29"</f>
        <v>2017-03-29 10:28:29</v>
      </c>
      <c r="L1728" s="1" t="str">
        <f>"2017-03-29 10:28:38"</f>
        <v>2017-03-29 10:28:38</v>
      </c>
      <c r="M1728" s="2">
        <v>1.091435185185185E-2</v>
      </c>
      <c r="N1728" s="1" t="s">
        <v>26</v>
      </c>
      <c r="O1728" s="1" t="s">
        <v>34</v>
      </c>
      <c r="P1728" s="2">
        <v>1.1018518518518518E-2</v>
      </c>
      <c r="Q1728" s="1" t="s">
        <v>1279</v>
      </c>
      <c r="R1728" s="1">
        <v>0</v>
      </c>
      <c r="S1728" s="1" t="str">
        <f>""</f>
        <v/>
      </c>
      <c r="T1728" s="1" t="s">
        <v>29</v>
      </c>
      <c r="U1728" s="1" t="s">
        <v>30</v>
      </c>
      <c r="V1728" s="1">
        <v>0</v>
      </c>
    </row>
    <row r="1729" spans="2:22" x14ac:dyDescent="0.15">
      <c r="B1729" s="1" t="str">
        <f>"158****2061"</f>
        <v>158****2061</v>
      </c>
      <c r="C1729" s="1" t="s">
        <v>44</v>
      </c>
      <c r="D1729" s="1" t="str">
        <f t="shared" si="169"/>
        <v>89177328</v>
      </c>
      <c r="E1729" s="1" t="s">
        <v>24</v>
      </c>
      <c r="F1729" s="1" t="str">
        <f t="shared" si="170"/>
        <v>0010</v>
      </c>
      <c r="G1729" s="1" t="str">
        <f>""</f>
        <v/>
      </c>
      <c r="H1729" s="1" t="str">
        <f>"0033"</f>
        <v>0033</v>
      </c>
      <c r="I1729" s="1" t="s">
        <v>106</v>
      </c>
      <c r="J1729" s="1" t="str">
        <f>"01043977567"</f>
        <v>01043977567</v>
      </c>
      <c r="K1729" s="1" t="str">
        <f>"2017-03-29 10:26:58"</f>
        <v>2017-03-29 10:26:58</v>
      </c>
      <c r="L1729" s="1" t="str">
        <f>"2017-03-29 10:27:08"</f>
        <v>2017-03-29 10:27:08</v>
      </c>
      <c r="M1729" s="2">
        <v>4.6643518518518518E-3</v>
      </c>
      <c r="N1729" s="1" t="s">
        <v>26</v>
      </c>
      <c r="O1729" s="1" t="s">
        <v>27</v>
      </c>
      <c r="P1729" s="2">
        <v>4.7800925925925919E-3</v>
      </c>
      <c r="Q1729" s="1" t="s">
        <v>1280</v>
      </c>
      <c r="R1729" s="1">
        <v>0</v>
      </c>
      <c r="S1729" s="1" t="str">
        <f>""</f>
        <v/>
      </c>
      <c r="T1729" s="1" t="s">
        <v>29</v>
      </c>
      <c r="U1729" s="1" t="s">
        <v>30</v>
      </c>
      <c r="V1729" s="1">
        <v>0</v>
      </c>
    </row>
    <row r="1730" spans="2:22" x14ac:dyDescent="0.15">
      <c r="B1730" s="1" t="str">
        <f>"186****6298"</f>
        <v>186****6298</v>
      </c>
      <c r="C1730" s="1" t="s">
        <v>872</v>
      </c>
      <c r="D1730" s="1" t="str">
        <f t="shared" si="169"/>
        <v>89177328</v>
      </c>
      <c r="E1730" s="1" t="s">
        <v>24</v>
      </c>
      <c r="F1730" s="1" t="str">
        <f t="shared" si="170"/>
        <v>0010</v>
      </c>
      <c r="G1730" s="1" t="str">
        <f>""</f>
        <v/>
      </c>
      <c r="H1730" s="1" t="str">
        <f>"0031"</f>
        <v>0031</v>
      </c>
      <c r="I1730" s="1" t="s">
        <v>95</v>
      </c>
      <c r="J1730" s="1" t="str">
        <f>"01043977565"</f>
        <v>01043977565</v>
      </c>
      <c r="K1730" s="1" t="str">
        <f>"2017-03-29 10:18:58"</f>
        <v>2017-03-29 10:18:58</v>
      </c>
      <c r="L1730" s="1" t="str">
        <f>"2017-03-29 10:19:29"</f>
        <v>2017-03-29 10:19:29</v>
      </c>
      <c r="M1730" s="2">
        <v>1.1574074074074075E-2</v>
      </c>
      <c r="N1730" s="1" t="s">
        <v>26</v>
      </c>
      <c r="O1730" s="1" t="s">
        <v>27</v>
      </c>
      <c r="P1730" s="2">
        <v>1.1932870370370371E-2</v>
      </c>
      <c r="Q1730" s="1" t="s">
        <v>1281</v>
      </c>
      <c r="R1730" s="1">
        <v>0</v>
      </c>
      <c r="S1730" s="1" t="str">
        <f>""</f>
        <v/>
      </c>
      <c r="T1730" s="1" t="s">
        <v>29</v>
      </c>
      <c r="U1730" s="1" t="s">
        <v>30</v>
      </c>
      <c r="V1730" s="1">
        <v>0</v>
      </c>
    </row>
    <row r="1731" spans="2:22" x14ac:dyDescent="0.15">
      <c r="B1731" s="1" t="str">
        <f>"158****1775"</f>
        <v>158****1775</v>
      </c>
      <c r="C1731" s="1" t="s">
        <v>23</v>
      </c>
      <c r="D1731" s="1" t="str">
        <f t="shared" si="169"/>
        <v>89177328</v>
      </c>
      <c r="E1731" s="1" t="s">
        <v>24</v>
      </c>
      <c r="F1731" s="1" t="str">
        <f t="shared" si="170"/>
        <v>0010</v>
      </c>
      <c r="G1731" s="1" t="str">
        <f>""</f>
        <v/>
      </c>
      <c r="H1731" s="1" t="str">
        <f>"0033"</f>
        <v>0033</v>
      </c>
      <c r="I1731" s="1" t="s">
        <v>106</v>
      </c>
      <c r="J1731" s="1" t="str">
        <f>"01043977567"</f>
        <v>01043977567</v>
      </c>
      <c r="K1731" s="1" t="str">
        <f>"2017-03-29 10:17:23"</f>
        <v>2017-03-29 10:17:23</v>
      </c>
      <c r="L1731" s="1" t="str">
        <f>"2017-03-29 10:17:37"</f>
        <v>2017-03-29 10:17:37</v>
      </c>
      <c r="M1731" s="2">
        <v>3.5532407407407405E-3</v>
      </c>
      <c r="N1731" s="1" t="s">
        <v>26</v>
      </c>
      <c r="O1731" s="1" t="s">
        <v>27</v>
      </c>
      <c r="P1731" s="2">
        <v>3.7152777777777774E-3</v>
      </c>
      <c r="Q1731" s="1" t="s">
        <v>1282</v>
      </c>
      <c r="R1731" s="1">
        <v>0</v>
      </c>
      <c r="S1731" s="1" t="str">
        <f>""</f>
        <v/>
      </c>
      <c r="T1731" s="1" t="s">
        <v>29</v>
      </c>
      <c r="U1731" s="1" t="s">
        <v>30</v>
      </c>
      <c r="V1731" s="1">
        <v>0</v>
      </c>
    </row>
    <row r="1732" spans="2:22" x14ac:dyDescent="0.15">
      <c r="B1732" s="1" t="str">
        <f>"133****9798"</f>
        <v>133****9798</v>
      </c>
      <c r="C1732" s="1" t="s">
        <v>1283</v>
      </c>
      <c r="D1732" s="1" t="str">
        <f>"4000108333"</f>
        <v>4000108333</v>
      </c>
      <c r="E1732" s="1" t="s">
        <v>53</v>
      </c>
      <c r="F1732" s="1" t="str">
        <f>"0000"</f>
        <v>0000</v>
      </c>
      <c r="G1732" s="1" t="str">
        <f>""</f>
        <v/>
      </c>
      <c r="H1732" s="1" t="str">
        <f>"1012"</f>
        <v>1012</v>
      </c>
      <c r="I1732" s="1" t="s">
        <v>54</v>
      </c>
      <c r="J1732" s="1" t="str">
        <f>"13611040764"</f>
        <v>13611040764</v>
      </c>
      <c r="K1732" s="1" t="str">
        <f>"2017-03-29 10:03:00"</f>
        <v>2017-03-29 10:03:00</v>
      </c>
      <c r="L1732" s="1" t="str">
        <f>"2017-03-29 10:03:37"</f>
        <v>2017-03-29 10:03:37</v>
      </c>
      <c r="M1732" s="2">
        <v>1.6782407407407406E-3</v>
      </c>
      <c r="N1732" s="1" t="s">
        <v>26</v>
      </c>
      <c r="O1732" s="1" t="s">
        <v>27</v>
      </c>
      <c r="P1732" s="2">
        <v>2.1064814814814813E-3</v>
      </c>
      <c r="Q1732" s="1" t="s">
        <v>1284</v>
      </c>
      <c r="R1732" s="1">
        <v>0.48</v>
      </c>
      <c r="S1732" s="1" t="str">
        <f>""</f>
        <v/>
      </c>
      <c r="T1732" s="1" t="s">
        <v>29</v>
      </c>
      <c r="U1732" s="1" t="s">
        <v>30</v>
      </c>
      <c r="V1732" s="1">
        <v>0</v>
      </c>
    </row>
    <row r="1733" spans="2:22" x14ac:dyDescent="0.15">
      <c r="B1733" s="1" t="str">
        <f>"185****2269"</f>
        <v>185****2269</v>
      </c>
      <c r="C1733" s="1" t="s">
        <v>23</v>
      </c>
      <c r="D1733" s="1" t="str">
        <f t="shared" ref="D1733:D1796" si="172">"89177328"</f>
        <v>89177328</v>
      </c>
      <c r="E1733" s="1" t="s">
        <v>24</v>
      </c>
      <c r="F1733" s="1" t="str">
        <f t="shared" ref="F1733:F1796" si="173">"0010"</f>
        <v>0010</v>
      </c>
      <c r="G1733" s="1" t="str">
        <f>""</f>
        <v/>
      </c>
      <c r="H1733" s="1" t="str">
        <f>"0018"</f>
        <v>0018</v>
      </c>
      <c r="I1733" s="1" t="s">
        <v>36</v>
      </c>
      <c r="J1733" s="1" t="str">
        <f>"01043989718"</f>
        <v>01043989718</v>
      </c>
      <c r="K1733" s="1" t="str">
        <f>"2017-03-29 09:55:45"</f>
        <v>2017-03-29 09:55:45</v>
      </c>
      <c r="L1733" s="1" t="str">
        <f>"2017-03-29 09:55:52"</f>
        <v>2017-03-29 09:55:52</v>
      </c>
      <c r="M1733" s="2">
        <v>4.3749999999999995E-3</v>
      </c>
      <c r="N1733" s="1" t="s">
        <v>26</v>
      </c>
      <c r="O1733" s="1" t="s">
        <v>34</v>
      </c>
      <c r="P1733" s="2">
        <v>4.4560185185185189E-3</v>
      </c>
      <c r="Q1733" s="1" t="s">
        <v>1285</v>
      </c>
      <c r="R1733" s="1">
        <v>0</v>
      </c>
      <c r="S1733" s="1" t="str">
        <f>""</f>
        <v/>
      </c>
      <c r="T1733" s="1" t="s">
        <v>29</v>
      </c>
      <c r="U1733" s="1" t="s">
        <v>30</v>
      </c>
      <c r="V1733" s="1">
        <v>0</v>
      </c>
    </row>
    <row r="1734" spans="2:22" x14ac:dyDescent="0.15">
      <c r="B1734" s="1" t="str">
        <f>"189****9952"</f>
        <v>189****9952</v>
      </c>
      <c r="C1734" s="1" t="s">
        <v>23</v>
      </c>
      <c r="D1734" s="1" t="str">
        <f t="shared" si="172"/>
        <v>89177328</v>
      </c>
      <c r="E1734" s="1" t="s">
        <v>24</v>
      </c>
      <c r="F1734" s="1" t="str">
        <f t="shared" si="173"/>
        <v>0010</v>
      </c>
      <c r="G1734" s="1" t="str">
        <f>""</f>
        <v/>
      </c>
      <c r="H1734" s="1" t="str">
        <f>"0031"</f>
        <v>0031</v>
      </c>
      <c r="I1734" s="1" t="s">
        <v>95</v>
      </c>
      <c r="J1734" s="1" t="str">
        <f>"01043977565"</f>
        <v>01043977565</v>
      </c>
      <c r="K1734" s="1" t="str">
        <f>"2017-03-29 09:54:13"</f>
        <v>2017-03-29 09:54:13</v>
      </c>
      <c r="L1734" s="1" t="str">
        <f>"2017-03-29 09:54:23"</f>
        <v>2017-03-29 09:54:23</v>
      </c>
      <c r="M1734" s="2">
        <v>7.4189814814814813E-3</v>
      </c>
      <c r="N1734" s="1" t="s">
        <v>26</v>
      </c>
      <c r="O1734" s="1" t="s">
        <v>27</v>
      </c>
      <c r="P1734" s="2">
        <v>7.5347222222222213E-3</v>
      </c>
      <c r="Q1734" s="1" t="s">
        <v>1286</v>
      </c>
      <c r="R1734" s="1">
        <v>0</v>
      </c>
      <c r="S1734" s="1" t="str">
        <f>""</f>
        <v/>
      </c>
      <c r="T1734" s="1" t="s">
        <v>29</v>
      </c>
      <c r="U1734" s="1" t="s">
        <v>30</v>
      </c>
      <c r="V1734" s="1">
        <v>0</v>
      </c>
    </row>
    <row r="1735" spans="2:22" x14ac:dyDescent="0.15">
      <c r="B1735" s="1" t="str">
        <f>"187****1117"</f>
        <v>187****1117</v>
      </c>
      <c r="C1735" s="1" t="s">
        <v>1287</v>
      </c>
      <c r="D1735" s="1" t="str">
        <f t="shared" si="172"/>
        <v>89177328</v>
      </c>
      <c r="E1735" s="1" t="s">
        <v>24</v>
      </c>
      <c r="F1735" s="1" t="str">
        <f t="shared" si="173"/>
        <v>0010</v>
      </c>
      <c r="G1735" s="1" t="str">
        <f>""</f>
        <v/>
      </c>
      <c r="H1735" s="1" t="str">
        <f>"0017"</f>
        <v>0017</v>
      </c>
      <c r="I1735" s="1" t="s">
        <v>135</v>
      </c>
      <c r="J1735" s="1" t="str">
        <f>"01043989717"</f>
        <v>01043989717</v>
      </c>
      <c r="K1735" s="1" t="str">
        <f>"2017-03-29 09:49:02"</f>
        <v>2017-03-29 09:49:02</v>
      </c>
      <c r="L1735" s="1" t="str">
        <f>"2017-03-29 09:49:10"</f>
        <v>2017-03-29 09:49:10</v>
      </c>
      <c r="M1735" s="2">
        <v>3.9351851851851852E-4</v>
      </c>
      <c r="N1735" s="1" t="s">
        <v>26</v>
      </c>
      <c r="O1735" s="1" t="s">
        <v>27</v>
      </c>
      <c r="P1735" s="2">
        <v>4.8611111111111104E-4</v>
      </c>
      <c r="Q1735" s="1" t="s">
        <v>1288</v>
      </c>
      <c r="R1735" s="1">
        <v>0</v>
      </c>
      <c r="S1735" s="1" t="str">
        <f>""</f>
        <v/>
      </c>
      <c r="T1735" s="1" t="s">
        <v>29</v>
      </c>
      <c r="U1735" s="1" t="s">
        <v>30</v>
      </c>
      <c r="V1735" s="1">
        <v>0</v>
      </c>
    </row>
    <row r="1736" spans="2:22" x14ac:dyDescent="0.15">
      <c r="B1736" s="1" t="str">
        <f>"130****8255"</f>
        <v>130****8255</v>
      </c>
      <c r="C1736" s="1" t="s">
        <v>126</v>
      </c>
      <c r="D1736" s="1" t="str">
        <f t="shared" si="172"/>
        <v>89177328</v>
      </c>
      <c r="E1736" s="1" t="s">
        <v>24</v>
      </c>
      <c r="F1736" s="1" t="str">
        <f t="shared" si="173"/>
        <v>0010</v>
      </c>
      <c r="G1736" s="1" t="str">
        <f>""</f>
        <v/>
      </c>
      <c r="H1736" s="1" t="str">
        <f>"0034"</f>
        <v>0034</v>
      </c>
      <c r="I1736" s="1" t="s">
        <v>31</v>
      </c>
      <c r="J1736" s="1" t="str">
        <f>"01043977568"</f>
        <v>01043977568</v>
      </c>
      <c r="K1736" s="1" t="str">
        <f>"2017-03-29 09:39:56"</f>
        <v>2017-03-29 09:39:56</v>
      </c>
      <c r="L1736" s="1" t="str">
        <f>"2017-03-29 09:40:07"</f>
        <v>2017-03-29 09:40:07</v>
      </c>
      <c r="M1736" s="2">
        <v>1.1574074074074073E-3</v>
      </c>
      <c r="N1736" s="1" t="s">
        <v>26</v>
      </c>
      <c r="O1736" s="1" t="s">
        <v>27</v>
      </c>
      <c r="P1736" s="2">
        <v>1.2847222222222223E-3</v>
      </c>
      <c r="Q1736" s="1" t="s">
        <v>1289</v>
      </c>
      <c r="R1736" s="1">
        <v>0</v>
      </c>
      <c r="S1736" s="1" t="str">
        <f>""</f>
        <v/>
      </c>
      <c r="T1736" s="1" t="s">
        <v>29</v>
      </c>
      <c r="U1736" s="1" t="s">
        <v>30</v>
      </c>
      <c r="V1736" s="1">
        <v>0</v>
      </c>
    </row>
    <row r="1737" spans="2:22" x14ac:dyDescent="0.15">
      <c r="B1737" s="1" t="str">
        <f>"131****8740"</f>
        <v>131****8740</v>
      </c>
      <c r="C1737" s="1" t="s">
        <v>23</v>
      </c>
      <c r="D1737" s="1" t="str">
        <f t="shared" si="172"/>
        <v>89177328</v>
      </c>
      <c r="E1737" s="1" t="s">
        <v>24</v>
      </c>
      <c r="F1737" s="1" t="str">
        <f t="shared" si="173"/>
        <v>0010</v>
      </c>
      <c r="G1737" s="1" t="str">
        <f>""</f>
        <v/>
      </c>
      <c r="H1737" s="1" t="str">
        <f>"0033"</f>
        <v>0033</v>
      </c>
      <c r="I1737" s="1" t="s">
        <v>106</v>
      </c>
      <c r="J1737" s="1" t="str">
        <f>"01043977567"</f>
        <v>01043977567</v>
      </c>
      <c r="K1737" s="1" t="str">
        <f>"2017-03-29 09:37:34"</f>
        <v>2017-03-29 09:37:34</v>
      </c>
      <c r="L1737" s="1" t="str">
        <f>"2017-03-29 09:37:44"</f>
        <v>2017-03-29 09:37:44</v>
      </c>
      <c r="M1737" s="2">
        <v>4.363425925925926E-3</v>
      </c>
      <c r="N1737" s="1" t="s">
        <v>26</v>
      </c>
      <c r="O1737" s="1" t="s">
        <v>27</v>
      </c>
      <c r="P1737" s="2">
        <v>4.4791666666666669E-3</v>
      </c>
      <c r="Q1737" s="1" t="s">
        <v>1290</v>
      </c>
      <c r="R1737" s="1">
        <v>0</v>
      </c>
      <c r="S1737" s="1" t="str">
        <f>""</f>
        <v/>
      </c>
      <c r="T1737" s="1" t="s">
        <v>29</v>
      </c>
      <c r="U1737" s="1" t="s">
        <v>30</v>
      </c>
      <c r="V1737" s="1">
        <v>0</v>
      </c>
    </row>
    <row r="1738" spans="2:22" x14ac:dyDescent="0.15">
      <c r="B1738" s="1" t="str">
        <f>"183****3901"</f>
        <v>183****3901</v>
      </c>
      <c r="C1738" s="1" t="s">
        <v>226</v>
      </c>
      <c r="D1738" s="1" t="str">
        <f t="shared" si="172"/>
        <v>89177328</v>
      </c>
      <c r="E1738" s="1" t="s">
        <v>24</v>
      </c>
      <c r="F1738" s="1" t="str">
        <f t="shared" si="173"/>
        <v>0010</v>
      </c>
      <c r="G1738" s="1" t="str">
        <f>""</f>
        <v/>
      </c>
      <c r="H1738" s="1" t="str">
        <f>"0017"</f>
        <v>0017</v>
      </c>
      <c r="I1738" s="1" t="s">
        <v>135</v>
      </c>
      <c r="J1738" s="1" t="str">
        <f>"01043989717"</f>
        <v>01043989717</v>
      </c>
      <c r="K1738" s="1" t="str">
        <f>"2017-03-29 09:00:39"</f>
        <v>2017-03-29 09:00:39</v>
      </c>
      <c r="L1738" s="1" t="str">
        <f>"2017-03-29 09:00:45"</f>
        <v>2017-03-29 09:00:45</v>
      </c>
      <c r="M1738" s="2">
        <v>4.0393518518518521E-3</v>
      </c>
      <c r="N1738" s="1" t="s">
        <v>26</v>
      </c>
      <c r="O1738" s="1" t="s">
        <v>27</v>
      </c>
      <c r="P1738" s="2">
        <v>4.108796296296297E-3</v>
      </c>
      <c r="Q1738" s="1" t="s">
        <v>1291</v>
      </c>
      <c r="R1738" s="1">
        <v>0</v>
      </c>
      <c r="S1738" s="1" t="str">
        <f>""</f>
        <v/>
      </c>
      <c r="T1738" s="1" t="s">
        <v>29</v>
      </c>
      <c r="U1738" s="1" t="s">
        <v>30</v>
      </c>
      <c r="V1738" s="1">
        <v>0</v>
      </c>
    </row>
    <row r="1739" spans="2:22" x14ac:dyDescent="0.15">
      <c r="B1739" s="1" t="str">
        <f>"186****6408"</f>
        <v>186****6408</v>
      </c>
      <c r="C1739" s="1" t="s">
        <v>23</v>
      </c>
      <c r="D1739" s="1" t="str">
        <f t="shared" si="172"/>
        <v>89177328</v>
      </c>
      <c r="E1739" s="1" t="s">
        <v>24</v>
      </c>
      <c r="F1739" s="1" t="str">
        <f t="shared" si="173"/>
        <v>0010</v>
      </c>
      <c r="G1739" s="1" t="str">
        <f>""</f>
        <v/>
      </c>
      <c r="H1739" s="1" t="str">
        <f>"0012"</f>
        <v>0012</v>
      </c>
      <c r="I1739" s="1" t="s">
        <v>612</v>
      </c>
      <c r="J1739" s="1" t="str">
        <f>"01043989720"</f>
        <v>01043989720</v>
      </c>
      <c r="K1739" s="1" t="str">
        <f>"2017-03-29 08:56:02"</f>
        <v>2017-03-29 08:56:02</v>
      </c>
      <c r="L1739" s="1" t="str">
        <f>"2017-03-29 08:56:12"</f>
        <v>2017-03-29 08:56:12</v>
      </c>
      <c r="M1739" s="2">
        <v>1.247685185185185E-2</v>
      </c>
      <c r="N1739" s="1" t="s">
        <v>26</v>
      </c>
      <c r="O1739" s="1" t="s">
        <v>27</v>
      </c>
      <c r="P1739" s="2">
        <v>1.2592592592592593E-2</v>
      </c>
      <c r="Q1739" s="1" t="s">
        <v>1292</v>
      </c>
      <c r="R1739" s="1">
        <v>0</v>
      </c>
      <c r="S1739" s="1" t="str">
        <f>""</f>
        <v/>
      </c>
      <c r="T1739" s="1" t="s">
        <v>29</v>
      </c>
      <c r="U1739" s="1" t="s">
        <v>30</v>
      </c>
      <c r="V1739" s="1">
        <v>0</v>
      </c>
    </row>
    <row r="1740" spans="2:22" x14ac:dyDescent="0.15">
      <c r="B1740" s="1" t="str">
        <f>"010****4855"</f>
        <v>010****4855</v>
      </c>
      <c r="C1740" s="1" t="s">
        <v>23</v>
      </c>
      <c r="D1740" s="1" t="str">
        <f t="shared" si="172"/>
        <v>89177328</v>
      </c>
      <c r="E1740" s="1" t="s">
        <v>24</v>
      </c>
      <c r="F1740" s="1" t="str">
        <f t="shared" si="173"/>
        <v>0010</v>
      </c>
      <c r="G1740" s="1" t="str">
        <f>""</f>
        <v/>
      </c>
      <c r="H1740" s="1" t="str">
        <f>"0018"</f>
        <v>0018</v>
      </c>
      <c r="I1740" s="1" t="s">
        <v>36</v>
      </c>
      <c r="J1740" s="1" t="str">
        <f>"01043989718"</f>
        <v>01043989718</v>
      </c>
      <c r="K1740" s="1" t="str">
        <f>"2017-03-29 08:54:33"</f>
        <v>2017-03-29 08:54:33</v>
      </c>
      <c r="L1740" s="1" t="str">
        <f>"2017-03-29 08:54:43"</f>
        <v>2017-03-29 08:54:43</v>
      </c>
      <c r="M1740" s="2">
        <v>2.8703703703703708E-3</v>
      </c>
      <c r="N1740" s="1" t="s">
        <v>26</v>
      </c>
      <c r="O1740" s="1" t="s">
        <v>34</v>
      </c>
      <c r="P1740" s="2">
        <v>2.9861111111111113E-3</v>
      </c>
      <c r="Q1740" s="1" t="s">
        <v>1293</v>
      </c>
      <c r="R1740" s="1">
        <v>0</v>
      </c>
      <c r="S1740" s="1" t="str">
        <f>""</f>
        <v/>
      </c>
      <c r="T1740" s="1" t="s">
        <v>29</v>
      </c>
      <c r="U1740" s="1" t="s">
        <v>30</v>
      </c>
      <c r="V1740" s="1">
        <v>0</v>
      </c>
    </row>
    <row r="1741" spans="2:22" x14ac:dyDescent="0.15">
      <c r="B1741" s="1" t="str">
        <f>"137****0580"</f>
        <v>137****0580</v>
      </c>
      <c r="C1741" s="1" t="s">
        <v>23</v>
      </c>
      <c r="D1741" s="1" t="str">
        <f t="shared" si="172"/>
        <v>89177328</v>
      </c>
      <c r="E1741" s="1" t="s">
        <v>24</v>
      </c>
      <c r="F1741" s="1" t="str">
        <f t="shared" si="173"/>
        <v>0010</v>
      </c>
      <c r="G1741" s="1" t="str">
        <f>""</f>
        <v/>
      </c>
      <c r="H1741" s="1" t="str">
        <f>"0017"</f>
        <v>0017</v>
      </c>
      <c r="I1741" s="1" t="s">
        <v>135</v>
      </c>
      <c r="J1741" s="1" t="str">
        <f>"01043989717"</f>
        <v>01043989717</v>
      </c>
      <c r="K1741" s="1" t="str">
        <f>"2017-03-29 08:53:54"</f>
        <v>2017-03-29 08:53:54</v>
      </c>
      <c r="L1741" s="1" t="str">
        <f>"2017-03-29 08:54:03"</f>
        <v>2017-03-29 08:54:03</v>
      </c>
      <c r="M1741" s="2">
        <v>1.4004629629629629E-3</v>
      </c>
      <c r="N1741" s="1" t="s">
        <v>26</v>
      </c>
      <c r="O1741" s="1" t="s">
        <v>27</v>
      </c>
      <c r="P1741" s="2">
        <v>1.5046296296296294E-3</v>
      </c>
      <c r="Q1741" s="1" t="s">
        <v>1294</v>
      </c>
      <c r="R1741" s="1">
        <v>0</v>
      </c>
      <c r="S1741" s="1" t="str">
        <f>""</f>
        <v/>
      </c>
      <c r="T1741" s="1" t="s">
        <v>29</v>
      </c>
      <c r="U1741" s="1" t="s">
        <v>30</v>
      </c>
      <c r="V1741" s="1">
        <v>0</v>
      </c>
    </row>
    <row r="1742" spans="2:22" x14ac:dyDescent="0.15">
      <c r="B1742" s="1" t="str">
        <f>"136****5188"</f>
        <v>136****5188</v>
      </c>
      <c r="C1742" s="1" t="s">
        <v>23</v>
      </c>
      <c r="D1742" s="1" t="str">
        <f t="shared" si="172"/>
        <v>89177328</v>
      </c>
      <c r="E1742" s="1" t="s">
        <v>24</v>
      </c>
      <c r="F1742" s="1" t="str">
        <f t="shared" si="173"/>
        <v>0010</v>
      </c>
      <c r="G1742" s="1" t="str">
        <f>""</f>
        <v/>
      </c>
      <c r="H1742" s="1" t="str">
        <f>"0017"</f>
        <v>0017</v>
      </c>
      <c r="I1742" s="1" t="s">
        <v>135</v>
      </c>
      <c r="J1742" s="1" t="str">
        <f>"01043989717"</f>
        <v>01043989717</v>
      </c>
      <c r="K1742" s="1" t="str">
        <f>"2017-03-29 08:20:35"</f>
        <v>2017-03-29 08:20:35</v>
      </c>
      <c r="L1742" s="1" t="str">
        <f>"2017-03-29 08:20:43"</f>
        <v>2017-03-29 08:20:43</v>
      </c>
      <c r="M1742" s="2">
        <v>1.4351851851851854E-3</v>
      </c>
      <c r="N1742" s="1" t="s">
        <v>26</v>
      </c>
      <c r="O1742" s="1" t="s">
        <v>27</v>
      </c>
      <c r="P1742" s="2">
        <v>1.5277777777777779E-3</v>
      </c>
      <c r="Q1742" s="1" t="s">
        <v>1295</v>
      </c>
      <c r="R1742" s="1">
        <v>0</v>
      </c>
      <c r="S1742" s="1" t="str">
        <f>""</f>
        <v/>
      </c>
      <c r="T1742" s="1" t="s">
        <v>29</v>
      </c>
      <c r="U1742" s="1" t="s">
        <v>30</v>
      </c>
      <c r="V1742" s="1">
        <v>0</v>
      </c>
    </row>
    <row r="1743" spans="2:22" x14ac:dyDescent="0.15">
      <c r="B1743" s="1" t="str">
        <f>"135****7255"</f>
        <v>135****7255</v>
      </c>
      <c r="C1743" s="1" t="s">
        <v>23</v>
      </c>
      <c r="D1743" s="1" t="str">
        <f t="shared" si="172"/>
        <v>89177328</v>
      </c>
      <c r="E1743" s="1" t="s">
        <v>24</v>
      </c>
      <c r="F1743" s="1" t="str">
        <f t="shared" si="173"/>
        <v>0010</v>
      </c>
      <c r="G1743" s="1" t="str">
        <f>""</f>
        <v/>
      </c>
      <c r="H1743" s="1" t="str">
        <f>"0034"</f>
        <v>0034</v>
      </c>
      <c r="I1743" s="1" t="s">
        <v>31</v>
      </c>
      <c r="J1743" s="1" t="str">
        <f>"01043977568"</f>
        <v>01043977568</v>
      </c>
      <c r="K1743" s="1" t="str">
        <f>"2017-03-29 08:16:17"</f>
        <v>2017-03-29 08:16:17</v>
      </c>
      <c r="L1743" s="1" t="str">
        <f>"2017-03-29 08:16:26"</f>
        <v>2017-03-29 08:16:26</v>
      </c>
      <c r="M1743" s="2">
        <v>8.1018518518518516E-4</v>
      </c>
      <c r="N1743" s="1" t="s">
        <v>26</v>
      </c>
      <c r="O1743" s="1" t="s">
        <v>27</v>
      </c>
      <c r="P1743" s="2">
        <v>9.1435185185185185E-4</v>
      </c>
      <c r="Q1743" s="1" t="s">
        <v>1296</v>
      </c>
      <c r="R1743" s="1">
        <v>0</v>
      </c>
      <c r="S1743" s="1" t="str">
        <f>""</f>
        <v/>
      </c>
      <c r="T1743" s="1" t="s">
        <v>29</v>
      </c>
      <c r="U1743" s="1" t="s">
        <v>30</v>
      </c>
      <c r="V1743" s="1">
        <v>0</v>
      </c>
    </row>
    <row r="1744" spans="2:22" x14ac:dyDescent="0.15">
      <c r="B1744" s="1" t="str">
        <f>"152****1592"</f>
        <v>152****1592</v>
      </c>
      <c r="C1744" s="1" t="s">
        <v>23</v>
      </c>
      <c r="D1744" s="1" t="str">
        <f t="shared" si="172"/>
        <v>89177328</v>
      </c>
      <c r="E1744" s="1" t="s">
        <v>24</v>
      </c>
      <c r="F1744" s="1" t="str">
        <f t="shared" si="173"/>
        <v>0010</v>
      </c>
      <c r="G1744" s="1" t="str">
        <f>""</f>
        <v/>
      </c>
      <c r="H1744" s="1" t="str">
        <f>"0018"</f>
        <v>0018</v>
      </c>
      <c r="I1744" s="1" t="s">
        <v>36</v>
      </c>
      <c r="J1744" s="1" t="str">
        <f>"01043989718"</f>
        <v>01043989718</v>
      </c>
      <c r="K1744" s="1" t="str">
        <f>"2017-03-28 20:41:39"</f>
        <v>2017-03-28 20:41:39</v>
      </c>
      <c r="L1744" s="1" t="str">
        <f>"2017-03-28 20:41:48"</f>
        <v>2017-03-28 20:41:48</v>
      </c>
      <c r="M1744" s="2">
        <v>2.3958333333333336E-3</v>
      </c>
      <c r="N1744" s="1" t="s">
        <v>26</v>
      </c>
      <c r="O1744" s="1" t="s">
        <v>34</v>
      </c>
      <c r="P1744" s="2">
        <v>2.5000000000000001E-3</v>
      </c>
      <c r="Q1744" s="1" t="s">
        <v>1297</v>
      </c>
      <c r="R1744" s="1">
        <v>0</v>
      </c>
      <c r="S1744" s="1" t="str">
        <f>""</f>
        <v/>
      </c>
      <c r="T1744" s="1" t="s">
        <v>29</v>
      </c>
      <c r="U1744" s="1" t="s">
        <v>30</v>
      </c>
      <c r="V1744" s="1">
        <v>0</v>
      </c>
    </row>
    <row r="1745" spans="2:22" x14ac:dyDescent="0.15">
      <c r="B1745" s="1" t="str">
        <f>"187****1150"</f>
        <v>187****1150</v>
      </c>
      <c r="C1745" s="1" t="s">
        <v>23</v>
      </c>
      <c r="D1745" s="1" t="str">
        <f t="shared" si="172"/>
        <v>89177328</v>
      </c>
      <c r="E1745" s="1" t="s">
        <v>24</v>
      </c>
      <c r="F1745" s="1" t="str">
        <f t="shared" si="173"/>
        <v>0010</v>
      </c>
      <c r="G1745" s="1" t="str">
        <f>""</f>
        <v/>
      </c>
      <c r="H1745" s="1" t="str">
        <f>"0018"</f>
        <v>0018</v>
      </c>
      <c r="I1745" s="1" t="s">
        <v>36</v>
      </c>
      <c r="J1745" s="1" t="str">
        <f>"01043989718"</f>
        <v>01043989718</v>
      </c>
      <c r="K1745" s="1" t="str">
        <f>"2017-03-28 20:22:36"</f>
        <v>2017-03-28 20:22:36</v>
      </c>
      <c r="L1745" s="1" t="str">
        <f>"2017-03-28 20:22:44"</f>
        <v>2017-03-28 20:22:44</v>
      </c>
      <c r="M1745" s="2">
        <v>5.8680555555555543E-3</v>
      </c>
      <c r="N1745" s="1" t="s">
        <v>26</v>
      </c>
      <c r="O1745" s="1" t="s">
        <v>34</v>
      </c>
      <c r="P1745" s="2">
        <v>5.9606481481481489E-3</v>
      </c>
      <c r="Q1745" s="1" t="s">
        <v>1298</v>
      </c>
      <c r="R1745" s="1">
        <v>0</v>
      </c>
      <c r="S1745" s="1" t="str">
        <f>""</f>
        <v/>
      </c>
      <c r="T1745" s="1" t="s">
        <v>29</v>
      </c>
      <c r="U1745" s="1" t="s">
        <v>30</v>
      </c>
      <c r="V1745" s="1">
        <v>0</v>
      </c>
    </row>
    <row r="1746" spans="2:22" x14ac:dyDescent="0.15">
      <c r="B1746" s="1" t="str">
        <f>"131****1545"</f>
        <v>131****1545</v>
      </c>
      <c r="C1746" s="1" t="s">
        <v>23</v>
      </c>
      <c r="D1746" s="1" t="str">
        <f t="shared" si="172"/>
        <v>89177328</v>
      </c>
      <c r="E1746" s="1" t="s">
        <v>24</v>
      </c>
      <c r="F1746" s="1" t="str">
        <f t="shared" si="173"/>
        <v>0010</v>
      </c>
      <c r="G1746" s="1" t="str">
        <f>""</f>
        <v/>
      </c>
      <c r="H1746" s="1" t="str">
        <f>"0010"</f>
        <v>0010</v>
      </c>
      <c r="I1746" s="1" t="s">
        <v>71</v>
      </c>
      <c r="J1746" s="1" t="str">
        <f>"01043989719"</f>
        <v>01043989719</v>
      </c>
      <c r="K1746" s="1" t="str">
        <f>"2017-03-28 19:51:38"</f>
        <v>2017-03-28 19:51:38</v>
      </c>
      <c r="L1746" s="1" t="str">
        <f>"2017-03-28 19:51:52"</f>
        <v>2017-03-28 19:51:52</v>
      </c>
      <c r="M1746" s="2">
        <v>5.3587962962962964E-3</v>
      </c>
      <c r="N1746" s="1" t="s">
        <v>26</v>
      </c>
      <c r="O1746" s="1" t="s">
        <v>27</v>
      </c>
      <c r="P1746" s="2">
        <v>5.5208333333333333E-3</v>
      </c>
      <c r="Q1746" s="1" t="s">
        <v>1299</v>
      </c>
      <c r="R1746" s="1">
        <v>0</v>
      </c>
      <c r="S1746" s="1" t="str">
        <f>""</f>
        <v/>
      </c>
      <c r="T1746" s="1" t="s">
        <v>29</v>
      </c>
      <c r="U1746" s="1" t="s">
        <v>30</v>
      </c>
      <c r="V1746" s="1">
        <v>0</v>
      </c>
    </row>
    <row r="1747" spans="2:22" x14ac:dyDescent="0.15">
      <c r="B1747" s="1" t="str">
        <f>"156****5731"</f>
        <v>156****5731</v>
      </c>
      <c r="C1747" s="1" t="s">
        <v>132</v>
      </c>
      <c r="D1747" s="1" t="str">
        <f t="shared" si="172"/>
        <v>89177328</v>
      </c>
      <c r="E1747" s="1" t="s">
        <v>24</v>
      </c>
      <c r="F1747" s="1" t="str">
        <f t="shared" si="173"/>
        <v>0010</v>
      </c>
      <c r="G1747" s="1" t="str">
        <f>""</f>
        <v/>
      </c>
      <c r="H1747" s="1" t="str">
        <f>"0010"</f>
        <v>0010</v>
      </c>
      <c r="I1747" s="1" t="s">
        <v>71</v>
      </c>
      <c r="J1747" s="1" t="str">
        <f>"01043989719"</f>
        <v>01043989719</v>
      </c>
      <c r="K1747" s="1" t="str">
        <f>"2017-03-28 19:44:52"</f>
        <v>2017-03-28 19:44:52</v>
      </c>
      <c r="L1747" s="1" t="str">
        <f>"2017-03-28 19:45:01"</f>
        <v>2017-03-28 19:45:01</v>
      </c>
      <c r="M1747" s="2">
        <v>7.7546296296296304E-4</v>
      </c>
      <c r="N1747" s="1" t="s">
        <v>26</v>
      </c>
      <c r="O1747" s="1" t="s">
        <v>27</v>
      </c>
      <c r="P1747" s="2">
        <v>8.7962962962962962E-4</v>
      </c>
      <c r="Q1747" s="1" t="s">
        <v>1300</v>
      </c>
      <c r="R1747" s="1">
        <v>0</v>
      </c>
      <c r="S1747" s="1" t="str">
        <f>""</f>
        <v/>
      </c>
      <c r="T1747" s="1" t="s">
        <v>29</v>
      </c>
      <c r="U1747" s="1" t="s">
        <v>30</v>
      </c>
      <c r="V1747" s="1">
        <v>0</v>
      </c>
    </row>
    <row r="1748" spans="2:22" x14ac:dyDescent="0.15">
      <c r="B1748" s="1" t="str">
        <f>"180****7744"</f>
        <v>180****7744</v>
      </c>
      <c r="C1748" s="1" t="s">
        <v>23</v>
      </c>
      <c r="D1748" s="1" t="str">
        <f t="shared" si="172"/>
        <v>89177328</v>
      </c>
      <c r="E1748" s="1" t="s">
        <v>24</v>
      </c>
      <c r="F1748" s="1" t="str">
        <f t="shared" si="173"/>
        <v>0010</v>
      </c>
      <c r="G1748" s="1" t="str">
        <f>""</f>
        <v/>
      </c>
      <c r="H1748" s="1" t="str">
        <f>"0010"</f>
        <v>0010</v>
      </c>
      <c r="I1748" s="1" t="s">
        <v>71</v>
      </c>
      <c r="J1748" s="1" t="str">
        <f>"01043989719"</f>
        <v>01043989719</v>
      </c>
      <c r="K1748" s="1" t="str">
        <f>"2017-03-28 19:38:36"</f>
        <v>2017-03-28 19:38:36</v>
      </c>
      <c r="L1748" s="1" t="str">
        <f>"-"</f>
        <v>-</v>
      </c>
      <c r="M1748" s="2">
        <v>0</v>
      </c>
      <c r="N1748" s="1" t="s">
        <v>33</v>
      </c>
      <c r="O1748" s="1" t="s">
        <v>34</v>
      </c>
      <c r="P1748" s="2">
        <v>1.1574074074074073E-4</v>
      </c>
      <c r="Q1748" s="1" t="str">
        <f>""</f>
        <v/>
      </c>
      <c r="R1748" s="1">
        <v>0</v>
      </c>
      <c r="S1748" s="1" t="str">
        <f>""</f>
        <v/>
      </c>
      <c r="T1748" s="1" t="s">
        <v>29</v>
      </c>
      <c r="U1748" s="1" t="s">
        <v>30</v>
      </c>
      <c r="V1748" s="1">
        <v>0</v>
      </c>
    </row>
    <row r="1749" spans="2:22" x14ac:dyDescent="0.15">
      <c r="B1749" s="1" t="str">
        <f>"150****1629"</f>
        <v>150****1629</v>
      </c>
      <c r="C1749" s="1" t="s">
        <v>23</v>
      </c>
      <c r="D1749" s="1" t="str">
        <f t="shared" si="172"/>
        <v>89177328</v>
      </c>
      <c r="E1749" s="1" t="s">
        <v>24</v>
      </c>
      <c r="F1749" s="1" t="str">
        <f t="shared" si="173"/>
        <v>0010</v>
      </c>
      <c r="G1749" s="1" t="str">
        <f>""</f>
        <v/>
      </c>
      <c r="H1749" s="1" t="str">
        <f>"0012"</f>
        <v>0012</v>
      </c>
      <c r="I1749" s="1" t="s">
        <v>612</v>
      </c>
      <c r="J1749" s="1" t="str">
        <f>"01043989720"</f>
        <v>01043989720</v>
      </c>
      <c r="K1749" s="1" t="str">
        <f>"2017-03-28 18:10:51"</f>
        <v>2017-03-28 18:10:51</v>
      </c>
      <c r="L1749" s="1" t="str">
        <f>"-"</f>
        <v>-</v>
      </c>
      <c r="M1749" s="2">
        <v>0</v>
      </c>
      <c r="N1749" s="1" t="s">
        <v>33</v>
      </c>
      <c r="O1749" s="1" t="s">
        <v>34</v>
      </c>
      <c r="P1749" s="2">
        <v>2.3148148148148147E-5</v>
      </c>
      <c r="Q1749" s="1" t="str">
        <f>""</f>
        <v/>
      </c>
      <c r="R1749" s="1">
        <v>0</v>
      </c>
      <c r="S1749" s="1" t="str">
        <f>""</f>
        <v/>
      </c>
      <c r="T1749" s="1" t="s">
        <v>29</v>
      </c>
      <c r="U1749" s="1" t="s">
        <v>30</v>
      </c>
      <c r="V1749" s="1">
        <v>0</v>
      </c>
    </row>
    <row r="1750" spans="2:22" x14ac:dyDescent="0.15">
      <c r="B1750" s="1" t="str">
        <f>"153****2111"</f>
        <v>153****2111</v>
      </c>
      <c r="C1750" s="1" t="s">
        <v>126</v>
      </c>
      <c r="D1750" s="1" t="str">
        <f t="shared" si="172"/>
        <v>89177328</v>
      </c>
      <c r="E1750" s="1" t="s">
        <v>24</v>
      </c>
      <c r="F1750" s="1" t="str">
        <f t="shared" si="173"/>
        <v>0010</v>
      </c>
      <c r="G1750" s="1" t="str">
        <f>""</f>
        <v/>
      </c>
      <c r="H1750" s="1" t="str">
        <f>"0012"</f>
        <v>0012</v>
      </c>
      <c r="I1750" s="1" t="s">
        <v>612</v>
      </c>
      <c r="J1750" s="1" t="str">
        <f>"01043989720"</f>
        <v>01043989720</v>
      </c>
      <c r="K1750" s="1" t="str">
        <f>"2017-03-28 17:54:26"</f>
        <v>2017-03-28 17:54:26</v>
      </c>
      <c r="L1750" s="1" t="str">
        <f>"2017-03-28 17:54:42"</f>
        <v>2017-03-28 17:54:42</v>
      </c>
      <c r="M1750" s="2">
        <v>8.4490740740740741E-3</v>
      </c>
      <c r="N1750" s="1" t="s">
        <v>26</v>
      </c>
      <c r="O1750" s="1" t="s">
        <v>27</v>
      </c>
      <c r="P1750" s="2">
        <v>8.6342592592592599E-3</v>
      </c>
      <c r="Q1750" s="1" t="s">
        <v>1301</v>
      </c>
      <c r="R1750" s="1">
        <v>0</v>
      </c>
      <c r="S1750" s="1" t="str">
        <f>""</f>
        <v/>
      </c>
      <c r="T1750" s="1" t="s">
        <v>29</v>
      </c>
      <c r="U1750" s="1" t="s">
        <v>30</v>
      </c>
      <c r="V1750" s="1">
        <v>0</v>
      </c>
    </row>
    <row r="1751" spans="2:22" x14ac:dyDescent="0.15">
      <c r="B1751" s="1" t="str">
        <f>"130****5656"</f>
        <v>130****5656</v>
      </c>
      <c r="C1751" s="1" t="s">
        <v>112</v>
      </c>
      <c r="D1751" s="1" t="str">
        <f t="shared" si="172"/>
        <v>89177328</v>
      </c>
      <c r="E1751" s="1" t="s">
        <v>24</v>
      </c>
      <c r="F1751" s="1" t="str">
        <f t="shared" si="173"/>
        <v>0010</v>
      </c>
      <c r="G1751" s="1" t="str">
        <f>""</f>
        <v/>
      </c>
      <c r="H1751" s="1" t="str">
        <f>"0012"</f>
        <v>0012</v>
      </c>
      <c r="I1751" s="1" t="s">
        <v>612</v>
      </c>
      <c r="J1751" s="1" t="str">
        <f>"01043989720"</f>
        <v>01043989720</v>
      </c>
      <c r="K1751" s="1" t="str">
        <f>"2017-03-28 17:53:47"</f>
        <v>2017-03-28 17:53:47</v>
      </c>
      <c r="L1751" s="1" t="str">
        <f>"-"</f>
        <v>-</v>
      </c>
      <c r="M1751" s="2">
        <v>0</v>
      </c>
      <c r="N1751" s="1" t="s">
        <v>33</v>
      </c>
      <c r="O1751" s="1" t="s">
        <v>34</v>
      </c>
      <c r="P1751" s="2">
        <v>8.1018518518518516E-5</v>
      </c>
      <c r="Q1751" s="1" t="str">
        <f>""</f>
        <v/>
      </c>
      <c r="R1751" s="1">
        <v>0</v>
      </c>
      <c r="S1751" s="1" t="str">
        <f>""</f>
        <v/>
      </c>
      <c r="T1751" s="1" t="s">
        <v>29</v>
      </c>
      <c r="U1751" s="1" t="s">
        <v>30</v>
      </c>
      <c r="V1751" s="1">
        <v>0</v>
      </c>
    </row>
    <row r="1752" spans="2:22" x14ac:dyDescent="0.15">
      <c r="B1752" s="1" t="str">
        <f>"130****5656"</f>
        <v>130****5656</v>
      </c>
      <c r="C1752" s="1" t="s">
        <v>112</v>
      </c>
      <c r="D1752" s="1" t="str">
        <f t="shared" si="172"/>
        <v>89177328</v>
      </c>
      <c r="E1752" s="1" t="s">
        <v>24</v>
      </c>
      <c r="F1752" s="1" t="str">
        <f t="shared" si="173"/>
        <v>0010</v>
      </c>
      <c r="G1752" s="1" t="str">
        <f>""</f>
        <v/>
      </c>
      <c r="H1752" s="1" t="str">
        <f>"0012"</f>
        <v>0012</v>
      </c>
      <c r="I1752" s="1" t="s">
        <v>612</v>
      </c>
      <c r="J1752" s="1" t="str">
        <f>"01043989720"</f>
        <v>01043989720</v>
      </c>
      <c r="K1752" s="1" t="str">
        <f>"2017-03-28 17:51:38"</f>
        <v>2017-03-28 17:51:38</v>
      </c>
      <c r="L1752" s="1" t="str">
        <f>"-"</f>
        <v>-</v>
      </c>
      <c r="M1752" s="2">
        <v>0</v>
      </c>
      <c r="N1752" s="1" t="s">
        <v>33</v>
      </c>
      <c r="O1752" s="1" t="s">
        <v>34</v>
      </c>
      <c r="P1752" s="2">
        <v>5.7870370370370366E-5</v>
      </c>
      <c r="Q1752" s="1" t="str">
        <f>""</f>
        <v/>
      </c>
      <c r="R1752" s="1">
        <v>0</v>
      </c>
      <c r="S1752" s="1" t="str">
        <f>""</f>
        <v/>
      </c>
      <c r="T1752" s="1" t="s">
        <v>29</v>
      </c>
      <c r="U1752" s="1" t="s">
        <v>30</v>
      </c>
      <c r="V1752" s="1">
        <v>0</v>
      </c>
    </row>
    <row r="1753" spans="2:22" x14ac:dyDescent="0.15">
      <c r="B1753" s="1" t="str">
        <f>"130****5656"</f>
        <v>130****5656</v>
      </c>
      <c r="C1753" s="1" t="s">
        <v>112</v>
      </c>
      <c r="D1753" s="1" t="str">
        <f t="shared" si="172"/>
        <v>89177328</v>
      </c>
      <c r="E1753" s="1" t="s">
        <v>24</v>
      </c>
      <c r="F1753" s="1" t="str">
        <f t="shared" si="173"/>
        <v>0010</v>
      </c>
      <c r="G1753" s="1" t="str">
        <f>""</f>
        <v/>
      </c>
      <c r="H1753" s="1" t="str">
        <f>"0018"</f>
        <v>0018</v>
      </c>
      <c r="I1753" s="1" t="s">
        <v>36</v>
      </c>
      <c r="J1753" s="1" t="str">
        <f>"01043989718"</f>
        <v>01043989718</v>
      </c>
      <c r="K1753" s="1" t="str">
        <f>"2017-03-28 17:49:24"</f>
        <v>2017-03-28 17:49:24</v>
      </c>
      <c r="L1753" s="1" t="str">
        <f>"-"</f>
        <v>-</v>
      </c>
      <c r="M1753" s="2">
        <v>0</v>
      </c>
      <c r="N1753" s="1" t="s">
        <v>33</v>
      </c>
      <c r="O1753" s="1" t="s">
        <v>34</v>
      </c>
      <c r="P1753" s="2">
        <v>8.1018518518518516E-5</v>
      </c>
      <c r="Q1753" s="1" t="str">
        <f>""</f>
        <v/>
      </c>
      <c r="R1753" s="1">
        <v>0</v>
      </c>
      <c r="S1753" s="1" t="str">
        <f>""</f>
        <v/>
      </c>
      <c r="T1753" s="1" t="s">
        <v>29</v>
      </c>
      <c r="U1753" s="1" t="s">
        <v>30</v>
      </c>
      <c r="V1753" s="1">
        <v>0</v>
      </c>
    </row>
    <row r="1754" spans="2:22" x14ac:dyDescent="0.15">
      <c r="B1754" s="1" t="str">
        <f>"130****5656"</f>
        <v>130****5656</v>
      </c>
      <c r="C1754" s="1" t="s">
        <v>112</v>
      </c>
      <c r="D1754" s="1" t="str">
        <f t="shared" si="172"/>
        <v>89177328</v>
      </c>
      <c r="E1754" s="1" t="s">
        <v>24</v>
      </c>
      <c r="F1754" s="1" t="str">
        <f t="shared" si="173"/>
        <v>0010</v>
      </c>
      <c r="G1754" s="1" t="str">
        <f>""</f>
        <v/>
      </c>
      <c r="H1754" s="1" t="str">
        <f>"0017"</f>
        <v>0017</v>
      </c>
      <c r="I1754" s="1" t="s">
        <v>135</v>
      </c>
      <c r="J1754" s="1" t="str">
        <f>"01043989717"</f>
        <v>01043989717</v>
      </c>
      <c r="K1754" s="1" t="str">
        <f>"2017-03-28 17:46:29"</f>
        <v>2017-03-28 17:46:29</v>
      </c>
      <c r="L1754" s="1" t="str">
        <f>"-"</f>
        <v>-</v>
      </c>
      <c r="M1754" s="2">
        <v>0</v>
      </c>
      <c r="N1754" s="1" t="s">
        <v>33</v>
      </c>
      <c r="O1754" s="1" t="s">
        <v>34</v>
      </c>
      <c r="P1754" s="2">
        <v>5.7870370370370366E-5</v>
      </c>
      <c r="Q1754" s="1" t="str">
        <f>""</f>
        <v/>
      </c>
      <c r="R1754" s="1">
        <v>0</v>
      </c>
      <c r="S1754" s="1" t="str">
        <f>""</f>
        <v/>
      </c>
      <c r="T1754" s="1" t="s">
        <v>29</v>
      </c>
      <c r="U1754" s="1" t="s">
        <v>30</v>
      </c>
      <c r="V1754" s="1">
        <v>0</v>
      </c>
    </row>
    <row r="1755" spans="2:22" x14ac:dyDescent="0.15">
      <c r="B1755" s="1" t="str">
        <f>"114"</f>
        <v>114</v>
      </c>
      <c r="C1755" s="1" t="s">
        <v>159</v>
      </c>
      <c r="D1755" s="1" t="str">
        <f t="shared" si="172"/>
        <v>89177328</v>
      </c>
      <c r="E1755" s="1" t="s">
        <v>24</v>
      </c>
      <c r="F1755" s="1" t="str">
        <f t="shared" si="173"/>
        <v>0010</v>
      </c>
      <c r="G1755" s="1" t="str">
        <f>""</f>
        <v/>
      </c>
      <c r="H1755" s="1" t="str">
        <f>"0031"</f>
        <v>0031</v>
      </c>
      <c r="I1755" s="1" t="s">
        <v>95</v>
      </c>
      <c r="J1755" s="1" t="str">
        <f>"01043977565"</f>
        <v>01043977565</v>
      </c>
      <c r="K1755" s="1" t="str">
        <f>"2017-03-28 17:41:03"</f>
        <v>2017-03-28 17:41:03</v>
      </c>
      <c r="L1755" s="1" t="str">
        <f>"2017-03-28 17:41:10"</f>
        <v>2017-03-28 17:41:10</v>
      </c>
      <c r="M1755" s="2">
        <v>3.4722222222222224E-4</v>
      </c>
      <c r="N1755" s="1" t="s">
        <v>26</v>
      </c>
      <c r="O1755" s="1" t="s">
        <v>27</v>
      </c>
      <c r="P1755" s="2">
        <v>4.2824074074074075E-4</v>
      </c>
      <c r="Q1755" s="1" t="s">
        <v>1302</v>
      </c>
      <c r="R1755" s="1">
        <v>0</v>
      </c>
      <c r="S1755" s="1" t="str">
        <f>""</f>
        <v/>
      </c>
      <c r="T1755" s="1" t="s">
        <v>29</v>
      </c>
      <c r="U1755" s="1" t="s">
        <v>30</v>
      </c>
      <c r="V1755" s="1">
        <v>0</v>
      </c>
    </row>
    <row r="1756" spans="2:22" x14ac:dyDescent="0.15">
      <c r="B1756" s="1" t="str">
        <f>"157****4678"</f>
        <v>157****4678</v>
      </c>
      <c r="C1756" s="1" t="s">
        <v>23</v>
      </c>
      <c r="D1756" s="1" t="str">
        <f t="shared" si="172"/>
        <v>89177328</v>
      </c>
      <c r="E1756" s="1" t="s">
        <v>24</v>
      </c>
      <c r="F1756" s="1" t="str">
        <f t="shared" si="173"/>
        <v>0010</v>
      </c>
      <c r="G1756" s="1" t="str">
        <f>""</f>
        <v/>
      </c>
      <c r="H1756" s="1" t="str">
        <f>"0035"</f>
        <v>0035</v>
      </c>
      <c r="I1756" s="1" t="s">
        <v>25</v>
      </c>
      <c r="J1756" s="1" t="str">
        <f>"01043977569"</f>
        <v>01043977569</v>
      </c>
      <c r="K1756" s="1" t="str">
        <f>"2017-03-28 17:38:10"</f>
        <v>2017-03-28 17:38:10</v>
      </c>
      <c r="L1756" s="1" t="str">
        <f>"-"</f>
        <v>-</v>
      </c>
      <c r="M1756" s="2">
        <v>0</v>
      </c>
      <c r="N1756" s="1" t="s">
        <v>33</v>
      </c>
      <c r="O1756" s="1" t="s">
        <v>34</v>
      </c>
      <c r="P1756" s="2">
        <v>6.9444444444444444E-5</v>
      </c>
      <c r="Q1756" s="1" t="str">
        <f>""</f>
        <v/>
      </c>
      <c r="R1756" s="1">
        <v>0</v>
      </c>
      <c r="S1756" s="1" t="str">
        <f>""</f>
        <v/>
      </c>
      <c r="T1756" s="1" t="s">
        <v>29</v>
      </c>
      <c r="U1756" s="1" t="s">
        <v>30</v>
      </c>
      <c r="V1756" s="1">
        <v>0</v>
      </c>
    </row>
    <row r="1757" spans="2:22" x14ac:dyDescent="0.15">
      <c r="B1757" s="1" t="str">
        <f>"040****7777"</f>
        <v>040****7777</v>
      </c>
      <c r="C1757" s="1" t="s">
        <v>1303</v>
      </c>
      <c r="D1757" s="1" t="str">
        <f t="shared" si="172"/>
        <v>89177328</v>
      </c>
      <c r="E1757" s="1" t="s">
        <v>24</v>
      </c>
      <c r="F1757" s="1" t="str">
        <f t="shared" si="173"/>
        <v>0010</v>
      </c>
      <c r="G1757" s="1" t="str">
        <f>""</f>
        <v/>
      </c>
      <c r="H1757" s="1" t="str">
        <f>"0012"</f>
        <v>0012</v>
      </c>
      <c r="I1757" s="1" t="s">
        <v>612</v>
      </c>
      <c r="J1757" s="1" t="str">
        <f>"01043989720"</f>
        <v>01043989720</v>
      </c>
      <c r="K1757" s="1" t="str">
        <f>"2017-03-28 17:34:54"</f>
        <v>2017-03-28 17:34:54</v>
      </c>
      <c r="L1757" s="1" t="str">
        <f>"2017-03-28 17:35:08"</f>
        <v>2017-03-28 17:35:08</v>
      </c>
      <c r="M1757" s="2">
        <v>1.074074074074074E-2</v>
      </c>
      <c r="N1757" s="1" t="s">
        <v>26</v>
      </c>
      <c r="O1757" s="1" t="s">
        <v>27</v>
      </c>
      <c r="P1757" s="2">
        <v>1.0902777777777777E-2</v>
      </c>
      <c r="Q1757" s="1" t="s">
        <v>1304</v>
      </c>
      <c r="R1757" s="1">
        <v>0</v>
      </c>
      <c r="S1757" s="1" t="str">
        <f>""</f>
        <v/>
      </c>
      <c r="T1757" s="1" t="s">
        <v>29</v>
      </c>
      <c r="U1757" s="1" t="s">
        <v>30</v>
      </c>
      <c r="V1757" s="1">
        <v>0</v>
      </c>
    </row>
    <row r="1758" spans="2:22" x14ac:dyDescent="0.15">
      <c r="B1758" s="1" t="str">
        <f>"157****4678"</f>
        <v>157****4678</v>
      </c>
      <c r="C1758" s="1" t="s">
        <v>23</v>
      </c>
      <c r="D1758" s="1" t="str">
        <f t="shared" si="172"/>
        <v>89177328</v>
      </c>
      <c r="E1758" s="1" t="s">
        <v>24</v>
      </c>
      <c r="F1758" s="1" t="str">
        <f t="shared" si="173"/>
        <v>0010</v>
      </c>
      <c r="G1758" s="1" t="str">
        <f>""</f>
        <v/>
      </c>
      <c r="H1758" s="1" t="str">
        <f>"0012"</f>
        <v>0012</v>
      </c>
      <c r="I1758" s="1" t="s">
        <v>612</v>
      </c>
      <c r="J1758" s="1" t="str">
        <f>"01043989720"</f>
        <v>01043989720</v>
      </c>
      <c r="K1758" s="1" t="str">
        <f>"2017-03-28 17:32:26"</f>
        <v>2017-03-28 17:32:26</v>
      </c>
      <c r="L1758" s="1" t="str">
        <f>"-"</f>
        <v>-</v>
      </c>
      <c r="M1758" s="2">
        <v>0</v>
      </c>
      <c r="N1758" s="1" t="s">
        <v>33</v>
      </c>
      <c r="O1758" s="1" t="s">
        <v>34</v>
      </c>
      <c r="P1758" s="2">
        <v>6.9444444444444444E-5</v>
      </c>
      <c r="Q1758" s="1" t="str">
        <f>""</f>
        <v/>
      </c>
      <c r="R1758" s="1">
        <v>0</v>
      </c>
      <c r="S1758" s="1" t="str">
        <f>""</f>
        <v/>
      </c>
      <c r="T1758" s="1" t="s">
        <v>29</v>
      </c>
      <c r="U1758" s="1" t="s">
        <v>30</v>
      </c>
      <c r="V1758" s="1">
        <v>0</v>
      </c>
    </row>
    <row r="1759" spans="2:22" x14ac:dyDescent="0.15">
      <c r="B1759" s="1" t="str">
        <f>"133****9597"</f>
        <v>133****9597</v>
      </c>
      <c r="C1759" s="1" t="s">
        <v>23</v>
      </c>
      <c r="D1759" s="1" t="str">
        <f t="shared" si="172"/>
        <v>89177328</v>
      </c>
      <c r="E1759" s="1" t="s">
        <v>24</v>
      </c>
      <c r="F1759" s="1" t="str">
        <f t="shared" si="173"/>
        <v>0010</v>
      </c>
      <c r="G1759" s="1" t="str">
        <f>""</f>
        <v/>
      </c>
      <c r="H1759" s="1" t="str">
        <f>"0012"</f>
        <v>0012</v>
      </c>
      <c r="I1759" s="1" t="s">
        <v>612</v>
      </c>
      <c r="J1759" s="1" t="str">
        <f>"01043989720"</f>
        <v>01043989720</v>
      </c>
      <c r="K1759" s="1" t="str">
        <f>"2017-03-28 17:30:09"</f>
        <v>2017-03-28 17:30:09</v>
      </c>
      <c r="L1759" s="1" t="str">
        <f>"-"</f>
        <v>-</v>
      </c>
      <c r="M1759" s="2">
        <v>0</v>
      </c>
      <c r="N1759" s="1" t="s">
        <v>33</v>
      </c>
      <c r="O1759" s="1" t="s">
        <v>34</v>
      </c>
      <c r="P1759" s="2">
        <v>5.7870370370370366E-5</v>
      </c>
      <c r="Q1759" s="1" t="str">
        <f>""</f>
        <v/>
      </c>
      <c r="R1759" s="1">
        <v>0</v>
      </c>
      <c r="S1759" s="1" t="str">
        <f>""</f>
        <v/>
      </c>
      <c r="T1759" s="1" t="s">
        <v>29</v>
      </c>
      <c r="U1759" s="1" t="s">
        <v>30</v>
      </c>
      <c r="V1759" s="1">
        <v>0</v>
      </c>
    </row>
    <row r="1760" spans="2:22" x14ac:dyDescent="0.15">
      <c r="B1760" s="1" t="str">
        <f>"157****4678"</f>
        <v>157****4678</v>
      </c>
      <c r="C1760" s="1" t="s">
        <v>23</v>
      </c>
      <c r="D1760" s="1" t="str">
        <f t="shared" si="172"/>
        <v>89177328</v>
      </c>
      <c r="E1760" s="1" t="s">
        <v>24</v>
      </c>
      <c r="F1760" s="1" t="str">
        <f t="shared" si="173"/>
        <v>0010</v>
      </c>
      <c r="G1760" s="1" t="str">
        <f>""</f>
        <v/>
      </c>
      <c r="H1760" s="1" t="str">
        <f>"0012"</f>
        <v>0012</v>
      </c>
      <c r="I1760" s="1" t="s">
        <v>612</v>
      </c>
      <c r="J1760" s="1" t="str">
        <f>"01043989720"</f>
        <v>01043989720</v>
      </c>
      <c r="K1760" s="1" t="str">
        <f>"2017-03-28 17:29:39"</f>
        <v>2017-03-28 17:29:39</v>
      </c>
      <c r="L1760" s="1" t="str">
        <f>"-"</f>
        <v>-</v>
      </c>
      <c r="M1760" s="2">
        <v>0</v>
      </c>
      <c r="N1760" s="1" t="s">
        <v>33</v>
      </c>
      <c r="O1760" s="1" t="s">
        <v>34</v>
      </c>
      <c r="P1760" s="2">
        <v>4.6296296296296294E-5</v>
      </c>
      <c r="Q1760" s="1" t="str">
        <f>""</f>
        <v/>
      </c>
      <c r="R1760" s="1">
        <v>0</v>
      </c>
      <c r="S1760" s="1" t="str">
        <f>""</f>
        <v/>
      </c>
      <c r="T1760" s="1" t="s">
        <v>29</v>
      </c>
      <c r="U1760" s="1" t="s">
        <v>30</v>
      </c>
      <c r="V1760" s="1">
        <v>0</v>
      </c>
    </row>
    <row r="1761" spans="2:22" x14ac:dyDescent="0.15">
      <c r="B1761" s="1" t="str">
        <f>"0316180****5730"</f>
        <v>0316180****5730</v>
      </c>
      <c r="C1761" s="1" t="s">
        <v>51</v>
      </c>
      <c r="D1761" s="1" t="str">
        <f t="shared" si="172"/>
        <v>89177328</v>
      </c>
      <c r="E1761" s="1" t="s">
        <v>24</v>
      </c>
      <c r="F1761" s="1" t="str">
        <f t="shared" si="173"/>
        <v>0010</v>
      </c>
      <c r="G1761" s="1" t="str">
        <f>""</f>
        <v/>
      </c>
      <c r="H1761" s="1" t="str">
        <f>"0035"</f>
        <v>0035</v>
      </c>
      <c r="I1761" s="1" t="s">
        <v>25</v>
      </c>
      <c r="J1761" s="1" t="str">
        <f>"01043977569"</f>
        <v>01043977569</v>
      </c>
      <c r="K1761" s="1" t="str">
        <f>"2017-03-28 17:29:02"</f>
        <v>2017-03-28 17:29:02</v>
      </c>
      <c r="L1761" s="1" t="str">
        <f>"2017-03-28 17:29:15"</f>
        <v>2017-03-28 17:29:15</v>
      </c>
      <c r="M1761" s="2">
        <v>4.9768518518518521E-3</v>
      </c>
      <c r="N1761" s="1" t="s">
        <v>26</v>
      </c>
      <c r="O1761" s="1" t="s">
        <v>27</v>
      </c>
      <c r="P1761" s="2">
        <v>5.1273148148148146E-3</v>
      </c>
      <c r="Q1761" s="1" t="s">
        <v>1305</v>
      </c>
      <c r="R1761" s="1">
        <v>0</v>
      </c>
      <c r="S1761" s="1" t="str">
        <f>""</f>
        <v/>
      </c>
      <c r="T1761" s="1" t="s">
        <v>29</v>
      </c>
      <c r="U1761" s="1" t="s">
        <v>30</v>
      </c>
      <c r="V1761" s="1">
        <v>0</v>
      </c>
    </row>
    <row r="1762" spans="2:22" x14ac:dyDescent="0.15">
      <c r="B1762" s="1" t="str">
        <f>"188****7867"</f>
        <v>188****7867</v>
      </c>
      <c r="C1762" s="1" t="s">
        <v>23</v>
      </c>
      <c r="D1762" s="1" t="str">
        <f t="shared" si="172"/>
        <v>89177328</v>
      </c>
      <c r="E1762" s="1" t="s">
        <v>24</v>
      </c>
      <c r="F1762" s="1" t="str">
        <f t="shared" si="173"/>
        <v>0010</v>
      </c>
      <c r="G1762" s="1" t="str">
        <f>""</f>
        <v/>
      </c>
      <c r="H1762" s="1" t="str">
        <f>"0017"</f>
        <v>0017</v>
      </c>
      <c r="I1762" s="1" t="s">
        <v>135</v>
      </c>
      <c r="J1762" s="1" t="str">
        <f>"01043989717"</f>
        <v>01043989717</v>
      </c>
      <c r="K1762" s="1" t="str">
        <f>"2017-03-28 17:28:24"</f>
        <v>2017-03-28 17:28:24</v>
      </c>
      <c r="L1762" s="1" t="str">
        <f>"-"</f>
        <v>-</v>
      </c>
      <c r="M1762" s="2">
        <v>0</v>
      </c>
      <c r="N1762" s="1" t="s">
        <v>33</v>
      </c>
      <c r="O1762" s="1" t="s">
        <v>34</v>
      </c>
      <c r="P1762" s="2">
        <v>2.3148148148148147E-5</v>
      </c>
      <c r="Q1762" s="1" t="str">
        <f>""</f>
        <v/>
      </c>
      <c r="R1762" s="1">
        <v>0</v>
      </c>
      <c r="S1762" s="1" t="str">
        <f>""</f>
        <v/>
      </c>
      <c r="T1762" s="1" t="s">
        <v>29</v>
      </c>
      <c r="U1762" s="1" t="s">
        <v>30</v>
      </c>
      <c r="V1762" s="1">
        <v>0</v>
      </c>
    </row>
    <row r="1763" spans="2:22" x14ac:dyDescent="0.15">
      <c r="B1763" s="1" t="str">
        <f>"133****9597"</f>
        <v>133****9597</v>
      </c>
      <c r="C1763" s="1" t="s">
        <v>23</v>
      </c>
      <c r="D1763" s="1" t="str">
        <f t="shared" si="172"/>
        <v>89177328</v>
      </c>
      <c r="E1763" s="1" t="s">
        <v>24</v>
      </c>
      <c r="F1763" s="1" t="str">
        <f t="shared" si="173"/>
        <v>0010</v>
      </c>
      <c r="G1763" s="1" t="str">
        <f>""</f>
        <v/>
      </c>
      <c r="H1763" s="1" t="str">
        <f>"0035"</f>
        <v>0035</v>
      </c>
      <c r="I1763" s="1" t="s">
        <v>25</v>
      </c>
      <c r="J1763" s="1" t="str">
        <f>"01043977569"</f>
        <v>01043977569</v>
      </c>
      <c r="K1763" s="1" t="str">
        <f>"2017-03-28 17:27:46"</f>
        <v>2017-03-28 17:27:46</v>
      </c>
      <c r="L1763" s="1" t="str">
        <f>"-"</f>
        <v>-</v>
      </c>
      <c r="M1763" s="2">
        <v>0</v>
      </c>
      <c r="N1763" s="1" t="s">
        <v>33</v>
      </c>
      <c r="O1763" s="1" t="s">
        <v>34</v>
      </c>
      <c r="P1763" s="2">
        <v>6.9444444444444444E-5</v>
      </c>
      <c r="Q1763" s="1" t="str">
        <f>""</f>
        <v/>
      </c>
      <c r="R1763" s="1">
        <v>0</v>
      </c>
      <c r="S1763" s="1" t="str">
        <f>""</f>
        <v/>
      </c>
      <c r="T1763" s="1" t="s">
        <v>29</v>
      </c>
      <c r="U1763" s="1" t="s">
        <v>30</v>
      </c>
      <c r="V1763" s="1">
        <v>0</v>
      </c>
    </row>
    <row r="1764" spans="2:22" x14ac:dyDescent="0.15">
      <c r="B1764" s="1" t="str">
        <f>"130****3311"</f>
        <v>130****3311</v>
      </c>
      <c r="C1764" s="1" t="s">
        <v>1306</v>
      </c>
      <c r="D1764" s="1" t="str">
        <f t="shared" si="172"/>
        <v>89177328</v>
      </c>
      <c r="E1764" s="1" t="s">
        <v>24</v>
      </c>
      <c r="F1764" s="1" t="str">
        <f t="shared" si="173"/>
        <v>0010</v>
      </c>
      <c r="G1764" s="1" t="str">
        <f>""</f>
        <v/>
      </c>
      <c r="H1764" s="1" t="str">
        <f>"0034"</f>
        <v>0034</v>
      </c>
      <c r="I1764" s="1" t="s">
        <v>31</v>
      </c>
      <c r="J1764" s="1" t="str">
        <f>"01043977568"</f>
        <v>01043977568</v>
      </c>
      <c r="K1764" s="1" t="str">
        <f>"2017-03-28 17:27:40"</f>
        <v>2017-03-28 17:27:40</v>
      </c>
      <c r="L1764" s="1" t="str">
        <f>"2017-03-28 17:27:53"</f>
        <v>2017-03-28 17:27:53</v>
      </c>
      <c r="M1764" s="2">
        <v>1.9039351851851852E-2</v>
      </c>
      <c r="N1764" s="1" t="s">
        <v>26</v>
      </c>
      <c r="O1764" s="1" t="s">
        <v>27</v>
      </c>
      <c r="P1764" s="2">
        <v>1.9189814814814816E-2</v>
      </c>
      <c r="Q1764" s="1" t="s">
        <v>1307</v>
      </c>
      <c r="R1764" s="1">
        <v>0</v>
      </c>
      <c r="S1764" s="1" t="str">
        <f>""</f>
        <v/>
      </c>
      <c r="T1764" s="1" t="s">
        <v>29</v>
      </c>
      <c r="U1764" s="1" t="s">
        <v>30</v>
      </c>
      <c r="V1764" s="1">
        <v>0</v>
      </c>
    </row>
    <row r="1765" spans="2:22" x14ac:dyDescent="0.15">
      <c r="B1765" s="1" t="str">
        <f>"157****4678"</f>
        <v>157****4678</v>
      </c>
      <c r="C1765" s="1" t="s">
        <v>23</v>
      </c>
      <c r="D1765" s="1" t="str">
        <f t="shared" si="172"/>
        <v>89177328</v>
      </c>
      <c r="E1765" s="1" t="s">
        <v>24</v>
      </c>
      <c r="F1765" s="1" t="str">
        <f t="shared" si="173"/>
        <v>0010</v>
      </c>
      <c r="G1765" s="1" t="str">
        <f>""</f>
        <v/>
      </c>
      <c r="H1765" s="1" t="str">
        <f>"0034"</f>
        <v>0034</v>
      </c>
      <c r="I1765" s="1" t="s">
        <v>31</v>
      </c>
      <c r="J1765" s="1" t="str">
        <f>"01043977568"</f>
        <v>01043977568</v>
      </c>
      <c r="K1765" s="1" t="str">
        <f>"2017-03-28 17:26:39"</f>
        <v>2017-03-28 17:26:39</v>
      </c>
      <c r="L1765" s="1" t="str">
        <f>"-"</f>
        <v>-</v>
      </c>
      <c r="M1765" s="2">
        <v>0</v>
      </c>
      <c r="N1765" s="1" t="s">
        <v>33</v>
      </c>
      <c r="O1765" s="1" t="s">
        <v>34</v>
      </c>
      <c r="P1765" s="2">
        <v>6.9444444444444444E-5</v>
      </c>
      <c r="Q1765" s="1" t="str">
        <f>""</f>
        <v/>
      </c>
      <c r="R1765" s="1">
        <v>0</v>
      </c>
      <c r="S1765" s="1" t="str">
        <f>""</f>
        <v/>
      </c>
      <c r="T1765" s="1" t="s">
        <v>29</v>
      </c>
      <c r="U1765" s="1" t="s">
        <v>30</v>
      </c>
      <c r="V1765" s="1">
        <v>0</v>
      </c>
    </row>
    <row r="1766" spans="2:22" x14ac:dyDescent="0.15">
      <c r="B1766" s="1" t="str">
        <f>"188****7867"</f>
        <v>188****7867</v>
      </c>
      <c r="C1766" s="1" t="s">
        <v>23</v>
      </c>
      <c r="D1766" s="1" t="str">
        <f t="shared" si="172"/>
        <v>89177328</v>
      </c>
      <c r="E1766" s="1" t="s">
        <v>24</v>
      </c>
      <c r="F1766" s="1" t="str">
        <f t="shared" si="173"/>
        <v>0010</v>
      </c>
      <c r="G1766" s="1" t="str">
        <f>""</f>
        <v/>
      </c>
      <c r="H1766" s="1" t="str">
        <f>"0034"</f>
        <v>0034</v>
      </c>
      <c r="I1766" s="1" t="s">
        <v>31</v>
      </c>
      <c r="J1766" s="1" t="str">
        <f>"01043977568"</f>
        <v>01043977568</v>
      </c>
      <c r="K1766" s="1" t="str">
        <f>"2017-03-28 17:25:57"</f>
        <v>2017-03-28 17:25:57</v>
      </c>
      <c r="L1766" s="1" t="str">
        <f>"-"</f>
        <v>-</v>
      </c>
      <c r="M1766" s="2">
        <v>0</v>
      </c>
      <c r="N1766" s="1" t="s">
        <v>33</v>
      </c>
      <c r="O1766" s="1" t="s">
        <v>34</v>
      </c>
      <c r="P1766" s="2">
        <v>5.7870370370370366E-5</v>
      </c>
      <c r="Q1766" s="1" t="str">
        <f>""</f>
        <v/>
      </c>
      <c r="R1766" s="1">
        <v>0</v>
      </c>
      <c r="S1766" s="1" t="str">
        <f>""</f>
        <v/>
      </c>
      <c r="T1766" s="1" t="s">
        <v>29</v>
      </c>
      <c r="U1766" s="1" t="s">
        <v>30</v>
      </c>
      <c r="V1766" s="1">
        <v>0</v>
      </c>
    </row>
    <row r="1767" spans="2:22" x14ac:dyDescent="0.15">
      <c r="B1767" s="1" t="str">
        <f>"188****7867"</f>
        <v>188****7867</v>
      </c>
      <c r="C1767" s="1" t="s">
        <v>23</v>
      </c>
      <c r="D1767" s="1" t="str">
        <f t="shared" si="172"/>
        <v>89177328</v>
      </c>
      <c r="E1767" s="1" t="s">
        <v>24</v>
      </c>
      <c r="F1767" s="1" t="str">
        <f t="shared" si="173"/>
        <v>0010</v>
      </c>
      <c r="G1767" s="1" t="str">
        <f>""</f>
        <v/>
      </c>
      <c r="H1767" s="1" t="str">
        <f>"0034"</f>
        <v>0034</v>
      </c>
      <c r="I1767" s="1" t="s">
        <v>31</v>
      </c>
      <c r="J1767" s="1" t="str">
        <f>"01043977568"</f>
        <v>01043977568</v>
      </c>
      <c r="K1767" s="1" t="str">
        <f>"2017-03-28 17:24:07"</f>
        <v>2017-03-28 17:24:07</v>
      </c>
      <c r="L1767" s="1" t="str">
        <f>"-"</f>
        <v>-</v>
      </c>
      <c r="M1767" s="2">
        <v>0</v>
      </c>
      <c r="N1767" s="1" t="s">
        <v>33</v>
      </c>
      <c r="O1767" s="1" t="s">
        <v>34</v>
      </c>
      <c r="P1767" s="2">
        <v>6.9444444444444444E-5</v>
      </c>
      <c r="Q1767" s="1" t="str">
        <f>""</f>
        <v/>
      </c>
      <c r="R1767" s="1">
        <v>0</v>
      </c>
      <c r="S1767" s="1" t="str">
        <f>""</f>
        <v/>
      </c>
      <c r="T1767" s="1" t="s">
        <v>29</v>
      </c>
      <c r="U1767" s="1" t="s">
        <v>30</v>
      </c>
      <c r="V1767" s="1">
        <v>0</v>
      </c>
    </row>
    <row r="1768" spans="2:22" x14ac:dyDescent="0.15">
      <c r="B1768" s="1" t="str">
        <f>"188****7867"</f>
        <v>188****7867</v>
      </c>
      <c r="C1768" s="1" t="s">
        <v>23</v>
      </c>
      <c r="D1768" s="1" t="str">
        <f t="shared" si="172"/>
        <v>89177328</v>
      </c>
      <c r="E1768" s="1" t="s">
        <v>24</v>
      </c>
      <c r="F1768" s="1" t="str">
        <f t="shared" si="173"/>
        <v>0010</v>
      </c>
      <c r="G1768" s="1" t="str">
        <f>""</f>
        <v/>
      </c>
      <c r="H1768" s="1" t="str">
        <f>"0034"</f>
        <v>0034</v>
      </c>
      <c r="I1768" s="1" t="s">
        <v>31</v>
      </c>
      <c r="J1768" s="1" t="str">
        <f>"01043977568"</f>
        <v>01043977568</v>
      </c>
      <c r="K1768" s="1" t="str">
        <f>"2017-03-28 17:21:49"</f>
        <v>2017-03-28 17:21:49</v>
      </c>
      <c r="L1768" s="1" t="str">
        <f>"-"</f>
        <v>-</v>
      </c>
      <c r="M1768" s="2">
        <v>0</v>
      </c>
      <c r="N1768" s="1" t="s">
        <v>33</v>
      </c>
      <c r="O1768" s="1" t="s">
        <v>34</v>
      </c>
      <c r="P1768" s="2">
        <v>8.1018518518518516E-5</v>
      </c>
      <c r="Q1768" s="1" t="str">
        <f>""</f>
        <v/>
      </c>
      <c r="R1768" s="1">
        <v>0</v>
      </c>
      <c r="S1768" s="1" t="str">
        <f>""</f>
        <v/>
      </c>
      <c r="T1768" s="1" t="s">
        <v>29</v>
      </c>
      <c r="U1768" s="1" t="s">
        <v>30</v>
      </c>
      <c r="V1768" s="1">
        <v>0</v>
      </c>
    </row>
    <row r="1769" spans="2:22" x14ac:dyDescent="0.15">
      <c r="B1769" s="1" t="str">
        <f>"151****6668"</f>
        <v>151****6668</v>
      </c>
      <c r="C1769" s="1" t="s">
        <v>113</v>
      </c>
      <c r="D1769" s="1" t="str">
        <f t="shared" si="172"/>
        <v>89177328</v>
      </c>
      <c r="E1769" s="1" t="s">
        <v>24</v>
      </c>
      <c r="F1769" s="1" t="str">
        <f t="shared" si="173"/>
        <v>0010</v>
      </c>
      <c r="G1769" s="1" t="str">
        <f>""</f>
        <v/>
      </c>
      <c r="H1769" s="1" t="str">
        <f>"0012"</f>
        <v>0012</v>
      </c>
      <c r="I1769" s="1" t="s">
        <v>612</v>
      </c>
      <c r="J1769" s="1" t="str">
        <f>"01043989720"</f>
        <v>01043989720</v>
      </c>
      <c r="K1769" s="1" t="str">
        <f>"2017-03-28 17:21:43"</f>
        <v>2017-03-28 17:21:43</v>
      </c>
      <c r="L1769" s="1" t="str">
        <f>"2017-03-28 17:21:53"</f>
        <v>2017-03-28 17:21:53</v>
      </c>
      <c r="M1769" s="2">
        <v>5.2893518518518515E-3</v>
      </c>
      <c r="N1769" s="1" t="s">
        <v>26</v>
      </c>
      <c r="O1769" s="1" t="s">
        <v>27</v>
      </c>
      <c r="P1769" s="2">
        <v>5.4050925925925924E-3</v>
      </c>
      <c r="Q1769" s="1" t="s">
        <v>1308</v>
      </c>
      <c r="R1769" s="1">
        <v>0</v>
      </c>
      <c r="S1769" s="1" t="str">
        <f>""</f>
        <v/>
      </c>
      <c r="T1769" s="1" t="s">
        <v>29</v>
      </c>
      <c r="U1769" s="1" t="s">
        <v>30</v>
      </c>
      <c r="V1769" s="1">
        <v>0</v>
      </c>
    </row>
    <row r="1770" spans="2:22" x14ac:dyDescent="0.15">
      <c r="B1770" s="1" t="str">
        <f>"152****8590"</f>
        <v>152****8590</v>
      </c>
      <c r="C1770" s="1" t="s">
        <v>379</v>
      </c>
      <c r="D1770" s="1" t="str">
        <f t="shared" si="172"/>
        <v>89177328</v>
      </c>
      <c r="E1770" s="1" t="s">
        <v>24</v>
      </c>
      <c r="F1770" s="1" t="str">
        <f t="shared" si="173"/>
        <v>0010</v>
      </c>
      <c r="G1770" s="1" t="str">
        <f>""</f>
        <v/>
      </c>
      <c r="H1770" s="1" t="str">
        <f>"0012"</f>
        <v>0012</v>
      </c>
      <c r="I1770" s="1" t="s">
        <v>612</v>
      </c>
      <c r="J1770" s="1" t="str">
        <f>"01043989720"</f>
        <v>01043989720</v>
      </c>
      <c r="K1770" s="1" t="str">
        <f>"2017-03-28 17:12:03"</f>
        <v>2017-03-28 17:12:03</v>
      </c>
      <c r="L1770" s="1" t="str">
        <f>"-"</f>
        <v>-</v>
      </c>
      <c r="M1770" s="2">
        <v>0</v>
      </c>
      <c r="N1770" s="1" t="s">
        <v>33</v>
      </c>
      <c r="O1770" s="1" t="s">
        <v>34</v>
      </c>
      <c r="P1770" s="2">
        <v>1.1574074074074073E-5</v>
      </c>
      <c r="Q1770" s="1" t="str">
        <f>""</f>
        <v/>
      </c>
      <c r="R1770" s="1">
        <v>0</v>
      </c>
      <c r="S1770" s="1" t="str">
        <f>""</f>
        <v/>
      </c>
      <c r="T1770" s="1" t="s">
        <v>29</v>
      </c>
      <c r="U1770" s="1" t="s">
        <v>30</v>
      </c>
      <c r="V1770" s="1">
        <v>0</v>
      </c>
    </row>
    <row r="1771" spans="2:22" x14ac:dyDescent="0.15">
      <c r="B1771" s="1" t="str">
        <f>"180****8023"</f>
        <v>180****8023</v>
      </c>
      <c r="C1771" s="1" t="s">
        <v>23</v>
      </c>
      <c r="D1771" s="1" t="str">
        <f t="shared" si="172"/>
        <v>89177328</v>
      </c>
      <c r="E1771" s="1" t="s">
        <v>24</v>
      </c>
      <c r="F1771" s="1" t="str">
        <f t="shared" si="173"/>
        <v>0010</v>
      </c>
      <c r="G1771" s="1" t="str">
        <f>""</f>
        <v/>
      </c>
      <c r="H1771" s="1" t="str">
        <f>"0033"</f>
        <v>0033</v>
      </c>
      <c r="I1771" s="1" t="s">
        <v>106</v>
      </c>
      <c r="J1771" s="1" t="str">
        <f>"01043977567"</f>
        <v>01043977567</v>
      </c>
      <c r="K1771" s="1" t="str">
        <f>"2017-03-28 17:06:47"</f>
        <v>2017-03-28 17:06:47</v>
      </c>
      <c r="L1771" s="1" t="str">
        <f>"2017-03-28 17:06:57"</f>
        <v>2017-03-28 17:06:57</v>
      </c>
      <c r="M1771" s="2">
        <v>1.8749999999999999E-2</v>
      </c>
      <c r="N1771" s="1" t="s">
        <v>26</v>
      </c>
      <c r="O1771" s="1" t="s">
        <v>27</v>
      </c>
      <c r="P1771" s="2">
        <v>1.8865740740740742E-2</v>
      </c>
      <c r="Q1771" s="1" t="s">
        <v>1309</v>
      </c>
      <c r="R1771" s="1">
        <v>0</v>
      </c>
      <c r="S1771" s="1" t="str">
        <f>""</f>
        <v/>
      </c>
      <c r="T1771" s="1" t="s">
        <v>29</v>
      </c>
      <c r="U1771" s="1" t="s">
        <v>30</v>
      </c>
      <c r="V1771" s="1">
        <v>0</v>
      </c>
    </row>
    <row r="1772" spans="2:22" x14ac:dyDescent="0.15">
      <c r="B1772" s="1" t="str">
        <f>"138****9656"</f>
        <v>138****9656</v>
      </c>
      <c r="C1772" s="1" t="s">
        <v>23</v>
      </c>
      <c r="D1772" s="1" t="str">
        <f t="shared" si="172"/>
        <v>89177328</v>
      </c>
      <c r="E1772" s="1" t="s">
        <v>24</v>
      </c>
      <c r="F1772" s="1" t="str">
        <f t="shared" si="173"/>
        <v>0010</v>
      </c>
      <c r="G1772" s="1" t="str">
        <f>""</f>
        <v/>
      </c>
      <c r="H1772" s="1" t="str">
        <f>"0018"</f>
        <v>0018</v>
      </c>
      <c r="I1772" s="1" t="s">
        <v>36</v>
      </c>
      <c r="J1772" s="1" t="str">
        <f>"01043989718"</f>
        <v>01043989718</v>
      </c>
      <c r="K1772" s="1" t="str">
        <f>"2017-03-28 16:58:01"</f>
        <v>2017-03-28 16:58:01</v>
      </c>
      <c r="L1772" s="1" t="str">
        <f>"2017-03-28 16:58:09"</f>
        <v>2017-03-28 16:58:09</v>
      </c>
      <c r="M1772" s="2">
        <v>2.7546296296296294E-3</v>
      </c>
      <c r="N1772" s="1" t="s">
        <v>26</v>
      </c>
      <c r="O1772" s="1" t="s">
        <v>34</v>
      </c>
      <c r="P1772" s="2">
        <v>2.8472222222222219E-3</v>
      </c>
      <c r="Q1772" s="1" t="s">
        <v>1310</v>
      </c>
      <c r="R1772" s="1">
        <v>0</v>
      </c>
      <c r="S1772" s="1" t="str">
        <f>""</f>
        <v/>
      </c>
      <c r="T1772" s="1" t="s">
        <v>29</v>
      </c>
      <c r="U1772" s="1" t="s">
        <v>30</v>
      </c>
      <c r="V1772" s="1">
        <v>0</v>
      </c>
    </row>
    <row r="1773" spans="2:22" x14ac:dyDescent="0.15">
      <c r="B1773" s="1" t="str">
        <f>"130****7206"</f>
        <v>130****7206</v>
      </c>
      <c r="C1773" s="1" t="s">
        <v>458</v>
      </c>
      <c r="D1773" s="1" t="str">
        <f t="shared" si="172"/>
        <v>89177328</v>
      </c>
      <c r="E1773" s="1" t="s">
        <v>24</v>
      </c>
      <c r="F1773" s="1" t="str">
        <f t="shared" si="173"/>
        <v>0010</v>
      </c>
      <c r="G1773" s="1" t="str">
        <f>""</f>
        <v/>
      </c>
      <c r="H1773" s="1" t="str">
        <f>"0010"</f>
        <v>0010</v>
      </c>
      <c r="I1773" s="1" t="s">
        <v>71</v>
      </c>
      <c r="J1773" s="1" t="str">
        <f>"01043989719"</f>
        <v>01043989719</v>
      </c>
      <c r="K1773" s="1" t="str">
        <f>"2017-03-28 16:54:06"</f>
        <v>2017-03-28 16:54:06</v>
      </c>
      <c r="L1773" s="1" t="str">
        <f>"2017-03-28 16:54:20"</f>
        <v>2017-03-28 16:54:20</v>
      </c>
      <c r="M1773" s="2">
        <v>8.1944444444444452E-3</v>
      </c>
      <c r="N1773" s="1" t="s">
        <v>26</v>
      </c>
      <c r="O1773" s="1" t="s">
        <v>34</v>
      </c>
      <c r="P1773" s="2">
        <v>8.3564814814814804E-3</v>
      </c>
      <c r="Q1773" s="1" t="s">
        <v>1311</v>
      </c>
      <c r="R1773" s="1">
        <v>0</v>
      </c>
      <c r="S1773" s="1" t="str">
        <f>""</f>
        <v/>
      </c>
      <c r="T1773" s="1" t="s">
        <v>29</v>
      </c>
      <c r="U1773" s="1" t="s">
        <v>30</v>
      </c>
      <c r="V1773" s="1">
        <v>0</v>
      </c>
    </row>
    <row r="1774" spans="2:22" x14ac:dyDescent="0.15">
      <c r="B1774" s="1" t="str">
        <f>"150****1898"</f>
        <v>150****1898</v>
      </c>
      <c r="C1774" s="1" t="s">
        <v>487</v>
      </c>
      <c r="D1774" s="1" t="str">
        <f t="shared" si="172"/>
        <v>89177328</v>
      </c>
      <c r="E1774" s="1" t="s">
        <v>24</v>
      </c>
      <c r="F1774" s="1" t="str">
        <f t="shared" si="173"/>
        <v>0010</v>
      </c>
      <c r="G1774" s="1" t="str">
        <f>""</f>
        <v/>
      </c>
      <c r="H1774" s="1" t="str">
        <f>"0033"</f>
        <v>0033</v>
      </c>
      <c r="I1774" s="1" t="s">
        <v>106</v>
      </c>
      <c r="J1774" s="1" t="str">
        <f>"01043977567"</f>
        <v>01043977567</v>
      </c>
      <c r="K1774" s="1" t="str">
        <f>"2017-03-28 16:35:55"</f>
        <v>2017-03-28 16:35:55</v>
      </c>
      <c r="L1774" s="1" t="str">
        <f>"2017-03-28 16:36:07"</f>
        <v>2017-03-28 16:36:07</v>
      </c>
      <c r="M1774" s="2">
        <v>1.9664351851851853E-2</v>
      </c>
      <c r="N1774" s="1" t="s">
        <v>26</v>
      </c>
      <c r="O1774" s="1" t="s">
        <v>34</v>
      </c>
      <c r="P1774" s="2">
        <v>1.9803240740740739E-2</v>
      </c>
      <c r="Q1774" s="1" t="s">
        <v>1312</v>
      </c>
      <c r="R1774" s="1">
        <v>0</v>
      </c>
      <c r="S1774" s="1" t="str">
        <f>""</f>
        <v/>
      </c>
      <c r="T1774" s="1" t="s">
        <v>29</v>
      </c>
      <c r="U1774" s="1" t="s">
        <v>30</v>
      </c>
      <c r="V1774" s="1">
        <v>0</v>
      </c>
    </row>
    <row r="1775" spans="2:22" x14ac:dyDescent="0.15">
      <c r="B1775" s="1" t="str">
        <f>"186****3243"</f>
        <v>186****3243</v>
      </c>
      <c r="C1775" s="1" t="s">
        <v>23</v>
      </c>
      <c r="D1775" s="1" t="str">
        <f t="shared" si="172"/>
        <v>89177328</v>
      </c>
      <c r="E1775" s="1" t="s">
        <v>24</v>
      </c>
      <c r="F1775" s="1" t="str">
        <f t="shared" si="173"/>
        <v>0010</v>
      </c>
      <c r="G1775" s="1" t="str">
        <f>""</f>
        <v/>
      </c>
      <c r="H1775" s="1" t="str">
        <f>"0012"</f>
        <v>0012</v>
      </c>
      <c r="I1775" s="1" t="s">
        <v>612</v>
      </c>
      <c r="J1775" s="1" t="str">
        <f>"01043989720"</f>
        <v>01043989720</v>
      </c>
      <c r="K1775" s="1" t="str">
        <f>"2017-03-28 16:35:48"</f>
        <v>2017-03-28 16:35:48</v>
      </c>
      <c r="L1775" s="1" t="str">
        <f>"2017-03-28 16:36:03"</f>
        <v>2017-03-28 16:36:03</v>
      </c>
      <c r="M1775" s="2">
        <v>5.7523148148148143E-3</v>
      </c>
      <c r="N1775" s="1" t="s">
        <v>26</v>
      </c>
      <c r="O1775" s="1" t="s">
        <v>27</v>
      </c>
      <c r="P1775" s="2">
        <v>5.9259259259259256E-3</v>
      </c>
      <c r="Q1775" s="1" t="s">
        <v>1313</v>
      </c>
      <c r="R1775" s="1">
        <v>0</v>
      </c>
      <c r="S1775" s="1" t="str">
        <f>""</f>
        <v/>
      </c>
      <c r="T1775" s="1" t="s">
        <v>29</v>
      </c>
      <c r="U1775" s="1" t="s">
        <v>30</v>
      </c>
      <c r="V1775" s="1">
        <v>0</v>
      </c>
    </row>
    <row r="1776" spans="2:22" x14ac:dyDescent="0.15">
      <c r="B1776" s="1" t="str">
        <f>"136****3826"</f>
        <v>136****3826</v>
      </c>
      <c r="C1776" s="1" t="s">
        <v>1053</v>
      </c>
      <c r="D1776" s="1" t="str">
        <f t="shared" si="172"/>
        <v>89177328</v>
      </c>
      <c r="E1776" s="1" t="s">
        <v>24</v>
      </c>
      <c r="F1776" s="1" t="str">
        <f t="shared" si="173"/>
        <v>0010</v>
      </c>
      <c r="G1776" s="1" t="str">
        <f>""</f>
        <v/>
      </c>
      <c r="H1776" s="1" t="str">
        <f>"0035"</f>
        <v>0035</v>
      </c>
      <c r="I1776" s="1" t="s">
        <v>25</v>
      </c>
      <c r="J1776" s="1" t="str">
        <f>"01043977569"</f>
        <v>01043977569</v>
      </c>
      <c r="K1776" s="1" t="str">
        <f>"2017-03-28 16:14:55"</f>
        <v>2017-03-28 16:14:55</v>
      </c>
      <c r="L1776" s="1" t="str">
        <f>"2017-03-28 16:15:05"</f>
        <v>2017-03-28 16:15:05</v>
      </c>
      <c r="M1776" s="2">
        <v>1.4548611111111111E-2</v>
      </c>
      <c r="N1776" s="1" t="s">
        <v>26</v>
      </c>
      <c r="O1776" s="1" t="s">
        <v>27</v>
      </c>
      <c r="P1776" s="2">
        <v>1.4664351851851852E-2</v>
      </c>
      <c r="Q1776" s="1" t="s">
        <v>1314</v>
      </c>
      <c r="R1776" s="1">
        <v>0</v>
      </c>
      <c r="S1776" s="1" t="str">
        <f>""</f>
        <v/>
      </c>
      <c r="T1776" s="1" t="s">
        <v>29</v>
      </c>
      <c r="U1776" s="1" t="s">
        <v>30</v>
      </c>
      <c r="V1776" s="1">
        <v>0</v>
      </c>
    </row>
    <row r="1777" spans="2:22" x14ac:dyDescent="0.15">
      <c r="B1777" s="1" t="str">
        <f>"136****3826"</f>
        <v>136****3826</v>
      </c>
      <c r="C1777" s="1" t="s">
        <v>1053</v>
      </c>
      <c r="D1777" s="1" t="str">
        <f t="shared" si="172"/>
        <v>89177328</v>
      </c>
      <c r="E1777" s="1" t="s">
        <v>24</v>
      </c>
      <c r="F1777" s="1" t="str">
        <f t="shared" si="173"/>
        <v>0010</v>
      </c>
      <c r="G1777" s="1" t="str">
        <f>""</f>
        <v/>
      </c>
      <c r="H1777" s="1" t="str">
        <f>"0035"</f>
        <v>0035</v>
      </c>
      <c r="I1777" s="1" t="s">
        <v>25</v>
      </c>
      <c r="J1777" s="1" t="str">
        <f>"01043977569"</f>
        <v>01043977569</v>
      </c>
      <c r="K1777" s="1" t="str">
        <f>"2017-03-28 16:13:41"</f>
        <v>2017-03-28 16:13:41</v>
      </c>
      <c r="L1777" s="1" t="str">
        <f>"-"</f>
        <v>-</v>
      </c>
      <c r="M1777" s="2">
        <v>0</v>
      </c>
      <c r="N1777" s="1" t="s">
        <v>33</v>
      </c>
      <c r="O1777" s="1" t="s">
        <v>34</v>
      </c>
      <c r="P1777" s="2">
        <v>2.3148148148148147E-5</v>
      </c>
      <c r="Q1777" s="1" t="str">
        <f>""</f>
        <v/>
      </c>
      <c r="R1777" s="1">
        <v>0</v>
      </c>
      <c r="S1777" s="1" t="str">
        <f>""</f>
        <v/>
      </c>
      <c r="T1777" s="1" t="s">
        <v>29</v>
      </c>
      <c r="U1777" s="1" t="s">
        <v>30</v>
      </c>
      <c r="V1777" s="1">
        <v>0</v>
      </c>
    </row>
    <row r="1778" spans="2:22" x14ac:dyDescent="0.15">
      <c r="B1778" s="1" t="str">
        <f>"185****1980"</f>
        <v>185****1980</v>
      </c>
      <c r="C1778" s="1" t="s">
        <v>23</v>
      </c>
      <c r="D1778" s="1" t="str">
        <f t="shared" si="172"/>
        <v>89177328</v>
      </c>
      <c r="E1778" s="1" t="s">
        <v>24</v>
      </c>
      <c r="F1778" s="1" t="str">
        <f t="shared" si="173"/>
        <v>0010</v>
      </c>
      <c r="G1778" s="1" t="str">
        <f>""</f>
        <v/>
      </c>
      <c r="H1778" s="1" t="str">
        <f>"0018"</f>
        <v>0018</v>
      </c>
      <c r="I1778" s="1" t="s">
        <v>36</v>
      </c>
      <c r="J1778" s="1" t="str">
        <f>"01043989718"</f>
        <v>01043989718</v>
      </c>
      <c r="K1778" s="1" t="str">
        <f>"2017-03-28 16:09:35"</f>
        <v>2017-03-28 16:09:35</v>
      </c>
      <c r="L1778" s="1" t="str">
        <f>"2017-03-28 16:09:43"</f>
        <v>2017-03-28 16:09:43</v>
      </c>
      <c r="M1778" s="2">
        <v>6.9328703703703696E-3</v>
      </c>
      <c r="N1778" s="1" t="s">
        <v>26</v>
      </c>
      <c r="O1778" s="1" t="s">
        <v>34</v>
      </c>
      <c r="P1778" s="2">
        <v>7.0254629629629634E-3</v>
      </c>
      <c r="Q1778" s="1" t="s">
        <v>1315</v>
      </c>
      <c r="R1778" s="1">
        <v>0</v>
      </c>
      <c r="S1778" s="1" t="str">
        <f>""</f>
        <v/>
      </c>
      <c r="T1778" s="1" t="s">
        <v>29</v>
      </c>
      <c r="U1778" s="1" t="s">
        <v>30</v>
      </c>
      <c r="V1778" s="1">
        <v>0</v>
      </c>
    </row>
    <row r="1779" spans="2:22" x14ac:dyDescent="0.15">
      <c r="B1779" s="1" t="str">
        <f>"153****2111"</f>
        <v>153****2111</v>
      </c>
      <c r="C1779" s="1" t="s">
        <v>126</v>
      </c>
      <c r="D1779" s="1" t="str">
        <f t="shared" si="172"/>
        <v>89177328</v>
      </c>
      <c r="E1779" s="1" t="s">
        <v>24</v>
      </c>
      <c r="F1779" s="1" t="str">
        <f t="shared" si="173"/>
        <v>0010</v>
      </c>
      <c r="G1779" s="1" t="str">
        <f>""</f>
        <v/>
      </c>
      <c r="H1779" s="1" t="str">
        <f>"0017"</f>
        <v>0017</v>
      </c>
      <c r="I1779" s="1" t="s">
        <v>135</v>
      </c>
      <c r="J1779" s="1" t="str">
        <f>"01043989717"</f>
        <v>01043989717</v>
      </c>
      <c r="K1779" s="1" t="str">
        <f>"2017-03-28 16:05:05"</f>
        <v>2017-03-28 16:05:05</v>
      </c>
      <c r="L1779" s="1" t="str">
        <f>"2017-03-28 16:05:13"</f>
        <v>2017-03-28 16:05:13</v>
      </c>
      <c r="M1779" s="2">
        <v>3.1226851851851853E-2</v>
      </c>
      <c r="N1779" s="1" t="s">
        <v>26</v>
      </c>
      <c r="O1779" s="1" t="s">
        <v>27</v>
      </c>
      <c r="P1779" s="2">
        <v>3.1319444444444448E-2</v>
      </c>
      <c r="Q1779" s="1" t="s">
        <v>1316</v>
      </c>
      <c r="R1779" s="1">
        <v>0</v>
      </c>
      <c r="S1779" s="1" t="str">
        <f>""</f>
        <v/>
      </c>
      <c r="T1779" s="1" t="s">
        <v>29</v>
      </c>
      <c r="U1779" s="1" t="s">
        <v>30</v>
      </c>
      <c r="V1779" s="1">
        <v>0</v>
      </c>
    </row>
    <row r="1780" spans="2:22" x14ac:dyDescent="0.15">
      <c r="B1780" s="1" t="str">
        <f>"150****0764"</f>
        <v>150****0764</v>
      </c>
      <c r="C1780" s="1" t="s">
        <v>23</v>
      </c>
      <c r="D1780" s="1" t="str">
        <f t="shared" si="172"/>
        <v>89177328</v>
      </c>
      <c r="E1780" s="1" t="s">
        <v>24</v>
      </c>
      <c r="F1780" s="1" t="str">
        <f t="shared" si="173"/>
        <v>0010</v>
      </c>
      <c r="G1780" s="1" t="str">
        <f>""</f>
        <v/>
      </c>
      <c r="H1780" s="1" t="str">
        <f>"0012"</f>
        <v>0012</v>
      </c>
      <c r="I1780" s="1" t="s">
        <v>612</v>
      </c>
      <c r="J1780" s="1" t="str">
        <f>"01043989720"</f>
        <v>01043989720</v>
      </c>
      <c r="K1780" s="1" t="str">
        <f>"2017-03-28 16:04:15"</f>
        <v>2017-03-28 16:04:15</v>
      </c>
      <c r="L1780" s="1" t="str">
        <f>"2017-03-28 16:04:27"</f>
        <v>2017-03-28 16:04:27</v>
      </c>
      <c r="M1780" s="2">
        <v>1.9710648148148147E-2</v>
      </c>
      <c r="N1780" s="1" t="s">
        <v>26</v>
      </c>
      <c r="O1780" s="1" t="s">
        <v>27</v>
      </c>
      <c r="P1780" s="2">
        <v>1.9849537037037037E-2</v>
      </c>
      <c r="Q1780" s="1" t="s">
        <v>1317</v>
      </c>
      <c r="R1780" s="1">
        <v>0</v>
      </c>
      <c r="S1780" s="1" t="str">
        <f>""</f>
        <v/>
      </c>
      <c r="T1780" s="1" t="s">
        <v>29</v>
      </c>
      <c r="U1780" s="1" t="s">
        <v>30</v>
      </c>
      <c r="V1780" s="1">
        <v>0</v>
      </c>
    </row>
    <row r="1781" spans="2:22" x14ac:dyDescent="0.15">
      <c r="B1781" s="1" t="str">
        <f>"031411413473145777"</f>
        <v>031411413473145777</v>
      </c>
      <c r="C1781" s="1" t="s">
        <v>137</v>
      </c>
      <c r="D1781" s="1" t="str">
        <f t="shared" si="172"/>
        <v>89177328</v>
      </c>
      <c r="E1781" s="1" t="s">
        <v>24</v>
      </c>
      <c r="F1781" s="1" t="str">
        <f t="shared" si="173"/>
        <v>0010</v>
      </c>
      <c r="G1781" s="1" t="str">
        <f>""</f>
        <v/>
      </c>
      <c r="H1781" s="1" t="str">
        <f>"0018"</f>
        <v>0018</v>
      </c>
      <c r="I1781" s="1" t="s">
        <v>36</v>
      </c>
      <c r="J1781" s="1" t="str">
        <f>"01043989718"</f>
        <v>01043989718</v>
      </c>
      <c r="K1781" s="1" t="str">
        <f>"2017-03-28 15:53:00"</f>
        <v>2017-03-28 15:53:00</v>
      </c>
      <c r="L1781" s="1" t="str">
        <f>"2017-03-28 15:53:10"</f>
        <v>2017-03-28 15:53:10</v>
      </c>
      <c r="M1781" s="2">
        <v>8.5416666666666679E-3</v>
      </c>
      <c r="N1781" s="1" t="s">
        <v>26</v>
      </c>
      <c r="O1781" s="1" t="s">
        <v>34</v>
      </c>
      <c r="P1781" s="2">
        <v>8.6574074074074071E-3</v>
      </c>
      <c r="Q1781" s="1" t="s">
        <v>1318</v>
      </c>
      <c r="R1781" s="1">
        <v>0</v>
      </c>
      <c r="S1781" s="1" t="str">
        <f>""</f>
        <v/>
      </c>
      <c r="T1781" s="1" t="s">
        <v>29</v>
      </c>
      <c r="U1781" s="1" t="s">
        <v>30</v>
      </c>
      <c r="V1781" s="1">
        <v>0</v>
      </c>
    </row>
    <row r="1782" spans="2:22" x14ac:dyDescent="0.15">
      <c r="B1782" s="1" t="str">
        <f>"010****1993"</f>
        <v>010****1993</v>
      </c>
      <c r="C1782" s="1" t="s">
        <v>23</v>
      </c>
      <c r="D1782" s="1" t="str">
        <f t="shared" si="172"/>
        <v>89177328</v>
      </c>
      <c r="E1782" s="1" t="s">
        <v>24</v>
      </c>
      <c r="F1782" s="1" t="str">
        <f t="shared" si="173"/>
        <v>0010</v>
      </c>
      <c r="G1782" s="1" t="str">
        <f>""</f>
        <v/>
      </c>
      <c r="H1782" s="1" t="str">
        <f>"0034"</f>
        <v>0034</v>
      </c>
      <c r="I1782" s="1" t="s">
        <v>31</v>
      </c>
      <c r="J1782" s="1" t="str">
        <f>"01043977568"</f>
        <v>01043977568</v>
      </c>
      <c r="K1782" s="1" t="str">
        <f>"2017-03-28 15:02:17"</f>
        <v>2017-03-28 15:02:17</v>
      </c>
      <c r="L1782" s="1" t="str">
        <f>"2017-03-28 15:02:26"</f>
        <v>2017-03-28 15:02:26</v>
      </c>
      <c r="M1782" s="2">
        <v>5.162037037037037E-3</v>
      </c>
      <c r="N1782" s="1" t="s">
        <v>26</v>
      </c>
      <c r="O1782" s="1" t="s">
        <v>27</v>
      </c>
      <c r="P1782" s="2">
        <v>5.2662037037037035E-3</v>
      </c>
      <c r="Q1782" s="1" t="s">
        <v>1319</v>
      </c>
      <c r="R1782" s="1">
        <v>0</v>
      </c>
      <c r="S1782" s="1" t="str">
        <f>""</f>
        <v/>
      </c>
      <c r="T1782" s="1" t="s">
        <v>29</v>
      </c>
      <c r="U1782" s="1" t="s">
        <v>30</v>
      </c>
      <c r="V1782" s="1">
        <v>0</v>
      </c>
    </row>
    <row r="1783" spans="2:22" x14ac:dyDescent="0.15">
      <c r="B1783" s="1" t="str">
        <f>"010****6605"</f>
        <v>010****6605</v>
      </c>
      <c r="C1783" s="1" t="s">
        <v>23</v>
      </c>
      <c r="D1783" s="1" t="str">
        <f t="shared" si="172"/>
        <v>89177328</v>
      </c>
      <c r="E1783" s="1" t="s">
        <v>24</v>
      </c>
      <c r="F1783" s="1" t="str">
        <f t="shared" si="173"/>
        <v>0010</v>
      </c>
      <c r="G1783" s="1" t="str">
        <f>""</f>
        <v/>
      </c>
      <c r="H1783" s="1" t="str">
        <f>"0017"</f>
        <v>0017</v>
      </c>
      <c r="I1783" s="1" t="s">
        <v>135</v>
      </c>
      <c r="J1783" s="1" t="str">
        <f>"01043989717"</f>
        <v>01043989717</v>
      </c>
      <c r="K1783" s="1" t="str">
        <f>"2017-03-28 14:46:43"</f>
        <v>2017-03-28 14:46:43</v>
      </c>
      <c r="L1783" s="1" t="str">
        <f>"2017-03-28 14:46:51"</f>
        <v>2017-03-28 14:46:51</v>
      </c>
      <c r="M1783" s="2">
        <v>7.5578703703703702E-3</v>
      </c>
      <c r="N1783" s="1" t="s">
        <v>26</v>
      </c>
      <c r="O1783" s="1" t="s">
        <v>27</v>
      </c>
      <c r="P1783" s="2">
        <v>7.6504629629629631E-3</v>
      </c>
      <c r="Q1783" s="1" t="s">
        <v>1320</v>
      </c>
      <c r="R1783" s="1">
        <v>0</v>
      </c>
      <c r="S1783" s="1" t="str">
        <f>""</f>
        <v/>
      </c>
      <c r="T1783" s="1" t="s">
        <v>29</v>
      </c>
      <c r="U1783" s="1" t="s">
        <v>30</v>
      </c>
      <c r="V1783" s="1">
        <v>0</v>
      </c>
    </row>
    <row r="1784" spans="2:22" x14ac:dyDescent="0.15">
      <c r="B1784" s="1" t="str">
        <f>"159****5407"</f>
        <v>159****5407</v>
      </c>
      <c r="C1784" s="1" t="s">
        <v>23</v>
      </c>
      <c r="D1784" s="1" t="str">
        <f t="shared" si="172"/>
        <v>89177328</v>
      </c>
      <c r="E1784" s="1" t="s">
        <v>24</v>
      </c>
      <c r="F1784" s="1" t="str">
        <f t="shared" si="173"/>
        <v>0010</v>
      </c>
      <c r="G1784" s="1" t="str">
        <f>""</f>
        <v/>
      </c>
      <c r="H1784" s="1" t="str">
        <f>"0017"</f>
        <v>0017</v>
      </c>
      <c r="I1784" s="1" t="s">
        <v>135</v>
      </c>
      <c r="J1784" s="1" t="str">
        <f>"01043989717"</f>
        <v>01043989717</v>
      </c>
      <c r="K1784" s="1" t="str">
        <f>"2017-03-28 14:18:15"</f>
        <v>2017-03-28 14:18:15</v>
      </c>
      <c r="L1784" s="1" t="str">
        <f>"2017-03-28 14:18:22"</f>
        <v>2017-03-28 14:18:22</v>
      </c>
      <c r="M1784" s="2">
        <v>1.5162037037037036E-3</v>
      </c>
      <c r="N1784" s="1" t="s">
        <v>26</v>
      </c>
      <c r="O1784" s="1" t="s">
        <v>27</v>
      </c>
      <c r="P1784" s="2">
        <v>1.5972222222222221E-3</v>
      </c>
      <c r="Q1784" s="1" t="s">
        <v>1321</v>
      </c>
      <c r="R1784" s="1">
        <v>0</v>
      </c>
      <c r="S1784" s="1" t="str">
        <f>""</f>
        <v/>
      </c>
      <c r="T1784" s="1" t="s">
        <v>29</v>
      </c>
      <c r="U1784" s="1" t="s">
        <v>30</v>
      </c>
      <c r="V1784" s="1">
        <v>0</v>
      </c>
    </row>
    <row r="1785" spans="2:22" x14ac:dyDescent="0.15">
      <c r="B1785" s="1" t="str">
        <f>"138****5069"</f>
        <v>138****5069</v>
      </c>
      <c r="C1785" s="1" t="s">
        <v>23</v>
      </c>
      <c r="D1785" s="1" t="str">
        <f t="shared" si="172"/>
        <v>89177328</v>
      </c>
      <c r="E1785" s="1" t="s">
        <v>24</v>
      </c>
      <c r="F1785" s="1" t="str">
        <f t="shared" si="173"/>
        <v>0010</v>
      </c>
      <c r="G1785" s="1" t="str">
        <f>""</f>
        <v/>
      </c>
      <c r="H1785" s="1" t="str">
        <f>"0017"</f>
        <v>0017</v>
      </c>
      <c r="I1785" s="1" t="s">
        <v>135</v>
      </c>
      <c r="J1785" s="1" t="str">
        <f>"01043989717"</f>
        <v>01043989717</v>
      </c>
      <c r="K1785" s="1" t="str">
        <f>"2017-03-28 13:57:55"</f>
        <v>2017-03-28 13:57:55</v>
      </c>
      <c r="L1785" s="1" t="str">
        <f>"2017-03-28 13:58:03"</f>
        <v>2017-03-28 13:58:03</v>
      </c>
      <c r="M1785" s="2">
        <v>3.5879629629629635E-4</v>
      </c>
      <c r="N1785" s="1" t="s">
        <v>26</v>
      </c>
      <c r="O1785" s="1" t="s">
        <v>27</v>
      </c>
      <c r="P1785" s="2">
        <v>4.5138888888888892E-4</v>
      </c>
      <c r="Q1785" s="1" t="s">
        <v>1322</v>
      </c>
      <c r="R1785" s="1">
        <v>0</v>
      </c>
      <c r="S1785" s="1" t="str">
        <f>""</f>
        <v/>
      </c>
      <c r="T1785" s="1" t="s">
        <v>29</v>
      </c>
      <c r="U1785" s="1" t="s">
        <v>30</v>
      </c>
      <c r="V1785" s="1">
        <v>0</v>
      </c>
    </row>
    <row r="1786" spans="2:22" x14ac:dyDescent="0.15">
      <c r="B1786" s="1" t="str">
        <f>"138****8419"</f>
        <v>138****8419</v>
      </c>
      <c r="C1786" s="1" t="s">
        <v>23</v>
      </c>
      <c r="D1786" s="1" t="str">
        <f t="shared" si="172"/>
        <v>89177328</v>
      </c>
      <c r="E1786" s="1" t="s">
        <v>24</v>
      </c>
      <c r="F1786" s="1" t="str">
        <f t="shared" si="173"/>
        <v>0010</v>
      </c>
      <c r="G1786" s="1" t="str">
        <f>""</f>
        <v/>
      </c>
      <c r="H1786" s="1" t="str">
        <f>"0034"</f>
        <v>0034</v>
      </c>
      <c r="I1786" s="1" t="s">
        <v>31</v>
      </c>
      <c r="J1786" s="1" t="str">
        <f>"01043977568"</f>
        <v>01043977568</v>
      </c>
      <c r="K1786" s="1" t="str">
        <f>"2017-03-28 13:12:29"</f>
        <v>2017-03-28 13:12:29</v>
      </c>
      <c r="L1786" s="1" t="str">
        <f>"2017-03-28 13:12:48"</f>
        <v>2017-03-28 13:12:48</v>
      </c>
      <c r="M1786" s="2">
        <v>5.3356481481481484E-3</v>
      </c>
      <c r="N1786" s="1" t="s">
        <v>26</v>
      </c>
      <c r="O1786" s="1" t="s">
        <v>34</v>
      </c>
      <c r="P1786" s="2">
        <v>5.5555555555555558E-3</v>
      </c>
      <c r="Q1786" s="1" t="s">
        <v>1323</v>
      </c>
      <c r="R1786" s="1">
        <v>0</v>
      </c>
      <c r="S1786" s="1" t="str">
        <f>""</f>
        <v/>
      </c>
      <c r="T1786" s="1" t="s">
        <v>29</v>
      </c>
      <c r="U1786" s="1" t="s">
        <v>30</v>
      </c>
      <c r="V1786" s="1">
        <v>0</v>
      </c>
    </row>
    <row r="1787" spans="2:22" x14ac:dyDescent="0.15">
      <c r="B1787" s="1" t="str">
        <f>"138****5006"</f>
        <v>138****5006</v>
      </c>
      <c r="C1787" s="1" t="s">
        <v>80</v>
      </c>
      <c r="D1787" s="1" t="str">
        <f t="shared" si="172"/>
        <v>89177328</v>
      </c>
      <c r="E1787" s="1" t="s">
        <v>24</v>
      </c>
      <c r="F1787" s="1" t="str">
        <f t="shared" si="173"/>
        <v>0010</v>
      </c>
      <c r="G1787" s="1" t="str">
        <f>""</f>
        <v/>
      </c>
      <c r="H1787" s="1" t="str">
        <f>"0017"</f>
        <v>0017</v>
      </c>
      <c r="I1787" s="1" t="s">
        <v>135</v>
      </c>
      <c r="J1787" s="1" t="str">
        <f>"01043989717"</f>
        <v>01043989717</v>
      </c>
      <c r="K1787" s="1" t="str">
        <f>"2017-03-28 13:05:24"</f>
        <v>2017-03-28 13:05:24</v>
      </c>
      <c r="L1787" s="1" t="str">
        <f>"2017-03-28 13:05:32"</f>
        <v>2017-03-28 13:05:32</v>
      </c>
      <c r="M1787" s="2">
        <v>5.3935185185185188E-3</v>
      </c>
      <c r="N1787" s="1" t="s">
        <v>26</v>
      </c>
      <c r="O1787" s="1" t="s">
        <v>27</v>
      </c>
      <c r="P1787" s="2">
        <v>5.4861111111111117E-3</v>
      </c>
      <c r="Q1787" s="1" t="s">
        <v>1324</v>
      </c>
      <c r="R1787" s="1">
        <v>0</v>
      </c>
      <c r="S1787" s="1" t="str">
        <f>""</f>
        <v/>
      </c>
      <c r="T1787" s="1" t="s">
        <v>29</v>
      </c>
      <c r="U1787" s="1" t="s">
        <v>30</v>
      </c>
      <c r="V1787" s="1">
        <v>0</v>
      </c>
    </row>
    <row r="1788" spans="2:22" x14ac:dyDescent="0.15">
      <c r="B1788" s="1" t="str">
        <f>"138****5069"</f>
        <v>138****5069</v>
      </c>
      <c r="C1788" s="1" t="s">
        <v>23</v>
      </c>
      <c r="D1788" s="1" t="str">
        <f t="shared" si="172"/>
        <v>89177328</v>
      </c>
      <c r="E1788" s="1" t="s">
        <v>24</v>
      </c>
      <c r="F1788" s="1" t="str">
        <f t="shared" si="173"/>
        <v>0010</v>
      </c>
      <c r="G1788" s="1" t="str">
        <f>""</f>
        <v/>
      </c>
      <c r="H1788" s="1" t="str">
        <f>"0018"</f>
        <v>0018</v>
      </c>
      <c r="I1788" s="1" t="s">
        <v>36</v>
      </c>
      <c r="J1788" s="1" t="str">
        <f>"01043989718"</f>
        <v>01043989718</v>
      </c>
      <c r="K1788" s="1" t="str">
        <f>"2017-03-28 12:57:08"</f>
        <v>2017-03-28 12:57:08</v>
      </c>
      <c r="L1788" s="1" t="str">
        <f>"-"</f>
        <v>-</v>
      </c>
      <c r="M1788" s="2">
        <v>0</v>
      </c>
      <c r="N1788" s="1" t="s">
        <v>33</v>
      </c>
      <c r="O1788" s="1" t="s">
        <v>34</v>
      </c>
      <c r="P1788" s="2">
        <v>2.3148148148148147E-5</v>
      </c>
      <c r="Q1788" s="1" t="str">
        <f>""</f>
        <v/>
      </c>
      <c r="R1788" s="1">
        <v>0</v>
      </c>
      <c r="S1788" s="1" t="str">
        <f>""</f>
        <v/>
      </c>
      <c r="T1788" s="1" t="s">
        <v>29</v>
      </c>
      <c r="U1788" s="1" t="s">
        <v>30</v>
      </c>
      <c r="V1788" s="1">
        <v>0</v>
      </c>
    </row>
    <row r="1789" spans="2:22" x14ac:dyDescent="0.15">
      <c r="B1789" s="1" t="str">
        <f>"133****9597"</f>
        <v>133****9597</v>
      </c>
      <c r="C1789" s="1" t="s">
        <v>23</v>
      </c>
      <c r="D1789" s="1" t="str">
        <f t="shared" si="172"/>
        <v>89177328</v>
      </c>
      <c r="E1789" s="1" t="s">
        <v>24</v>
      </c>
      <c r="F1789" s="1" t="str">
        <f t="shared" si="173"/>
        <v>0010</v>
      </c>
      <c r="G1789" s="1" t="str">
        <f>""</f>
        <v/>
      </c>
      <c r="H1789" s="1" t="str">
        <f>"0012"</f>
        <v>0012</v>
      </c>
      <c r="I1789" s="1" t="s">
        <v>612</v>
      </c>
      <c r="J1789" s="1" t="str">
        <f>"01043989720"</f>
        <v>01043989720</v>
      </c>
      <c r="K1789" s="1" t="str">
        <f>"2017-03-28 12:42:11"</f>
        <v>2017-03-28 12:42:11</v>
      </c>
      <c r="L1789" s="1" t="str">
        <f>"-"</f>
        <v>-</v>
      </c>
      <c r="M1789" s="2">
        <v>0</v>
      </c>
      <c r="N1789" s="1" t="s">
        <v>33</v>
      </c>
      <c r="O1789" s="1" t="s">
        <v>34</v>
      </c>
      <c r="P1789" s="2">
        <v>5.7870370370370366E-5</v>
      </c>
      <c r="Q1789" s="1" t="str">
        <f>""</f>
        <v/>
      </c>
      <c r="R1789" s="1">
        <v>0</v>
      </c>
      <c r="S1789" s="1" t="str">
        <f>""</f>
        <v/>
      </c>
      <c r="T1789" s="1" t="s">
        <v>29</v>
      </c>
      <c r="U1789" s="1" t="s">
        <v>30</v>
      </c>
      <c r="V1789" s="1">
        <v>0</v>
      </c>
    </row>
    <row r="1790" spans="2:22" x14ac:dyDescent="0.15">
      <c r="B1790" s="1" t="str">
        <f>"183****4280"</f>
        <v>183****4280</v>
      </c>
      <c r="C1790" s="1" t="s">
        <v>23</v>
      </c>
      <c r="D1790" s="1" t="str">
        <f t="shared" si="172"/>
        <v>89177328</v>
      </c>
      <c r="E1790" s="1" t="s">
        <v>24</v>
      </c>
      <c r="F1790" s="1" t="str">
        <f t="shared" si="173"/>
        <v>0010</v>
      </c>
      <c r="G1790" s="1" t="str">
        <f>""</f>
        <v/>
      </c>
      <c r="H1790" s="1" t="str">
        <f>"0012"</f>
        <v>0012</v>
      </c>
      <c r="I1790" s="1" t="s">
        <v>612</v>
      </c>
      <c r="J1790" s="1" t="str">
        <f>"01043989720"</f>
        <v>01043989720</v>
      </c>
      <c r="K1790" s="1" t="str">
        <f>"2017-03-28 12:38:35"</f>
        <v>2017-03-28 12:38:35</v>
      </c>
      <c r="L1790" s="1" t="str">
        <f>"-"</f>
        <v>-</v>
      </c>
      <c r="M1790" s="2">
        <v>0</v>
      </c>
      <c r="N1790" s="1" t="s">
        <v>33</v>
      </c>
      <c r="O1790" s="1" t="s">
        <v>34</v>
      </c>
      <c r="P1790" s="2">
        <v>6.9444444444444444E-5</v>
      </c>
      <c r="Q1790" s="1" t="str">
        <f>""</f>
        <v/>
      </c>
      <c r="R1790" s="1">
        <v>0</v>
      </c>
      <c r="S1790" s="1" t="str">
        <f>""</f>
        <v/>
      </c>
      <c r="T1790" s="1" t="s">
        <v>29</v>
      </c>
      <c r="U1790" s="1" t="s">
        <v>30</v>
      </c>
      <c r="V1790" s="1">
        <v>0</v>
      </c>
    </row>
    <row r="1791" spans="2:22" x14ac:dyDescent="0.15">
      <c r="B1791" s="1" t="str">
        <f>"133****9597"</f>
        <v>133****9597</v>
      </c>
      <c r="C1791" s="1" t="s">
        <v>23</v>
      </c>
      <c r="D1791" s="1" t="str">
        <f t="shared" si="172"/>
        <v>89177328</v>
      </c>
      <c r="E1791" s="1" t="s">
        <v>24</v>
      </c>
      <c r="F1791" s="1" t="str">
        <f t="shared" si="173"/>
        <v>0010</v>
      </c>
      <c r="G1791" s="1" t="str">
        <f>""</f>
        <v/>
      </c>
      <c r="H1791" s="1" t="str">
        <f>"0012"</f>
        <v>0012</v>
      </c>
      <c r="I1791" s="1" t="s">
        <v>612</v>
      </c>
      <c r="J1791" s="1" t="str">
        <f>"01043989720"</f>
        <v>01043989720</v>
      </c>
      <c r="K1791" s="1" t="str">
        <f>"2017-03-28 12:37:25"</f>
        <v>2017-03-28 12:37:25</v>
      </c>
      <c r="L1791" s="1" t="str">
        <f>"-"</f>
        <v>-</v>
      </c>
      <c r="M1791" s="2">
        <v>0</v>
      </c>
      <c r="N1791" s="1" t="s">
        <v>33</v>
      </c>
      <c r="O1791" s="1" t="s">
        <v>34</v>
      </c>
      <c r="P1791" s="2">
        <v>5.7870370370370366E-5</v>
      </c>
      <c r="Q1791" s="1" t="str">
        <f>""</f>
        <v/>
      </c>
      <c r="R1791" s="1">
        <v>0</v>
      </c>
      <c r="S1791" s="1" t="str">
        <f>""</f>
        <v/>
      </c>
      <c r="T1791" s="1" t="s">
        <v>29</v>
      </c>
      <c r="U1791" s="1" t="s">
        <v>30</v>
      </c>
      <c r="V1791" s="1">
        <v>0</v>
      </c>
    </row>
    <row r="1792" spans="2:22" x14ac:dyDescent="0.15">
      <c r="B1792" s="1" t="str">
        <f>"188****7867"</f>
        <v>188****7867</v>
      </c>
      <c r="C1792" s="1" t="s">
        <v>23</v>
      </c>
      <c r="D1792" s="1" t="str">
        <f t="shared" si="172"/>
        <v>89177328</v>
      </c>
      <c r="E1792" s="1" t="s">
        <v>24</v>
      </c>
      <c r="F1792" s="1" t="str">
        <f t="shared" si="173"/>
        <v>0010</v>
      </c>
      <c r="G1792" s="1" t="str">
        <f>""</f>
        <v/>
      </c>
      <c r="H1792" s="1" t="str">
        <f>"0018"</f>
        <v>0018</v>
      </c>
      <c r="I1792" s="1" t="s">
        <v>36</v>
      </c>
      <c r="J1792" s="1" t="str">
        <f>"01043989718"</f>
        <v>01043989718</v>
      </c>
      <c r="K1792" s="1" t="str">
        <f>"2017-03-28 12:35:27"</f>
        <v>2017-03-28 12:35:27</v>
      </c>
      <c r="L1792" s="1" t="str">
        <f>"-"</f>
        <v>-</v>
      </c>
      <c r="M1792" s="2">
        <v>0</v>
      </c>
      <c r="N1792" s="1" t="s">
        <v>33</v>
      </c>
      <c r="O1792" s="1" t="s">
        <v>34</v>
      </c>
      <c r="P1792" s="2">
        <v>5.7870370370370366E-5</v>
      </c>
      <c r="Q1792" s="1" t="str">
        <f>""</f>
        <v/>
      </c>
      <c r="R1792" s="1">
        <v>0</v>
      </c>
      <c r="S1792" s="1" t="str">
        <f>""</f>
        <v/>
      </c>
      <c r="T1792" s="1" t="s">
        <v>29</v>
      </c>
      <c r="U1792" s="1" t="s">
        <v>30</v>
      </c>
      <c r="V1792" s="1">
        <v>0</v>
      </c>
    </row>
    <row r="1793" spans="2:22" x14ac:dyDescent="0.15">
      <c r="B1793" s="1" t="str">
        <f>"151****5711"</f>
        <v>151****5711</v>
      </c>
      <c r="C1793" s="1" t="s">
        <v>51</v>
      </c>
      <c r="D1793" s="1" t="str">
        <f t="shared" si="172"/>
        <v>89177328</v>
      </c>
      <c r="E1793" s="1" t="s">
        <v>24</v>
      </c>
      <c r="F1793" s="1" t="str">
        <f t="shared" si="173"/>
        <v>0010</v>
      </c>
      <c r="G1793" s="1" t="str">
        <f>""</f>
        <v/>
      </c>
      <c r="H1793" s="1" t="str">
        <f>"0017"</f>
        <v>0017</v>
      </c>
      <c r="I1793" s="1" t="s">
        <v>135</v>
      </c>
      <c r="J1793" s="1" t="str">
        <f>"01043989717"</f>
        <v>01043989717</v>
      </c>
      <c r="K1793" s="1" t="str">
        <f>"2017-03-28 12:33:36"</f>
        <v>2017-03-28 12:33:36</v>
      </c>
      <c r="L1793" s="1" t="str">
        <f>"2017-03-28 12:33:44"</f>
        <v>2017-03-28 12:33:44</v>
      </c>
      <c r="M1793" s="2">
        <v>6.6087962962962966E-3</v>
      </c>
      <c r="N1793" s="1" t="s">
        <v>26</v>
      </c>
      <c r="O1793" s="1" t="s">
        <v>27</v>
      </c>
      <c r="P1793" s="2">
        <v>6.7013888888888887E-3</v>
      </c>
      <c r="Q1793" s="1" t="s">
        <v>1325</v>
      </c>
      <c r="R1793" s="1">
        <v>0</v>
      </c>
      <c r="S1793" s="1" t="str">
        <f>""</f>
        <v/>
      </c>
      <c r="T1793" s="1" t="s">
        <v>29</v>
      </c>
      <c r="U1793" s="1" t="s">
        <v>30</v>
      </c>
      <c r="V1793" s="1">
        <v>0</v>
      </c>
    </row>
    <row r="1794" spans="2:22" x14ac:dyDescent="0.15">
      <c r="B1794" s="1" t="str">
        <f>"183****4280"</f>
        <v>183****4280</v>
      </c>
      <c r="C1794" s="1" t="s">
        <v>23</v>
      </c>
      <c r="D1794" s="1" t="str">
        <f t="shared" si="172"/>
        <v>89177328</v>
      </c>
      <c r="E1794" s="1" t="s">
        <v>24</v>
      </c>
      <c r="F1794" s="1" t="str">
        <f t="shared" si="173"/>
        <v>0010</v>
      </c>
      <c r="G1794" s="1" t="str">
        <f>""</f>
        <v/>
      </c>
      <c r="H1794" s="1" t="str">
        <f>"0018"</f>
        <v>0018</v>
      </c>
      <c r="I1794" s="1" t="s">
        <v>36</v>
      </c>
      <c r="J1794" s="1" t="str">
        <f>"01043989718"</f>
        <v>01043989718</v>
      </c>
      <c r="K1794" s="1" t="str">
        <f>"2017-03-28 12:29:51"</f>
        <v>2017-03-28 12:29:51</v>
      </c>
      <c r="L1794" s="1" t="str">
        <f>"-"</f>
        <v>-</v>
      </c>
      <c r="M1794" s="2">
        <v>0</v>
      </c>
      <c r="N1794" s="1" t="s">
        <v>33</v>
      </c>
      <c r="O1794" s="1" t="s">
        <v>34</v>
      </c>
      <c r="P1794" s="2">
        <v>1.1574074074074073E-5</v>
      </c>
      <c r="Q1794" s="1" t="str">
        <f>""</f>
        <v/>
      </c>
      <c r="R1794" s="1">
        <v>0</v>
      </c>
      <c r="S1794" s="1" t="str">
        <f>""</f>
        <v/>
      </c>
      <c r="T1794" s="1" t="s">
        <v>29</v>
      </c>
      <c r="U1794" s="1" t="s">
        <v>30</v>
      </c>
      <c r="V1794" s="1">
        <v>0</v>
      </c>
    </row>
    <row r="1795" spans="2:22" x14ac:dyDescent="0.15">
      <c r="B1795" s="1" t="str">
        <f>"188****7867"</f>
        <v>188****7867</v>
      </c>
      <c r="C1795" s="1" t="s">
        <v>23</v>
      </c>
      <c r="D1795" s="1" t="str">
        <f t="shared" si="172"/>
        <v>89177328</v>
      </c>
      <c r="E1795" s="1" t="s">
        <v>24</v>
      </c>
      <c r="F1795" s="1" t="str">
        <f t="shared" si="173"/>
        <v>0010</v>
      </c>
      <c r="G1795" s="1" t="str">
        <f>""</f>
        <v/>
      </c>
      <c r="H1795" s="1" t="str">
        <f>"0012"</f>
        <v>0012</v>
      </c>
      <c r="I1795" s="1" t="s">
        <v>612</v>
      </c>
      <c r="J1795" s="1" t="str">
        <f>"01043989720"</f>
        <v>01043989720</v>
      </c>
      <c r="K1795" s="1" t="str">
        <f>"2017-03-28 12:29:46"</f>
        <v>2017-03-28 12:29:46</v>
      </c>
      <c r="L1795" s="1" t="str">
        <f>"-"</f>
        <v>-</v>
      </c>
      <c r="M1795" s="2">
        <v>0</v>
      </c>
      <c r="N1795" s="1" t="s">
        <v>33</v>
      </c>
      <c r="O1795" s="1" t="s">
        <v>34</v>
      </c>
      <c r="P1795" s="2">
        <v>9.2592592592592588E-5</v>
      </c>
      <c r="Q1795" s="1" t="str">
        <f>""</f>
        <v/>
      </c>
      <c r="R1795" s="1">
        <v>0</v>
      </c>
      <c r="S1795" s="1" t="str">
        <f>""</f>
        <v/>
      </c>
      <c r="T1795" s="1" t="s">
        <v>29</v>
      </c>
      <c r="U1795" s="1" t="s">
        <v>30</v>
      </c>
      <c r="V1795" s="1">
        <v>0</v>
      </c>
    </row>
    <row r="1796" spans="2:22" x14ac:dyDescent="0.15">
      <c r="B1796" s="1" t="str">
        <f>"130****5656"</f>
        <v>130****5656</v>
      </c>
      <c r="C1796" s="1" t="s">
        <v>112</v>
      </c>
      <c r="D1796" s="1" t="str">
        <f t="shared" si="172"/>
        <v>89177328</v>
      </c>
      <c r="E1796" s="1" t="s">
        <v>24</v>
      </c>
      <c r="F1796" s="1" t="str">
        <f t="shared" si="173"/>
        <v>0010</v>
      </c>
      <c r="G1796" s="1" t="str">
        <f>""</f>
        <v/>
      </c>
      <c r="H1796" s="1" t="str">
        <f>"0012"</f>
        <v>0012</v>
      </c>
      <c r="I1796" s="1" t="s">
        <v>612</v>
      </c>
      <c r="J1796" s="1" t="str">
        <f>"01043989720"</f>
        <v>01043989720</v>
      </c>
      <c r="K1796" s="1" t="str">
        <f>"2017-03-28 12:29:14"</f>
        <v>2017-03-28 12:29:14</v>
      </c>
      <c r="L1796" s="1" t="str">
        <f>"-"</f>
        <v>-</v>
      </c>
      <c r="M1796" s="2">
        <v>0</v>
      </c>
      <c r="N1796" s="1" t="s">
        <v>33</v>
      </c>
      <c r="O1796" s="1" t="s">
        <v>34</v>
      </c>
      <c r="P1796" s="2">
        <v>4.6296296296296294E-5</v>
      </c>
      <c r="Q1796" s="1" t="str">
        <f>""</f>
        <v/>
      </c>
      <c r="R1796" s="1">
        <v>0</v>
      </c>
      <c r="S1796" s="1" t="str">
        <f>""</f>
        <v/>
      </c>
      <c r="T1796" s="1" t="s">
        <v>29</v>
      </c>
      <c r="U1796" s="1" t="s">
        <v>30</v>
      </c>
      <c r="V1796" s="1">
        <v>0</v>
      </c>
    </row>
    <row r="1797" spans="2:22" x14ac:dyDescent="0.15">
      <c r="B1797" s="1" t="str">
        <f>"183****4280"</f>
        <v>183****4280</v>
      </c>
      <c r="C1797" s="1" t="s">
        <v>23</v>
      </c>
      <c r="D1797" s="1" t="str">
        <f t="shared" ref="D1797:D1817" si="174">"89177328"</f>
        <v>89177328</v>
      </c>
      <c r="E1797" s="1" t="s">
        <v>24</v>
      </c>
      <c r="F1797" s="1" t="str">
        <f t="shared" ref="F1797:F1817" si="175">"0010"</f>
        <v>0010</v>
      </c>
      <c r="G1797" s="1" t="str">
        <f>""</f>
        <v/>
      </c>
      <c r="H1797" s="1" t="str">
        <f>"0034"</f>
        <v>0034</v>
      </c>
      <c r="I1797" s="1" t="s">
        <v>31</v>
      </c>
      <c r="J1797" s="1" t="str">
        <f>"01043977568"</f>
        <v>01043977568</v>
      </c>
      <c r="K1797" s="1" t="str">
        <f>"2017-03-28 12:26:24"</f>
        <v>2017-03-28 12:26:24</v>
      </c>
      <c r="L1797" s="1" t="str">
        <f>"-"</f>
        <v>-</v>
      </c>
      <c r="M1797" s="2">
        <v>0</v>
      </c>
      <c r="N1797" s="1" t="s">
        <v>33</v>
      </c>
      <c r="O1797" s="1" t="s">
        <v>34</v>
      </c>
      <c r="P1797" s="2">
        <v>4.6296296296296294E-5</v>
      </c>
      <c r="Q1797" s="1" t="str">
        <f>""</f>
        <v/>
      </c>
      <c r="R1797" s="1">
        <v>0</v>
      </c>
      <c r="S1797" s="1" t="str">
        <f>""</f>
        <v/>
      </c>
      <c r="T1797" s="1" t="s">
        <v>29</v>
      </c>
      <c r="U1797" s="1" t="s">
        <v>30</v>
      </c>
      <c r="V1797" s="1">
        <v>0</v>
      </c>
    </row>
    <row r="1798" spans="2:22" x14ac:dyDescent="0.15">
      <c r="B1798" s="1" t="str">
        <f>"130****5656"</f>
        <v>130****5656</v>
      </c>
      <c r="C1798" s="1" t="s">
        <v>112</v>
      </c>
      <c r="D1798" s="1" t="str">
        <f t="shared" si="174"/>
        <v>89177328</v>
      </c>
      <c r="E1798" s="1" t="s">
        <v>24</v>
      </c>
      <c r="F1798" s="1" t="str">
        <f t="shared" si="175"/>
        <v>0010</v>
      </c>
      <c r="G1798" s="1" t="str">
        <f>""</f>
        <v/>
      </c>
      <c r="H1798" s="1" t="str">
        <f>"0034"</f>
        <v>0034</v>
      </c>
      <c r="I1798" s="1" t="s">
        <v>31</v>
      </c>
      <c r="J1798" s="1" t="str">
        <f>"01043977568"</f>
        <v>01043977568</v>
      </c>
      <c r="K1798" s="1" t="str">
        <f>"2017-03-28 12:25:45"</f>
        <v>2017-03-28 12:25:45</v>
      </c>
      <c r="L1798" s="1" t="str">
        <f>"2017-03-28 12:25:55"</f>
        <v>2017-03-28 12:25:55</v>
      </c>
      <c r="M1798" s="2">
        <v>1.1574074074074073E-5</v>
      </c>
      <c r="N1798" s="1" t="s">
        <v>26</v>
      </c>
      <c r="O1798" s="1" t="s">
        <v>34</v>
      </c>
      <c r="P1798" s="2">
        <v>1.273148148148148E-4</v>
      </c>
      <c r="Q1798" s="1" t="str">
        <f>""</f>
        <v/>
      </c>
      <c r="R1798" s="1">
        <v>0</v>
      </c>
      <c r="S1798" s="1" t="str">
        <f>""</f>
        <v/>
      </c>
      <c r="T1798" s="1" t="s">
        <v>29</v>
      </c>
      <c r="U1798" s="1" t="s">
        <v>30</v>
      </c>
      <c r="V1798" s="1">
        <v>0</v>
      </c>
    </row>
    <row r="1799" spans="2:22" x14ac:dyDescent="0.15">
      <c r="B1799" s="1" t="str">
        <f>"188****7867"</f>
        <v>188****7867</v>
      </c>
      <c r="C1799" s="1" t="s">
        <v>23</v>
      </c>
      <c r="D1799" s="1" t="str">
        <f t="shared" si="174"/>
        <v>89177328</v>
      </c>
      <c r="E1799" s="1" t="s">
        <v>24</v>
      </c>
      <c r="F1799" s="1" t="str">
        <f t="shared" si="175"/>
        <v>0010</v>
      </c>
      <c r="G1799" s="1" t="str">
        <f>""</f>
        <v/>
      </c>
      <c r="H1799" s="1" t="str">
        <f t="shared" ref="H1799:H1806" si="176">"0012"</f>
        <v>0012</v>
      </c>
      <c r="I1799" s="1" t="s">
        <v>612</v>
      </c>
      <c r="J1799" s="1" t="str">
        <f t="shared" ref="J1799:J1806" si="177">"01043989720"</f>
        <v>01043989720</v>
      </c>
      <c r="K1799" s="1" t="str">
        <f>"2017-03-28 12:24:36"</f>
        <v>2017-03-28 12:24:36</v>
      </c>
      <c r="L1799" s="1" t="str">
        <f>"-"</f>
        <v>-</v>
      </c>
      <c r="M1799" s="2">
        <v>0</v>
      </c>
      <c r="N1799" s="1" t="s">
        <v>33</v>
      </c>
      <c r="O1799" s="1" t="s">
        <v>34</v>
      </c>
      <c r="P1799" s="2">
        <v>8.1018518518518516E-5</v>
      </c>
      <c r="Q1799" s="1" t="str">
        <f>""</f>
        <v/>
      </c>
      <c r="R1799" s="1">
        <v>0</v>
      </c>
      <c r="S1799" s="1" t="str">
        <f>""</f>
        <v/>
      </c>
      <c r="T1799" s="1" t="s">
        <v>29</v>
      </c>
      <c r="U1799" s="1" t="s">
        <v>30</v>
      </c>
      <c r="V1799" s="1">
        <v>0</v>
      </c>
    </row>
    <row r="1800" spans="2:22" x14ac:dyDescent="0.15">
      <c r="B1800" s="1" t="str">
        <f>"157****4678"</f>
        <v>157****4678</v>
      </c>
      <c r="C1800" s="1" t="s">
        <v>23</v>
      </c>
      <c r="D1800" s="1" t="str">
        <f t="shared" si="174"/>
        <v>89177328</v>
      </c>
      <c r="E1800" s="1" t="s">
        <v>24</v>
      </c>
      <c r="F1800" s="1" t="str">
        <f t="shared" si="175"/>
        <v>0010</v>
      </c>
      <c r="G1800" s="1" t="str">
        <f>""</f>
        <v/>
      </c>
      <c r="H1800" s="1" t="str">
        <f t="shared" si="176"/>
        <v>0012</v>
      </c>
      <c r="I1800" s="1" t="s">
        <v>612</v>
      </c>
      <c r="J1800" s="1" t="str">
        <f t="shared" si="177"/>
        <v>01043989720</v>
      </c>
      <c r="K1800" s="1" t="str">
        <f>"2017-03-28 12:24:28"</f>
        <v>2017-03-28 12:24:28</v>
      </c>
      <c r="L1800" s="1" t="str">
        <f>"-"</f>
        <v>-</v>
      </c>
      <c r="M1800" s="2">
        <v>0</v>
      </c>
      <c r="N1800" s="1" t="s">
        <v>33</v>
      </c>
      <c r="O1800" s="1" t="s">
        <v>34</v>
      </c>
      <c r="P1800" s="2">
        <v>8.1018518518518516E-5</v>
      </c>
      <c r="Q1800" s="1" t="str">
        <f>""</f>
        <v/>
      </c>
      <c r="R1800" s="1">
        <v>0</v>
      </c>
      <c r="S1800" s="1" t="str">
        <f>""</f>
        <v/>
      </c>
      <c r="T1800" s="1" t="s">
        <v>29</v>
      </c>
      <c r="U1800" s="1" t="s">
        <v>30</v>
      </c>
      <c r="V1800" s="1">
        <v>0</v>
      </c>
    </row>
    <row r="1801" spans="2:22" x14ac:dyDescent="0.15">
      <c r="B1801" s="1" t="str">
        <f>"130****5656"</f>
        <v>130****5656</v>
      </c>
      <c r="C1801" s="1" t="s">
        <v>112</v>
      </c>
      <c r="D1801" s="1" t="str">
        <f t="shared" si="174"/>
        <v>89177328</v>
      </c>
      <c r="E1801" s="1" t="s">
        <v>24</v>
      </c>
      <c r="F1801" s="1" t="str">
        <f t="shared" si="175"/>
        <v>0010</v>
      </c>
      <c r="G1801" s="1" t="str">
        <f>""</f>
        <v/>
      </c>
      <c r="H1801" s="1" t="str">
        <f t="shared" si="176"/>
        <v>0012</v>
      </c>
      <c r="I1801" s="1" t="s">
        <v>612</v>
      </c>
      <c r="J1801" s="1" t="str">
        <f t="shared" si="177"/>
        <v>01043989720</v>
      </c>
      <c r="K1801" s="1" t="str">
        <f>"2017-03-28 12:21:37"</f>
        <v>2017-03-28 12:21:37</v>
      </c>
      <c r="L1801" s="1" t="str">
        <f>"-"</f>
        <v>-</v>
      </c>
      <c r="M1801" s="2">
        <v>0</v>
      </c>
      <c r="N1801" s="1" t="s">
        <v>33</v>
      </c>
      <c r="O1801" s="1" t="s">
        <v>34</v>
      </c>
      <c r="P1801" s="2">
        <v>1.0416666666666667E-4</v>
      </c>
      <c r="Q1801" s="1" t="str">
        <f>""</f>
        <v/>
      </c>
      <c r="R1801" s="1">
        <v>0</v>
      </c>
      <c r="S1801" s="1" t="str">
        <f>""</f>
        <v/>
      </c>
      <c r="T1801" s="1" t="s">
        <v>29</v>
      </c>
      <c r="U1801" s="1" t="s">
        <v>30</v>
      </c>
      <c r="V1801" s="1">
        <v>0</v>
      </c>
    </row>
    <row r="1802" spans="2:22" x14ac:dyDescent="0.15">
      <c r="B1802" s="1" t="str">
        <f>"188****7867"</f>
        <v>188****7867</v>
      </c>
      <c r="C1802" s="1" t="s">
        <v>23</v>
      </c>
      <c r="D1802" s="1" t="str">
        <f t="shared" si="174"/>
        <v>89177328</v>
      </c>
      <c r="E1802" s="1" t="s">
        <v>24</v>
      </c>
      <c r="F1802" s="1" t="str">
        <f t="shared" si="175"/>
        <v>0010</v>
      </c>
      <c r="G1802" s="1" t="str">
        <f>""</f>
        <v/>
      </c>
      <c r="H1802" s="1" t="str">
        <f t="shared" si="176"/>
        <v>0012</v>
      </c>
      <c r="I1802" s="1" t="s">
        <v>612</v>
      </c>
      <c r="J1802" s="1" t="str">
        <f t="shared" si="177"/>
        <v>01043989720</v>
      </c>
      <c r="K1802" s="1" t="str">
        <f>"2017-03-28 12:21:29"</f>
        <v>2017-03-28 12:21:29</v>
      </c>
      <c r="L1802" s="1" t="str">
        <f>"-"</f>
        <v>-</v>
      </c>
      <c r="M1802" s="2">
        <v>0</v>
      </c>
      <c r="N1802" s="1" t="s">
        <v>33</v>
      </c>
      <c r="O1802" s="1" t="s">
        <v>34</v>
      </c>
      <c r="P1802" s="2">
        <v>8.1018518518518516E-5</v>
      </c>
      <c r="Q1802" s="1" t="str">
        <f>""</f>
        <v/>
      </c>
      <c r="R1802" s="1">
        <v>0</v>
      </c>
      <c r="S1802" s="1" t="str">
        <f>""</f>
        <v/>
      </c>
      <c r="T1802" s="1" t="s">
        <v>29</v>
      </c>
      <c r="U1802" s="1" t="s">
        <v>30</v>
      </c>
      <c r="V1802" s="1">
        <v>0</v>
      </c>
    </row>
    <row r="1803" spans="2:22" x14ac:dyDescent="0.15">
      <c r="B1803" s="1" t="str">
        <f>"157****4678"</f>
        <v>157****4678</v>
      </c>
      <c r="C1803" s="1" t="s">
        <v>23</v>
      </c>
      <c r="D1803" s="1" t="str">
        <f t="shared" si="174"/>
        <v>89177328</v>
      </c>
      <c r="E1803" s="1" t="s">
        <v>24</v>
      </c>
      <c r="F1803" s="1" t="str">
        <f t="shared" si="175"/>
        <v>0010</v>
      </c>
      <c r="G1803" s="1" t="str">
        <f>""</f>
        <v/>
      </c>
      <c r="H1803" s="1" t="str">
        <f t="shared" si="176"/>
        <v>0012</v>
      </c>
      <c r="I1803" s="1" t="s">
        <v>612</v>
      </c>
      <c r="J1803" s="1" t="str">
        <f t="shared" si="177"/>
        <v>01043989720</v>
      </c>
      <c r="K1803" s="1" t="str">
        <f>"2017-03-28 12:20:17"</f>
        <v>2017-03-28 12:20:17</v>
      </c>
      <c r="L1803" s="1" t="str">
        <f>"-"</f>
        <v>-</v>
      </c>
      <c r="M1803" s="2">
        <v>0</v>
      </c>
      <c r="N1803" s="1" t="s">
        <v>33</v>
      </c>
      <c r="O1803" s="1" t="s">
        <v>34</v>
      </c>
      <c r="P1803" s="2">
        <v>5.7870370370370366E-5</v>
      </c>
      <c r="Q1803" s="1" t="str">
        <f>""</f>
        <v/>
      </c>
      <c r="R1803" s="1">
        <v>0</v>
      </c>
      <c r="S1803" s="1" t="str">
        <f>""</f>
        <v/>
      </c>
      <c r="T1803" s="1" t="s">
        <v>29</v>
      </c>
      <c r="U1803" s="1" t="s">
        <v>30</v>
      </c>
      <c r="V1803" s="1">
        <v>0</v>
      </c>
    </row>
    <row r="1804" spans="2:22" x14ac:dyDescent="0.15">
      <c r="B1804" s="1" t="str">
        <f>"186****4006"</f>
        <v>186****4006</v>
      </c>
      <c r="C1804" s="1" t="s">
        <v>23</v>
      </c>
      <c r="D1804" s="1" t="str">
        <f t="shared" si="174"/>
        <v>89177328</v>
      </c>
      <c r="E1804" s="1" t="s">
        <v>24</v>
      </c>
      <c r="F1804" s="1" t="str">
        <f t="shared" si="175"/>
        <v>0010</v>
      </c>
      <c r="G1804" s="1" t="str">
        <f>""</f>
        <v/>
      </c>
      <c r="H1804" s="1" t="str">
        <f t="shared" si="176"/>
        <v>0012</v>
      </c>
      <c r="I1804" s="1" t="s">
        <v>612</v>
      </c>
      <c r="J1804" s="1" t="str">
        <f t="shared" si="177"/>
        <v>01043989720</v>
      </c>
      <c r="K1804" s="1" t="str">
        <f>"2017-03-28 12:18:05"</f>
        <v>2017-03-28 12:18:05</v>
      </c>
      <c r="L1804" s="1" t="str">
        <f>"2017-03-28 12:18:22"</f>
        <v>2017-03-28 12:18:22</v>
      </c>
      <c r="M1804" s="2">
        <v>1.1111111111111111E-3</v>
      </c>
      <c r="N1804" s="1" t="s">
        <v>26</v>
      </c>
      <c r="O1804" s="1" t="s">
        <v>27</v>
      </c>
      <c r="P1804" s="2">
        <v>1.3078703703703705E-3</v>
      </c>
      <c r="Q1804" s="1" t="s">
        <v>1326</v>
      </c>
      <c r="R1804" s="1">
        <v>0</v>
      </c>
      <c r="S1804" s="1" t="str">
        <f>""</f>
        <v/>
      </c>
      <c r="T1804" s="1" t="s">
        <v>29</v>
      </c>
      <c r="U1804" s="1" t="s">
        <v>30</v>
      </c>
      <c r="V1804" s="1">
        <v>0</v>
      </c>
    </row>
    <row r="1805" spans="2:22" x14ac:dyDescent="0.15">
      <c r="B1805" s="1" t="str">
        <f>"188****7867"</f>
        <v>188****7867</v>
      </c>
      <c r="C1805" s="1" t="s">
        <v>23</v>
      </c>
      <c r="D1805" s="1" t="str">
        <f t="shared" si="174"/>
        <v>89177328</v>
      </c>
      <c r="E1805" s="1" t="s">
        <v>24</v>
      </c>
      <c r="F1805" s="1" t="str">
        <f t="shared" si="175"/>
        <v>0010</v>
      </c>
      <c r="G1805" s="1" t="str">
        <f>""</f>
        <v/>
      </c>
      <c r="H1805" s="1" t="str">
        <f t="shared" si="176"/>
        <v>0012</v>
      </c>
      <c r="I1805" s="1" t="s">
        <v>612</v>
      </c>
      <c r="J1805" s="1" t="str">
        <f t="shared" si="177"/>
        <v>01043989720</v>
      </c>
      <c r="K1805" s="1" t="str">
        <f>"2017-03-28 12:17:31"</f>
        <v>2017-03-28 12:17:31</v>
      </c>
      <c r="L1805" s="1" t="str">
        <f>"-"</f>
        <v>-</v>
      </c>
      <c r="M1805" s="2">
        <v>0</v>
      </c>
      <c r="N1805" s="1" t="s">
        <v>33</v>
      </c>
      <c r="O1805" s="1" t="s">
        <v>34</v>
      </c>
      <c r="P1805" s="2">
        <v>5.7870370370370366E-5</v>
      </c>
      <c r="Q1805" s="1" t="str">
        <f>""</f>
        <v/>
      </c>
      <c r="R1805" s="1">
        <v>0</v>
      </c>
      <c r="S1805" s="1" t="str">
        <f>""</f>
        <v/>
      </c>
      <c r="T1805" s="1" t="s">
        <v>29</v>
      </c>
      <c r="U1805" s="1" t="s">
        <v>30</v>
      </c>
      <c r="V1805" s="1">
        <v>0</v>
      </c>
    </row>
    <row r="1806" spans="2:22" x14ac:dyDescent="0.15">
      <c r="B1806" s="1" t="str">
        <f>"157****4678"</f>
        <v>157****4678</v>
      </c>
      <c r="C1806" s="1" t="s">
        <v>23</v>
      </c>
      <c r="D1806" s="1" t="str">
        <f t="shared" si="174"/>
        <v>89177328</v>
      </c>
      <c r="E1806" s="1" t="s">
        <v>24</v>
      </c>
      <c r="F1806" s="1" t="str">
        <f t="shared" si="175"/>
        <v>0010</v>
      </c>
      <c r="G1806" s="1" t="str">
        <f>""</f>
        <v/>
      </c>
      <c r="H1806" s="1" t="str">
        <f t="shared" si="176"/>
        <v>0012</v>
      </c>
      <c r="I1806" s="1" t="s">
        <v>612</v>
      </c>
      <c r="J1806" s="1" t="str">
        <f t="shared" si="177"/>
        <v>01043989720</v>
      </c>
      <c r="K1806" s="1" t="str">
        <f>"2017-03-28 12:15:33"</f>
        <v>2017-03-28 12:15:33</v>
      </c>
      <c r="L1806" s="1" t="str">
        <f>"-"</f>
        <v>-</v>
      </c>
      <c r="M1806" s="2">
        <v>0</v>
      </c>
      <c r="N1806" s="1" t="s">
        <v>33</v>
      </c>
      <c r="O1806" s="1" t="s">
        <v>34</v>
      </c>
      <c r="P1806" s="2">
        <v>6.9444444444444444E-5</v>
      </c>
      <c r="Q1806" s="1" t="str">
        <f>""</f>
        <v/>
      </c>
      <c r="R1806" s="1">
        <v>0</v>
      </c>
      <c r="S1806" s="1" t="str">
        <f>""</f>
        <v/>
      </c>
      <c r="T1806" s="1" t="s">
        <v>29</v>
      </c>
      <c r="U1806" s="1" t="s">
        <v>30</v>
      </c>
      <c r="V1806" s="1">
        <v>0</v>
      </c>
    </row>
    <row r="1807" spans="2:22" x14ac:dyDescent="0.15">
      <c r="B1807" s="1" t="str">
        <f>"183****4280"</f>
        <v>183****4280</v>
      </c>
      <c r="C1807" s="1" t="s">
        <v>23</v>
      </c>
      <c r="D1807" s="1" t="str">
        <f t="shared" si="174"/>
        <v>89177328</v>
      </c>
      <c r="E1807" s="1" t="s">
        <v>24</v>
      </c>
      <c r="F1807" s="1" t="str">
        <f t="shared" si="175"/>
        <v>0010</v>
      </c>
      <c r="G1807" s="1" t="str">
        <f>""</f>
        <v/>
      </c>
      <c r="H1807" s="1" t="str">
        <f>"0018"</f>
        <v>0018</v>
      </c>
      <c r="I1807" s="1" t="s">
        <v>36</v>
      </c>
      <c r="J1807" s="1" t="str">
        <f>"01043989718"</f>
        <v>01043989718</v>
      </c>
      <c r="K1807" s="1" t="str">
        <f>"2017-03-28 12:14:42"</f>
        <v>2017-03-28 12:14:42</v>
      </c>
      <c r="L1807" s="1" t="str">
        <f>"-"</f>
        <v>-</v>
      </c>
      <c r="M1807" s="2">
        <v>0</v>
      </c>
      <c r="N1807" s="1" t="s">
        <v>33</v>
      </c>
      <c r="O1807" s="1" t="s">
        <v>34</v>
      </c>
      <c r="P1807" s="2">
        <v>6.9444444444444444E-5</v>
      </c>
      <c r="Q1807" s="1" t="str">
        <f>""</f>
        <v/>
      </c>
      <c r="R1807" s="1">
        <v>0</v>
      </c>
      <c r="S1807" s="1" t="str">
        <f>""</f>
        <v/>
      </c>
      <c r="T1807" s="1" t="s">
        <v>29</v>
      </c>
      <c r="U1807" s="1" t="s">
        <v>30</v>
      </c>
      <c r="V1807" s="1">
        <v>0</v>
      </c>
    </row>
    <row r="1808" spans="2:22" x14ac:dyDescent="0.15">
      <c r="B1808" s="1" t="str">
        <f>"186****0604"</f>
        <v>186****0604</v>
      </c>
      <c r="C1808" s="1" t="s">
        <v>23</v>
      </c>
      <c r="D1808" s="1" t="str">
        <f t="shared" si="174"/>
        <v>89177328</v>
      </c>
      <c r="E1808" s="1" t="s">
        <v>24</v>
      </c>
      <c r="F1808" s="1" t="str">
        <f t="shared" si="175"/>
        <v>0010</v>
      </c>
      <c r="G1808" s="1" t="str">
        <f>""</f>
        <v/>
      </c>
      <c r="H1808" s="1" t="str">
        <f>"0018"</f>
        <v>0018</v>
      </c>
      <c r="I1808" s="1" t="s">
        <v>36</v>
      </c>
      <c r="J1808" s="1" t="str">
        <f>"01043989718"</f>
        <v>01043989718</v>
      </c>
      <c r="K1808" s="1" t="str">
        <f>"2017-03-28 12:14:35"</f>
        <v>2017-03-28 12:14:35</v>
      </c>
      <c r="L1808" s="1" t="str">
        <f>"-"</f>
        <v>-</v>
      </c>
      <c r="M1808" s="2">
        <v>0</v>
      </c>
      <c r="N1808" s="1" t="s">
        <v>33</v>
      </c>
      <c r="O1808" s="1" t="s">
        <v>34</v>
      </c>
      <c r="P1808" s="2">
        <v>1.0416666666666667E-4</v>
      </c>
      <c r="Q1808" s="1" t="str">
        <f>""</f>
        <v/>
      </c>
      <c r="R1808" s="1">
        <v>0</v>
      </c>
      <c r="S1808" s="1" t="str">
        <f>""</f>
        <v/>
      </c>
      <c r="T1808" s="1" t="s">
        <v>29</v>
      </c>
      <c r="U1808" s="1" t="s">
        <v>30</v>
      </c>
      <c r="V1808" s="1">
        <v>0</v>
      </c>
    </row>
    <row r="1809" spans="2:22" x14ac:dyDescent="0.15">
      <c r="B1809" s="1" t="str">
        <f>"186****5667"</f>
        <v>186****5667</v>
      </c>
      <c r="C1809" s="1" t="s">
        <v>170</v>
      </c>
      <c r="D1809" s="1" t="str">
        <f t="shared" si="174"/>
        <v>89177328</v>
      </c>
      <c r="E1809" s="1" t="s">
        <v>24</v>
      </c>
      <c r="F1809" s="1" t="str">
        <f t="shared" si="175"/>
        <v>0010</v>
      </c>
      <c r="G1809" s="1" t="str">
        <f>""</f>
        <v/>
      </c>
      <c r="H1809" s="1" t="str">
        <f>"0034"</f>
        <v>0034</v>
      </c>
      <c r="I1809" s="1" t="s">
        <v>31</v>
      </c>
      <c r="J1809" s="1" t="str">
        <f>"01043977568"</f>
        <v>01043977568</v>
      </c>
      <c r="K1809" s="1" t="str">
        <f>"2017-03-28 12:14:13"</f>
        <v>2017-03-28 12:14:13</v>
      </c>
      <c r="L1809" s="1" t="str">
        <f>"2017-03-28 12:14:25"</f>
        <v>2017-03-28 12:14:25</v>
      </c>
      <c r="M1809" s="2">
        <v>7.0254629629629634E-3</v>
      </c>
      <c r="N1809" s="1" t="s">
        <v>26</v>
      </c>
      <c r="O1809" s="1" t="s">
        <v>27</v>
      </c>
      <c r="P1809" s="2">
        <v>7.1643518518518514E-3</v>
      </c>
      <c r="Q1809" s="1" t="s">
        <v>1327</v>
      </c>
      <c r="R1809" s="1">
        <v>0</v>
      </c>
      <c r="S1809" s="1" t="str">
        <f>""</f>
        <v/>
      </c>
      <c r="T1809" s="1" t="s">
        <v>29</v>
      </c>
      <c r="U1809" s="1" t="s">
        <v>30</v>
      </c>
      <c r="V1809" s="1">
        <v>0</v>
      </c>
    </row>
    <row r="1810" spans="2:22" x14ac:dyDescent="0.15">
      <c r="B1810" s="1" t="str">
        <f>"177****0206"</f>
        <v>177****0206</v>
      </c>
      <c r="C1810" s="1" t="s">
        <v>23</v>
      </c>
      <c r="D1810" s="1" t="str">
        <f t="shared" si="174"/>
        <v>89177328</v>
      </c>
      <c r="E1810" s="1" t="s">
        <v>24</v>
      </c>
      <c r="F1810" s="1" t="str">
        <f t="shared" si="175"/>
        <v>0010</v>
      </c>
      <c r="G1810" s="1" t="str">
        <f>""</f>
        <v/>
      </c>
      <c r="H1810" s="1" t="str">
        <f>"0034"</f>
        <v>0034</v>
      </c>
      <c r="I1810" s="1" t="s">
        <v>31</v>
      </c>
      <c r="J1810" s="1" t="str">
        <f>"01043977568"</f>
        <v>01043977568</v>
      </c>
      <c r="K1810" s="1" t="str">
        <f>"2017-03-28 12:14:03"</f>
        <v>2017-03-28 12:14:03</v>
      </c>
      <c r="L1810" s="1" t="str">
        <f>"-"</f>
        <v>-</v>
      </c>
      <c r="M1810" s="2">
        <v>0</v>
      </c>
      <c r="N1810" s="1" t="s">
        <v>33</v>
      </c>
      <c r="O1810" s="1" t="s">
        <v>34</v>
      </c>
      <c r="P1810" s="2">
        <v>6.9444444444444444E-5</v>
      </c>
      <c r="Q1810" s="1" t="str">
        <f>""</f>
        <v/>
      </c>
      <c r="R1810" s="1">
        <v>0</v>
      </c>
      <c r="S1810" s="1" t="str">
        <f>""</f>
        <v/>
      </c>
      <c r="T1810" s="1" t="s">
        <v>29</v>
      </c>
      <c r="U1810" s="1" t="s">
        <v>30</v>
      </c>
      <c r="V1810" s="1">
        <v>0</v>
      </c>
    </row>
    <row r="1811" spans="2:22" x14ac:dyDescent="0.15">
      <c r="B1811" s="1" t="str">
        <f>"130****5656"</f>
        <v>130****5656</v>
      </c>
      <c r="C1811" s="1" t="s">
        <v>112</v>
      </c>
      <c r="D1811" s="1" t="str">
        <f t="shared" si="174"/>
        <v>89177328</v>
      </c>
      <c r="E1811" s="1" t="s">
        <v>24</v>
      </c>
      <c r="F1811" s="1" t="str">
        <f t="shared" si="175"/>
        <v>0010</v>
      </c>
      <c r="G1811" s="1" t="str">
        <f>""</f>
        <v/>
      </c>
      <c r="H1811" s="1" t="str">
        <f>"0034"</f>
        <v>0034</v>
      </c>
      <c r="I1811" s="1" t="s">
        <v>31</v>
      </c>
      <c r="J1811" s="1" t="str">
        <f>"01043977568"</f>
        <v>01043977568</v>
      </c>
      <c r="K1811" s="1" t="str">
        <f>"2017-03-28 12:13:19"</f>
        <v>2017-03-28 12:13:19</v>
      </c>
      <c r="L1811" s="1" t="str">
        <f>"-"</f>
        <v>-</v>
      </c>
      <c r="M1811" s="2">
        <v>0</v>
      </c>
      <c r="N1811" s="1" t="s">
        <v>33</v>
      </c>
      <c r="O1811" s="1" t="s">
        <v>34</v>
      </c>
      <c r="P1811" s="2">
        <v>2.3148148148148147E-5</v>
      </c>
      <c r="Q1811" s="1" t="str">
        <f>""</f>
        <v/>
      </c>
      <c r="R1811" s="1">
        <v>0</v>
      </c>
      <c r="S1811" s="1" t="str">
        <f>""</f>
        <v/>
      </c>
      <c r="T1811" s="1" t="s">
        <v>29</v>
      </c>
      <c r="U1811" s="1" t="s">
        <v>30</v>
      </c>
      <c r="V1811" s="1">
        <v>0</v>
      </c>
    </row>
    <row r="1812" spans="2:22" x14ac:dyDescent="0.15">
      <c r="B1812" s="1" t="str">
        <f>"116114"</f>
        <v>116114</v>
      </c>
      <c r="C1812" s="1" t="s">
        <v>159</v>
      </c>
      <c r="D1812" s="1" t="str">
        <f t="shared" si="174"/>
        <v>89177328</v>
      </c>
      <c r="E1812" s="1" t="s">
        <v>24</v>
      </c>
      <c r="F1812" s="1" t="str">
        <f t="shared" si="175"/>
        <v>0010</v>
      </c>
      <c r="G1812" s="1" t="str">
        <f>""</f>
        <v/>
      </c>
      <c r="H1812" s="1" t="str">
        <f>"0034"</f>
        <v>0034</v>
      </c>
      <c r="I1812" s="1" t="s">
        <v>31</v>
      </c>
      <c r="J1812" s="1" t="str">
        <f>"01043977568"</f>
        <v>01043977568</v>
      </c>
      <c r="K1812" s="1" t="str">
        <f>"2017-03-28 12:13:06"</f>
        <v>2017-03-28 12:13:06</v>
      </c>
      <c r="L1812" s="1" t="str">
        <f>"-"</f>
        <v>-</v>
      </c>
      <c r="M1812" s="2">
        <v>0</v>
      </c>
      <c r="N1812" s="1" t="s">
        <v>33</v>
      </c>
      <c r="O1812" s="1" t="s">
        <v>34</v>
      </c>
      <c r="P1812" s="2">
        <v>6.9444444444444444E-5</v>
      </c>
      <c r="Q1812" s="1" t="str">
        <f>""</f>
        <v/>
      </c>
      <c r="R1812" s="1">
        <v>0</v>
      </c>
      <c r="S1812" s="1" t="str">
        <f>""</f>
        <v/>
      </c>
      <c r="T1812" s="1" t="s">
        <v>29</v>
      </c>
      <c r="U1812" s="1" t="s">
        <v>30</v>
      </c>
      <c r="V1812" s="1">
        <v>0</v>
      </c>
    </row>
    <row r="1813" spans="2:22" x14ac:dyDescent="0.15">
      <c r="B1813" s="1" t="str">
        <f>"130****5656"</f>
        <v>130****5656</v>
      </c>
      <c r="C1813" s="1" t="s">
        <v>112</v>
      </c>
      <c r="D1813" s="1" t="str">
        <f t="shared" si="174"/>
        <v>89177328</v>
      </c>
      <c r="E1813" s="1" t="s">
        <v>24</v>
      </c>
      <c r="F1813" s="1" t="str">
        <f t="shared" si="175"/>
        <v>0010</v>
      </c>
      <c r="G1813" s="1" t="str">
        <f>""</f>
        <v/>
      </c>
      <c r="H1813" s="1" t="str">
        <f>"0031"</f>
        <v>0031</v>
      </c>
      <c r="I1813" s="1" t="s">
        <v>95</v>
      </c>
      <c r="J1813" s="1" t="str">
        <f>"01043977565"</f>
        <v>01043977565</v>
      </c>
      <c r="K1813" s="1" t="str">
        <f>"2017-03-28 12:10:50"</f>
        <v>2017-03-28 12:10:50</v>
      </c>
      <c r="L1813" s="1" t="str">
        <f>"-"</f>
        <v>-</v>
      </c>
      <c r="M1813" s="2">
        <v>0</v>
      </c>
      <c r="N1813" s="1" t="s">
        <v>33</v>
      </c>
      <c r="O1813" s="1" t="s">
        <v>34</v>
      </c>
      <c r="P1813" s="2">
        <v>1.0416666666666667E-4</v>
      </c>
      <c r="Q1813" s="1" t="str">
        <f>""</f>
        <v/>
      </c>
      <c r="R1813" s="1">
        <v>0</v>
      </c>
      <c r="S1813" s="1" t="str">
        <f>""</f>
        <v/>
      </c>
      <c r="T1813" s="1" t="s">
        <v>29</v>
      </c>
      <c r="U1813" s="1" t="s">
        <v>30</v>
      </c>
      <c r="V1813" s="1">
        <v>0</v>
      </c>
    </row>
    <row r="1814" spans="2:22" x14ac:dyDescent="0.15">
      <c r="B1814" s="1" t="str">
        <f>"186****4006"</f>
        <v>186****4006</v>
      </c>
      <c r="C1814" s="1" t="s">
        <v>23</v>
      </c>
      <c r="D1814" s="1" t="str">
        <f t="shared" si="174"/>
        <v>89177328</v>
      </c>
      <c r="E1814" s="1" t="s">
        <v>24</v>
      </c>
      <c r="F1814" s="1" t="str">
        <f t="shared" si="175"/>
        <v>0010</v>
      </c>
      <c r="G1814" s="1" t="str">
        <f>""</f>
        <v/>
      </c>
      <c r="H1814" s="1" t="str">
        <f>"0033"</f>
        <v>0033</v>
      </c>
      <c r="I1814" s="1" t="s">
        <v>106</v>
      </c>
      <c r="J1814" s="1" t="str">
        <f>"01043977567"</f>
        <v>01043977567</v>
      </c>
      <c r="K1814" s="1" t="str">
        <f>"2017-03-28 12:02:01"</f>
        <v>2017-03-28 12:02:01</v>
      </c>
      <c r="L1814" s="1" t="str">
        <f>"2017-03-28 12:02:10"</f>
        <v>2017-03-28 12:02:10</v>
      </c>
      <c r="M1814" s="2">
        <v>3.4375E-3</v>
      </c>
      <c r="N1814" s="1" t="s">
        <v>26</v>
      </c>
      <c r="O1814" s="1" t="s">
        <v>27</v>
      </c>
      <c r="P1814" s="2">
        <v>3.5416666666666665E-3</v>
      </c>
      <c r="Q1814" s="1" t="s">
        <v>1328</v>
      </c>
      <c r="R1814" s="1">
        <v>0</v>
      </c>
      <c r="S1814" s="1" t="str">
        <f>""</f>
        <v/>
      </c>
      <c r="T1814" s="1" t="s">
        <v>29</v>
      </c>
      <c r="U1814" s="1" t="s">
        <v>30</v>
      </c>
      <c r="V1814" s="1">
        <v>0</v>
      </c>
    </row>
    <row r="1815" spans="2:22" x14ac:dyDescent="0.15">
      <c r="B1815" s="1" t="str">
        <f>"156****6905"</f>
        <v>156****6905</v>
      </c>
      <c r="C1815" s="1" t="s">
        <v>389</v>
      </c>
      <c r="D1815" s="1" t="str">
        <f t="shared" si="174"/>
        <v>89177328</v>
      </c>
      <c r="E1815" s="1" t="s">
        <v>24</v>
      </c>
      <c r="F1815" s="1" t="str">
        <f t="shared" si="175"/>
        <v>0010</v>
      </c>
      <c r="G1815" s="1" t="str">
        <f>""</f>
        <v/>
      </c>
      <c r="H1815" s="1" t="str">
        <f>"0017"</f>
        <v>0017</v>
      </c>
      <c r="I1815" s="1" t="s">
        <v>135</v>
      </c>
      <c r="J1815" s="1" t="str">
        <f>"01043989717"</f>
        <v>01043989717</v>
      </c>
      <c r="K1815" s="1" t="str">
        <f>"2017-03-28 12:01:10"</f>
        <v>2017-03-28 12:01:10</v>
      </c>
      <c r="L1815" s="1" t="str">
        <f>"2017-03-28 12:01:14"</f>
        <v>2017-03-28 12:01:14</v>
      </c>
      <c r="M1815" s="2">
        <v>2.6620370370370374E-3</v>
      </c>
      <c r="N1815" s="1" t="s">
        <v>26</v>
      </c>
      <c r="O1815" s="1" t="s">
        <v>27</v>
      </c>
      <c r="P1815" s="2">
        <v>2.7083333333333334E-3</v>
      </c>
      <c r="Q1815" s="1" t="s">
        <v>1329</v>
      </c>
      <c r="R1815" s="1">
        <v>0</v>
      </c>
      <c r="S1815" s="1" t="str">
        <f>""</f>
        <v/>
      </c>
      <c r="T1815" s="1" t="s">
        <v>29</v>
      </c>
      <c r="U1815" s="1" t="s">
        <v>30</v>
      </c>
      <c r="V1815" s="1">
        <v>0</v>
      </c>
    </row>
    <row r="1816" spans="2:22" x14ac:dyDescent="0.15">
      <c r="B1816" s="1" t="str">
        <f>"114"</f>
        <v>114</v>
      </c>
      <c r="C1816" s="1" t="s">
        <v>159</v>
      </c>
      <c r="D1816" s="1" t="str">
        <f t="shared" si="174"/>
        <v>89177328</v>
      </c>
      <c r="E1816" s="1" t="s">
        <v>24</v>
      </c>
      <c r="F1816" s="1" t="str">
        <f t="shared" si="175"/>
        <v>0010</v>
      </c>
      <c r="G1816" s="1" t="str">
        <f>""</f>
        <v/>
      </c>
      <c r="H1816" s="1" t="str">
        <f>"0035"</f>
        <v>0035</v>
      </c>
      <c r="I1816" s="1" t="s">
        <v>25</v>
      </c>
      <c r="J1816" s="1" t="str">
        <f>"01043977569"</f>
        <v>01043977569</v>
      </c>
      <c r="K1816" s="1" t="str">
        <f>"2017-03-28 11:59:49"</f>
        <v>2017-03-28 11:59:49</v>
      </c>
      <c r="L1816" s="1" t="str">
        <f>"2017-03-28 11:59:57"</f>
        <v>2017-03-28 11:59:57</v>
      </c>
      <c r="M1816" s="2">
        <v>2.6504629629629625E-3</v>
      </c>
      <c r="N1816" s="1" t="s">
        <v>26</v>
      </c>
      <c r="O1816" s="1" t="s">
        <v>27</v>
      </c>
      <c r="P1816" s="2">
        <v>2.7430555555555559E-3</v>
      </c>
      <c r="Q1816" s="1" t="s">
        <v>1330</v>
      </c>
      <c r="R1816" s="1">
        <v>0</v>
      </c>
      <c r="S1816" s="1" t="str">
        <f>""</f>
        <v/>
      </c>
      <c r="T1816" s="1" t="s">
        <v>29</v>
      </c>
      <c r="U1816" s="1" t="s">
        <v>30</v>
      </c>
      <c r="V1816" s="1">
        <v>0</v>
      </c>
    </row>
    <row r="1817" spans="2:22" x14ac:dyDescent="0.15">
      <c r="B1817" s="1" t="str">
        <f>"173****9267"</f>
        <v>173****9267</v>
      </c>
      <c r="C1817" s="1" t="s">
        <v>23</v>
      </c>
      <c r="D1817" s="1" t="str">
        <f t="shared" si="174"/>
        <v>89177328</v>
      </c>
      <c r="E1817" s="1" t="s">
        <v>24</v>
      </c>
      <c r="F1817" s="1" t="str">
        <f t="shared" si="175"/>
        <v>0010</v>
      </c>
      <c r="G1817" s="1" t="str">
        <f>""</f>
        <v/>
      </c>
      <c r="H1817" s="1" t="str">
        <f>"0031"</f>
        <v>0031</v>
      </c>
      <c r="I1817" s="1" t="s">
        <v>95</v>
      </c>
      <c r="J1817" s="1" t="str">
        <f>"01043977565"</f>
        <v>01043977565</v>
      </c>
      <c r="K1817" s="1" t="str">
        <f>"2017-03-28 11:59:17"</f>
        <v>2017-03-28 11:59:17</v>
      </c>
      <c r="L1817" s="1" t="str">
        <f>"2017-03-28 11:59:24"</f>
        <v>2017-03-28 11:59:24</v>
      </c>
      <c r="M1817" s="2">
        <v>6.4236111111111117E-3</v>
      </c>
      <c r="N1817" s="1" t="s">
        <v>26</v>
      </c>
      <c r="O1817" s="1" t="s">
        <v>27</v>
      </c>
      <c r="P1817" s="2">
        <v>6.5046296296296302E-3</v>
      </c>
      <c r="Q1817" s="1" t="s">
        <v>1331</v>
      </c>
      <c r="R1817" s="1">
        <v>0</v>
      </c>
      <c r="S1817" s="1" t="str">
        <f>""</f>
        <v/>
      </c>
      <c r="T1817" s="1" t="s">
        <v>29</v>
      </c>
      <c r="U1817" s="1" t="s">
        <v>30</v>
      </c>
      <c r="V1817" s="1">
        <v>0</v>
      </c>
    </row>
    <row r="1818" spans="2:22" x14ac:dyDescent="0.15">
      <c r="B1818" s="1" t="str">
        <f>"180****5841"</f>
        <v>180****5841</v>
      </c>
      <c r="C1818" s="1" t="s">
        <v>269</v>
      </c>
      <c r="D1818" s="1" t="str">
        <f>"4000108333"</f>
        <v>4000108333</v>
      </c>
      <c r="E1818" s="1" t="s">
        <v>53</v>
      </c>
      <c r="F1818" s="1" t="str">
        <f>""</f>
        <v/>
      </c>
      <c r="G1818" s="1" t="str">
        <f>""</f>
        <v/>
      </c>
      <c r="H1818" s="1" t="str">
        <f>""</f>
        <v/>
      </c>
      <c r="I1818" s="1" t="str">
        <f>""</f>
        <v/>
      </c>
      <c r="J1818" s="1" t="str">
        <f>""</f>
        <v/>
      </c>
      <c r="K1818" s="1" t="str">
        <f>"2017-03-28 11:58:19"</f>
        <v>2017-03-28 11:58:19</v>
      </c>
      <c r="L1818" s="1" t="str">
        <f>"-"</f>
        <v>-</v>
      </c>
      <c r="M1818" s="2">
        <v>0</v>
      </c>
      <c r="N1818" s="1" t="s">
        <v>55</v>
      </c>
      <c r="O1818" s="1" t="s">
        <v>34</v>
      </c>
      <c r="P1818" s="2">
        <v>1.3888888888888889E-4</v>
      </c>
      <c r="Q1818" s="1" t="str">
        <f>""</f>
        <v/>
      </c>
      <c r="R1818" s="1">
        <v>0.12</v>
      </c>
      <c r="S1818" s="1" t="str">
        <f>""</f>
        <v/>
      </c>
      <c r="T1818" s="1" t="s">
        <v>29</v>
      </c>
      <c r="U1818" s="1" t="s">
        <v>30</v>
      </c>
      <c r="V1818" s="1">
        <v>0</v>
      </c>
    </row>
    <row r="1819" spans="2:22" x14ac:dyDescent="0.15">
      <c r="B1819" s="1" t="str">
        <f>"135****8594"</f>
        <v>135****8594</v>
      </c>
      <c r="C1819" s="1" t="s">
        <v>35</v>
      </c>
      <c r="D1819" s="1" t="str">
        <f t="shared" ref="D1819:D1830" si="178">"89177328"</f>
        <v>89177328</v>
      </c>
      <c r="E1819" s="1" t="s">
        <v>24</v>
      </c>
      <c r="F1819" s="1" t="str">
        <f t="shared" ref="F1819:F1830" si="179">"0010"</f>
        <v>0010</v>
      </c>
      <c r="G1819" s="1" t="str">
        <f>""</f>
        <v/>
      </c>
      <c r="H1819" s="1" t="str">
        <f>"0017"</f>
        <v>0017</v>
      </c>
      <c r="I1819" s="1" t="s">
        <v>135</v>
      </c>
      <c r="J1819" s="1" t="str">
        <f>"01043989717"</f>
        <v>01043989717</v>
      </c>
      <c r="K1819" s="1" t="str">
        <f>"2017-03-28 11:50:40"</f>
        <v>2017-03-28 11:50:40</v>
      </c>
      <c r="L1819" s="1" t="str">
        <f>"2017-03-28 11:50:49"</f>
        <v>2017-03-28 11:50:49</v>
      </c>
      <c r="M1819" s="2">
        <v>5.8217592592592592E-3</v>
      </c>
      <c r="N1819" s="1" t="s">
        <v>26</v>
      </c>
      <c r="O1819" s="1" t="s">
        <v>27</v>
      </c>
      <c r="P1819" s="2">
        <v>5.9259259259259256E-3</v>
      </c>
      <c r="Q1819" s="1" t="s">
        <v>1332</v>
      </c>
      <c r="R1819" s="1">
        <v>0</v>
      </c>
      <c r="S1819" s="1" t="str">
        <f>""</f>
        <v/>
      </c>
      <c r="T1819" s="1" t="s">
        <v>29</v>
      </c>
      <c r="U1819" s="1" t="s">
        <v>30</v>
      </c>
      <c r="V1819" s="1">
        <v>0</v>
      </c>
    </row>
    <row r="1820" spans="2:22" x14ac:dyDescent="0.15">
      <c r="B1820" s="1" t="str">
        <f>"135****9818"</f>
        <v>135****9818</v>
      </c>
      <c r="C1820" s="1" t="s">
        <v>23</v>
      </c>
      <c r="D1820" s="1" t="str">
        <f t="shared" si="178"/>
        <v>89177328</v>
      </c>
      <c r="E1820" s="1" t="s">
        <v>24</v>
      </c>
      <c r="F1820" s="1" t="str">
        <f t="shared" si="179"/>
        <v>0010</v>
      </c>
      <c r="G1820" s="1" t="str">
        <f>""</f>
        <v/>
      </c>
      <c r="H1820" s="1" t="str">
        <f>"0033"</f>
        <v>0033</v>
      </c>
      <c r="I1820" s="1" t="s">
        <v>106</v>
      </c>
      <c r="J1820" s="1" t="str">
        <f>"01043977567"</f>
        <v>01043977567</v>
      </c>
      <c r="K1820" s="1" t="str">
        <f>"2017-03-28 11:44:39"</f>
        <v>2017-03-28 11:44:39</v>
      </c>
      <c r="L1820" s="1" t="str">
        <f>"2017-03-28 11:44:47"</f>
        <v>2017-03-28 11:44:47</v>
      </c>
      <c r="M1820" s="2">
        <v>3.1018518518518522E-3</v>
      </c>
      <c r="N1820" s="1" t="s">
        <v>26</v>
      </c>
      <c r="O1820" s="1" t="s">
        <v>27</v>
      </c>
      <c r="P1820" s="2">
        <v>3.1944444444444442E-3</v>
      </c>
      <c r="Q1820" s="1" t="s">
        <v>1333</v>
      </c>
      <c r="R1820" s="1">
        <v>0</v>
      </c>
      <c r="S1820" s="1" t="str">
        <f>""</f>
        <v/>
      </c>
      <c r="T1820" s="1" t="s">
        <v>29</v>
      </c>
      <c r="U1820" s="1" t="s">
        <v>30</v>
      </c>
      <c r="V1820" s="1">
        <v>0</v>
      </c>
    </row>
    <row r="1821" spans="2:22" x14ac:dyDescent="0.15">
      <c r="B1821" s="1" t="str">
        <f>"153****8872"</f>
        <v>153****8872</v>
      </c>
      <c r="C1821" s="1" t="s">
        <v>23</v>
      </c>
      <c r="D1821" s="1" t="str">
        <f t="shared" si="178"/>
        <v>89177328</v>
      </c>
      <c r="E1821" s="1" t="s">
        <v>24</v>
      </c>
      <c r="F1821" s="1" t="str">
        <f t="shared" si="179"/>
        <v>0010</v>
      </c>
      <c r="G1821" s="1" t="str">
        <f>""</f>
        <v/>
      </c>
      <c r="H1821" s="1" t="str">
        <f>"0034"</f>
        <v>0034</v>
      </c>
      <c r="I1821" s="1" t="s">
        <v>31</v>
      </c>
      <c r="J1821" s="1" t="str">
        <f>"01043977568"</f>
        <v>01043977568</v>
      </c>
      <c r="K1821" s="1" t="str">
        <f>"2017-03-28 11:37:41"</f>
        <v>2017-03-28 11:37:41</v>
      </c>
      <c r="L1821" s="1" t="str">
        <f>"2017-03-28 11:37:53"</f>
        <v>2017-03-28 11:37:53</v>
      </c>
      <c r="M1821" s="2">
        <v>5.8333333333333336E-3</v>
      </c>
      <c r="N1821" s="1" t="s">
        <v>26</v>
      </c>
      <c r="O1821" s="1" t="s">
        <v>34</v>
      </c>
      <c r="P1821" s="2">
        <v>5.9722222222222225E-3</v>
      </c>
      <c r="Q1821" s="1" t="s">
        <v>1334</v>
      </c>
      <c r="R1821" s="1">
        <v>0</v>
      </c>
      <c r="S1821" s="1" t="str">
        <f>""</f>
        <v/>
      </c>
      <c r="T1821" s="1" t="s">
        <v>29</v>
      </c>
      <c r="U1821" s="1" t="s">
        <v>30</v>
      </c>
      <c r="V1821" s="1">
        <v>0</v>
      </c>
    </row>
    <row r="1822" spans="2:22" x14ac:dyDescent="0.15">
      <c r="B1822" s="1" t="str">
        <f>"136****3578"</f>
        <v>136****3578</v>
      </c>
      <c r="C1822" s="1" t="s">
        <v>23</v>
      </c>
      <c r="D1822" s="1" t="str">
        <f t="shared" si="178"/>
        <v>89177328</v>
      </c>
      <c r="E1822" s="1" t="s">
        <v>24</v>
      </c>
      <c r="F1822" s="1" t="str">
        <f t="shared" si="179"/>
        <v>0010</v>
      </c>
      <c r="G1822" s="1" t="str">
        <f>""</f>
        <v/>
      </c>
      <c r="H1822" s="1" t="str">
        <f>"0034"</f>
        <v>0034</v>
      </c>
      <c r="I1822" s="1" t="s">
        <v>31</v>
      </c>
      <c r="J1822" s="1" t="str">
        <f>"01043977568"</f>
        <v>01043977568</v>
      </c>
      <c r="K1822" s="1" t="str">
        <f>"2017-03-28 10:55:39"</f>
        <v>2017-03-28 10:55:39</v>
      </c>
      <c r="L1822" s="1" t="str">
        <f>"2017-03-28 10:55:49"</f>
        <v>2017-03-28 10:55:49</v>
      </c>
      <c r="M1822" s="2">
        <v>1.045138888888889E-2</v>
      </c>
      <c r="N1822" s="1" t="s">
        <v>26</v>
      </c>
      <c r="O1822" s="1" t="s">
        <v>27</v>
      </c>
      <c r="P1822" s="2">
        <v>1.0567129629629629E-2</v>
      </c>
      <c r="Q1822" s="1" t="s">
        <v>1335</v>
      </c>
      <c r="R1822" s="1">
        <v>0</v>
      </c>
      <c r="S1822" s="1" t="str">
        <f>""</f>
        <v/>
      </c>
      <c r="T1822" s="1" t="s">
        <v>29</v>
      </c>
      <c r="U1822" s="1" t="s">
        <v>30</v>
      </c>
      <c r="V1822" s="1">
        <v>0</v>
      </c>
    </row>
    <row r="1823" spans="2:22" x14ac:dyDescent="0.15">
      <c r="B1823" s="1" t="str">
        <f>"188****1538"</f>
        <v>188****1538</v>
      </c>
      <c r="C1823" s="1" t="s">
        <v>1336</v>
      </c>
      <c r="D1823" s="1" t="str">
        <f t="shared" si="178"/>
        <v>89177328</v>
      </c>
      <c r="E1823" s="1" t="s">
        <v>24</v>
      </c>
      <c r="F1823" s="1" t="str">
        <f t="shared" si="179"/>
        <v>0010</v>
      </c>
      <c r="G1823" s="1" t="str">
        <f>""</f>
        <v/>
      </c>
      <c r="H1823" s="1" t="str">
        <f>"0031"</f>
        <v>0031</v>
      </c>
      <c r="I1823" s="1" t="s">
        <v>95</v>
      </c>
      <c r="J1823" s="1" t="str">
        <f>"01043977565"</f>
        <v>01043977565</v>
      </c>
      <c r="K1823" s="1" t="str">
        <f>"2017-03-28 10:44:49"</f>
        <v>2017-03-28 10:44:49</v>
      </c>
      <c r="L1823" s="1" t="str">
        <f>"2017-03-28 10:44:59"</f>
        <v>2017-03-28 10:44:59</v>
      </c>
      <c r="M1823" s="2">
        <v>2.8240740740740739E-3</v>
      </c>
      <c r="N1823" s="1" t="s">
        <v>26</v>
      </c>
      <c r="O1823" s="1" t="s">
        <v>27</v>
      </c>
      <c r="P1823" s="2">
        <v>2.9398148148148148E-3</v>
      </c>
      <c r="Q1823" s="1" t="s">
        <v>1337</v>
      </c>
      <c r="R1823" s="1">
        <v>0</v>
      </c>
      <c r="S1823" s="1" t="str">
        <f>""</f>
        <v/>
      </c>
      <c r="T1823" s="1" t="s">
        <v>29</v>
      </c>
      <c r="U1823" s="1" t="s">
        <v>30</v>
      </c>
      <c r="V1823" s="1">
        <v>0</v>
      </c>
    </row>
    <row r="1824" spans="2:22" x14ac:dyDescent="0.15">
      <c r="B1824" s="1" t="str">
        <f>"158****6377"</f>
        <v>158****6377</v>
      </c>
      <c r="C1824" s="1" t="s">
        <v>1338</v>
      </c>
      <c r="D1824" s="1" t="str">
        <f t="shared" si="178"/>
        <v>89177328</v>
      </c>
      <c r="E1824" s="1" t="s">
        <v>24</v>
      </c>
      <c r="F1824" s="1" t="str">
        <f t="shared" si="179"/>
        <v>0010</v>
      </c>
      <c r="G1824" s="1" t="str">
        <f>""</f>
        <v/>
      </c>
      <c r="H1824" s="1" t="str">
        <f>"0012"</f>
        <v>0012</v>
      </c>
      <c r="I1824" s="1" t="s">
        <v>612</v>
      </c>
      <c r="J1824" s="1" t="str">
        <f>"01043989720"</f>
        <v>01043989720</v>
      </c>
      <c r="K1824" s="1" t="str">
        <f>"2017-03-28 10:38:29"</f>
        <v>2017-03-28 10:38:29</v>
      </c>
      <c r="L1824" s="1" t="str">
        <f>"2017-03-28 10:38:41"</f>
        <v>2017-03-28 10:38:41</v>
      </c>
      <c r="M1824" s="2">
        <v>4.9305555555555552E-3</v>
      </c>
      <c r="N1824" s="1" t="s">
        <v>26</v>
      </c>
      <c r="O1824" s="1" t="s">
        <v>27</v>
      </c>
      <c r="P1824" s="2">
        <v>5.0694444444444441E-3</v>
      </c>
      <c r="Q1824" s="1" t="s">
        <v>1339</v>
      </c>
      <c r="R1824" s="1">
        <v>0</v>
      </c>
      <c r="S1824" s="1" t="str">
        <f>""</f>
        <v/>
      </c>
      <c r="T1824" s="1" t="s">
        <v>29</v>
      </c>
      <c r="U1824" s="1" t="s">
        <v>30</v>
      </c>
      <c r="V1824" s="1">
        <v>0</v>
      </c>
    </row>
    <row r="1825" spans="2:22" x14ac:dyDescent="0.15">
      <c r="B1825" s="1" t="str">
        <f>"135****8693"</f>
        <v>135****8693</v>
      </c>
      <c r="C1825" s="1" t="s">
        <v>23</v>
      </c>
      <c r="D1825" s="1" t="str">
        <f t="shared" si="178"/>
        <v>89177328</v>
      </c>
      <c r="E1825" s="1" t="s">
        <v>24</v>
      </c>
      <c r="F1825" s="1" t="str">
        <f t="shared" si="179"/>
        <v>0010</v>
      </c>
      <c r="G1825" s="1" t="str">
        <f>""</f>
        <v/>
      </c>
      <c r="H1825" s="1" t="str">
        <f>"0034"</f>
        <v>0034</v>
      </c>
      <c r="I1825" s="1" t="s">
        <v>31</v>
      </c>
      <c r="J1825" s="1" t="str">
        <f>"01043977568"</f>
        <v>01043977568</v>
      </c>
      <c r="K1825" s="1" t="str">
        <f>"2017-03-28 10:34:58"</f>
        <v>2017-03-28 10:34:58</v>
      </c>
      <c r="L1825" s="1" t="str">
        <f>"2017-03-28 10:35:05"</f>
        <v>2017-03-28 10:35:05</v>
      </c>
      <c r="M1825" s="2">
        <v>9.0393518518518522E-3</v>
      </c>
      <c r="N1825" s="1" t="s">
        <v>26</v>
      </c>
      <c r="O1825" s="1" t="s">
        <v>27</v>
      </c>
      <c r="P1825" s="2">
        <v>9.1203703703703707E-3</v>
      </c>
      <c r="Q1825" s="1" t="s">
        <v>1340</v>
      </c>
      <c r="R1825" s="1">
        <v>0</v>
      </c>
      <c r="S1825" s="1" t="str">
        <f>""</f>
        <v/>
      </c>
      <c r="T1825" s="1" t="s">
        <v>29</v>
      </c>
      <c r="U1825" s="1" t="s">
        <v>30</v>
      </c>
      <c r="V1825" s="1">
        <v>0</v>
      </c>
    </row>
    <row r="1826" spans="2:22" x14ac:dyDescent="0.15">
      <c r="B1826" s="1" t="str">
        <f>"133****7710"</f>
        <v>133****7710</v>
      </c>
      <c r="C1826" s="1" t="s">
        <v>23</v>
      </c>
      <c r="D1826" s="1" t="str">
        <f t="shared" si="178"/>
        <v>89177328</v>
      </c>
      <c r="E1826" s="1" t="s">
        <v>24</v>
      </c>
      <c r="F1826" s="1" t="str">
        <f t="shared" si="179"/>
        <v>0010</v>
      </c>
      <c r="G1826" s="1" t="str">
        <f>""</f>
        <v/>
      </c>
      <c r="H1826" s="1" t="str">
        <f>"0012"</f>
        <v>0012</v>
      </c>
      <c r="I1826" s="1" t="s">
        <v>612</v>
      </c>
      <c r="J1826" s="1" t="str">
        <f>"01043989720"</f>
        <v>01043989720</v>
      </c>
      <c r="K1826" s="1" t="str">
        <f>"2017-03-28 10:29:40"</f>
        <v>2017-03-28 10:29:40</v>
      </c>
      <c r="L1826" s="1" t="str">
        <f>"2017-03-28 10:29:54"</f>
        <v>2017-03-28 10:29:54</v>
      </c>
      <c r="M1826" s="2">
        <v>4.5486111111111109E-3</v>
      </c>
      <c r="N1826" s="1" t="s">
        <v>26</v>
      </c>
      <c r="O1826" s="1" t="s">
        <v>27</v>
      </c>
      <c r="P1826" s="2">
        <v>4.7106481481481478E-3</v>
      </c>
      <c r="Q1826" s="1" t="s">
        <v>1341</v>
      </c>
      <c r="R1826" s="1">
        <v>0</v>
      </c>
      <c r="S1826" s="1" t="str">
        <f>""</f>
        <v/>
      </c>
      <c r="T1826" s="1" t="s">
        <v>29</v>
      </c>
      <c r="U1826" s="1" t="s">
        <v>30</v>
      </c>
      <c r="V1826" s="1">
        <v>0</v>
      </c>
    </row>
    <row r="1827" spans="2:22" x14ac:dyDescent="0.15">
      <c r="B1827" s="1" t="str">
        <f>"135****7699"</f>
        <v>135****7699</v>
      </c>
      <c r="C1827" s="1" t="s">
        <v>23</v>
      </c>
      <c r="D1827" s="1" t="str">
        <f t="shared" si="178"/>
        <v>89177328</v>
      </c>
      <c r="E1827" s="1" t="s">
        <v>24</v>
      </c>
      <c r="F1827" s="1" t="str">
        <f t="shared" si="179"/>
        <v>0010</v>
      </c>
      <c r="G1827" s="1" t="str">
        <f>""</f>
        <v/>
      </c>
      <c r="H1827" s="1" t="str">
        <f>"0033"</f>
        <v>0033</v>
      </c>
      <c r="I1827" s="1" t="s">
        <v>106</v>
      </c>
      <c r="J1827" s="1" t="str">
        <f>"01043977567"</f>
        <v>01043977567</v>
      </c>
      <c r="K1827" s="1" t="str">
        <f>"2017-03-28 10:28:55"</f>
        <v>2017-03-28 10:28:55</v>
      </c>
      <c r="L1827" s="1" t="str">
        <f>"2017-03-28 10:29:05"</f>
        <v>2017-03-28 10:29:05</v>
      </c>
      <c r="M1827" s="2">
        <v>4.2824074074074075E-3</v>
      </c>
      <c r="N1827" s="1" t="s">
        <v>26</v>
      </c>
      <c r="O1827" s="1" t="s">
        <v>27</v>
      </c>
      <c r="P1827" s="2">
        <v>4.3981481481481484E-3</v>
      </c>
      <c r="Q1827" s="1" t="s">
        <v>1342</v>
      </c>
      <c r="R1827" s="1">
        <v>0</v>
      </c>
      <c r="S1827" s="1" t="str">
        <f>""</f>
        <v/>
      </c>
      <c r="T1827" s="1" t="s">
        <v>29</v>
      </c>
      <c r="U1827" s="1" t="s">
        <v>30</v>
      </c>
      <c r="V1827" s="1">
        <v>0</v>
      </c>
    </row>
    <row r="1828" spans="2:22" x14ac:dyDescent="0.15">
      <c r="B1828" s="1" t="str">
        <f>"010****1993"</f>
        <v>010****1993</v>
      </c>
      <c r="C1828" s="1" t="s">
        <v>23</v>
      </c>
      <c r="D1828" s="1" t="str">
        <f t="shared" si="178"/>
        <v>89177328</v>
      </c>
      <c r="E1828" s="1" t="s">
        <v>24</v>
      </c>
      <c r="F1828" s="1" t="str">
        <f t="shared" si="179"/>
        <v>0010</v>
      </c>
      <c r="G1828" s="1" t="str">
        <f>""</f>
        <v/>
      </c>
      <c r="H1828" s="1" t="str">
        <f>"0012"</f>
        <v>0012</v>
      </c>
      <c r="I1828" s="1" t="s">
        <v>612</v>
      </c>
      <c r="J1828" s="1" t="str">
        <f>"01043989720"</f>
        <v>01043989720</v>
      </c>
      <c r="K1828" s="1" t="str">
        <f>"2017-03-28 10:13:44"</f>
        <v>2017-03-28 10:13:44</v>
      </c>
      <c r="L1828" s="1" t="str">
        <f>"2017-03-28 10:13:59"</f>
        <v>2017-03-28 10:13:59</v>
      </c>
      <c r="M1828" s="2">
        <v>3.8773148148148143E-3</v>
      </c>
      <c r="N1828" s="1" t="s">
        <v>26</v>
      </c>
      <c r="O1828" s="1" t="s">
        <v>27</v>
      </c>
      <c r="P1828" s="2">
        <v>4.0509259259259257E-3</v>
      </c>
      <c r="Q1828" s="1" t="s">
        <v>1343</v>
      </c>
      <c r="R1828" s="1">
        <v>0</v>
      </c>
      <c r="S1828" s="1" t="str">
        <f>""</f>
        <v/>
      </c>
      <c r="T1828" s="1" t="s">
        <v>29</v>
      </c>
      <c r="U1828" s="1" t="s">
        <v>30</v>
      </c>
      <c r="V1828" s="1">
        <v>0</v>
      </c>
    </row>
    <row r="1829" spans="2:22" x14ac:dyDescent="0.15">
      <c r="B1829" s="1" t="str">
        <f>"136****7696"</f>
        <v>136****7696</v>
      </c>
      <c r="C1829" s="1" t="s">
        <v>23</v>
      </c>
      <c r="D1829" s="1" t="str">
        <f t="shared" si="178"/>
        <v>89177328</v>
      </c>
      <c r="E1829" s="1" t="s">
        <v>24</v>
      </c>
      <c r="F1829" s="1" t="str">
        <f t="shared" si="179"/>
        <v>0010</v>
      </c>
      <c r="G1829" s="1" t="str">
        <f>""</f>
        <v/>
      </c>
      <c r="H1829" s="1" t="str">
        <f>"0033"</f>
        <v>0033</v>
      </c>
      <c r="I1829" s="1" t="s">
        <v>106</v>
      </c>
      <c r="J1829" s="1" t="str">
        <f>"01043977567"</f>
        <v>01043977567</v>
      </c>
      <c r="K1829" s="1" t="str">
        <f>"2017-03-28 09:59:32"</f>
        <v>2017-03-28 09:59:32</v>
      </c>
      <c r="L1829" s="1" t="str">
        <f>"2017-03-28 09:59:41"</f>
        <v>2017-03-28 09:59:41</v>
      </c>
      <c r="M1829" s="2">
        <v>0</v>
      </c>
      <c r="N1829" s="1" t="s">
        <v>26</v>
      </c>
      <c r="O1829" s="1" t="s">
        <v>27</v>
      </c>
      <c r="P1829" s="2">
        <v>1.0416666666666667E-4</v>
      </c>
      <c r="Q1829" s="1" t="str">
        <f>""</f>
        <v/>
      </c>
      <c r="R1829" s="1">
        <v>0</v>
      </c>
      <c r="S1829" s="1" t="str">
        <f>""</f>
        <v/>
      </c>
      <c r="T1829" s="1" t="s">
        <v>29</v>
      </c>
      <c r="U1829" s="1" t="s">
        <v>30</v>
      </c>
      <c r="V1829" s="1">
        <v>0</v>
      </c>
    </row>
    <row r="1830" spans="2:22" x14ac:dyDescent="0.15">
      <c r="B1830" s="1" t="str">
        <f>"186****5578"</f>
        <v>186****5578</v>
      </c>
      <c r="C1830" s="1" t="s">
        <v>23</v>
      </c>
      <c r="D1830" s="1" t="str">
        <f t="shared" si="178"/>
        <v>89177328</v>
      </c>
      <c r="E1830" s="1" t="s">
        <v>24</v>
      </c>
      <c r="F1830" s="1" t="str">
        <f t="shared" si="179"/>
        <v>0010</v>
      </c>
      <c r="G1830" s="1" t="str">
        <f>""</f>
        <v/>
      </c>
      <c r="H1830" s="1" t="str">
        <f>"0034"</f>
        <v>0034</v>
      </c>
      <c r="I1830" s="1" t="s">
        <v>31</v>
      </c>
      <c r="J1830" s="1" t="str">
        <f>"01043977568"</f>
        <v>01043977568</v>
      </c>
      <c r="K1830" s="1" t="str">
        <f>"2017-03-28 09:56:46"</f>
        <v>2017-03-28 09:56:46</v>
      </c>
      <c r="L1830" s="1" t="str">
        <f>"2017-03-28 09:56:56"</f>
        <v>2017-03-28 09:56:56</v>
      </c>
      <c r="M1830" s="2">
        <v>4.5138888888888893E-3</v>
      </c>
      <c r="N1830" s="1" t="s">
        <v>26</v>
      </c>
      <c r="O1830" s="1" t="s">
        <v>34</v>
      </c>
      <c r="P1830" s="2">
        <v>4.6296296296296302E-3</v>
      </c>
      <c r="Q1830" s="1" t="s">
        <v>1344</v>
      </c>
      <c r="R1830" s="1">
        <v>0</v>
      </c>
      <c r="S1830" s="1" t="str">
        <f>""</f>
        <v/>
      </c>
      <c r="T1830" s="1" t="s">
        <v>29</v>
      </c>
      <c r="U1830" s="1" t="s">
        <v>30</v>
      </c>
      <c r="V1830" s="1">
        <v>0</v>
      </c>
    </row>
    <row r="1831" spans="2:22" x14ac:dyDescent="0.15">
      <c r="B1831" s="1" t="str">
        <f>"133****9798"</f>
        <v>133****9798</v>
      </c>
      <c r="C1831" s="1" t="s">
        <v>1283</v>
      </c>
      <c r="D1831" s="1" t="str">
        <f>"4000108333"</f>
        <v>4000108333</v>
      </c>
      <c r="E1831" s="1" t="s">
        <v>53</v>
      </c>
      <c r="F1831" s="1" t="str">
        <f>"0000"</f>
        <v>0000</v>
      </c>
      <c r="G1831" s="1" t="str">
        <f>""</f>
        <v/>
      </c>
      <c r="H1831" s="1" t="str">
        <f>"1010"</f>
        <v>1010</v>
      </c>
      <c r="I1831" s="1" t="s">
        <v>148</v>
      </c>
      <c r="J1831" s="1" t="str">
        <f>"13718091869"</f>
        <v>13718091869</v>
      </c>
      <c r="K1831" s="1" t="str">
        <f>"2017-03-28 09:52:53"</f>
        <v>2017-03-28 09:52:53</v>
      </c>
      <c r="L1831" s="1" t="str">
        <f>"2017-03-28 09:53:17"</f>
        <v>2017-03-28 09:53:17</v>
      </c>
      <c r="M1831" s="2">
        <v>2.5011574074074075E-2</v>
      </c>
      <c r="N1831" s="1" t="s">
        <v>26</v>
      </c>
      <c r="O1831" s="1" t="s">
        <v>27</v>
      </c>
      <c r="P1831" s="2">
        <v>2.5289351851851851E-2</v>
      </c>
      <c r="Q1831" s="1" t="s">
        <v>1345</v>
      </c>
      <c r="R1831" s="1">
        <v>4.4400000000000004</v>
      </c>
      <c r="S1831" s="1" t="str">
        <f>""</f>
        <v/>
      </c>
      <c r="T1831" s="1" t="s">
        <v>29</v>
      </c>
      <c r="U1831" s="1" t="s">
        <v>30</v>
      </c>
      <c r="V1831" s="1">
        <v>0</v>
      </c>
    </row>
    <row r="1832" spans="2:22" x14ac:dyDescent="0.15">
      <c r="B1832" s="1" t="str">
        <f>"186****0907"</f>
        <v>186****0907</v>
      </c>
      <c r="C1832" s="1" t="s">
        <v>23</v>
      </c>
      <c r="D1832" s="1" t="str">
        <f>"89177328"</f>
        <v>89177328</v>
      </c>
      <c r="E1832" s="1" t="s">
        <v>24</v>
      </c>
      <c r="F1832" s="1" t="str">
        <f>"0010"</f>
        <v>0010</v>
      </c>
      <c r="G1832" s="1" t="str">
        <f>""</f>
        <v/>
      </c>
      <c r="H1832" s="1" t="str">
        <f>"0033"</f>
        <v>0033</v>
      </c>
      <c r="I1832" s="1" t="s">
        <v>106</v>
      </c>
      <c r="J1832" s="1" t="str">
        <f>"01043977567"</f>
        <v>01043977567</v>
      </c>
      <c r="K1832" s="1" t="str">
        <f>"2017-03-28 09:49:03"</f>
        <v>2017-03-28 09:49:03</v>
      </c>
      <c r="L1832" s="1" t="str">
        <f>"2017-03-28 09:49:13"</f>
        <v>2017-03-28 09:49:13</v>
      </c>
      <c r="M1832" s="2">
        <v>1.7013888888888892E-3</v>
      </c>
      <c r="N1832" s="1" t="s">
        <v>26</v>
      </c>
      <c r="O1832" s="1" t="s">
        <v>27</v>
      </c>
      <c r="P1832" s="2">
        <v>1.8171296296296297E-3</v>
      </c>
      <c r="Q1832" s="1" t="s">
        <v>1346</v>
      </c>
      <c r="R1832" s="1">
        <v>0</v>
      </c>
      <c r="S1832" s="1" t="str">
        <f>""</f>
        <v/>
      </c>
      <c r="T1832" s="1" t="s">
        <v>29</v>
      </c>
      <c r="U1832" s="1" t="s">
        <v>30</v>
      </c>
      <c r="V1832" s="1">
        <v>0</v>
      </c>
    </row>
    <row r="1833" spans="2:22" x14ac:dyDescent="0.15">
      <c r="B1833" s="1" t="str">
        <f>"150****0832"</f>
        <v>150****0832</v>
      </c>
      <c r="C1833" s="1" t="s">
        <v>23</v>
      </c>
      <c r="D1833" s="1" t="str">
        <f>"89177328"</f>
        <v>89177328</v>
      </c>
      <c r="E1833" s="1" t="s">
        <v>24</v>
      </c>
      <c r="F1833" s="1" t="str">
        <f>"0010"</f>
        <v>0010</v>
      </c>
      <c r="G1833" s="1" t="str">
        <f>""</f>
        <v/>
      </c>
      <c r="H1833" s="1" t="str">
        <f>"0017"</f>
        <v>0017</v>
      </c>
      <c r="I1833" s="1" t="s">
        <v>135</v>
      </c>
      <c r="J1833" s="1" t="str">
        <f>"01043989717"</f>
        <v>01043989717</v>
      </c>
      <c r="K1833" s="1" t="str">
        <f>"2017-03-28 09:46:55"</f>
        <v>2017-03-28 09:46:55</v>
      </c>
      <c r="L1833" s="1" t="str">
        <f>"2017-03-28 09:47:04"</f>
        <v>2017-03-28 09:47:04</v>
      </c>
      <c r="M1833" s="2">
        <v>5.4398148148148144E-4</v>
      </c>
      <c r="N1833" s="1" t="s">
        <v>26</v>
      </c>
      <c r="O1833" s="1" t="s">
        <v>27</v>
      </c>
      <c r="P1833" s="2">
        <v>6.4814814814814813E-4</v>
      </c>
      <c r="Q1833" s="1" t="s">
        <v>1347</v>
      </c>
      <c r="R1833" s="1">
        <v>0</v>
      </c>
      <c r="S1833" s="1" t="str">
        <f>""</f>
        <v/>
      </c>
      <c r="T1833" s="1" t="s">
        <v>29</v>
      </c>
      <c r="U1833" s="1" t="s">
        <v>30</v>
      </c>
      <c r="V1833" s="1">
        <v>0</v>
      </c>
    </row>
    <row r="1834" spans="2:22" x14ac:dyDescent="0.15">
      <c r="B1834" s="1" t="str">
        <f>"135****1354"</f>
        <v>135****1354</v>
      </c>
      <c r="C1834" s="1" t="s">
        <v>23</v>
      </c>
      <c r="D1834" s="1" t="str">
        <f>"89177328"</f>
        <v>89177328</v>
      </c>
      <c r="E1834" s="1" t="s">
        <v>24</v>
      </c>
      <c r="F1834" s="1" t="str">
        <f>"0010"</f>
        <v>0010</v>
      </c>
      <c r="G1834" s="1" t="str">
        <f>""</f>
        <v/>
      </c>
      <c r="H1834" s="1" t="str">
        <f>"0035"</f>
        <v>0035</v>
      </c>
      <c r="I1834" s="1" t="s">
        <v>25</v>
      </c>
      <c r="J1834" s="1" t="str">
        <f>"01043977569"</f>
        <v>01043977569</v>
      </c>
      <c r="K1834" s="1" t="str">
        <f>"2017-03-28 09:44:55"</f>
        <v>2017-03-28 09:44:55</v>
      </c>
      <c r="L1834" s="1" t="str">
        <f>"2017-03-28 09:45:05"</f>
        <v>2017-03-28 09:45:05</v>
      </c>
      <c r="M1834" s="2">
        <v>9.4097222222222238E-3</v>
      </c>
      <c r="N1834" s="1" t="s">
        <v>26</v>
      </c>
      <c r="O1834" s="1" t="s">
        <v>27</v>
      </c>
      <c r="P1834" s="2">
        <v>9.525462962962963E-3</v>
      </c>
      <c r="Q1834" s="1" t="s">
        <v>1348</v>
      </c>
      <c r="R1834" s="1">
        <v>0</v>
      </c>
      <c r="S1834" s="1" t="str">
        <f>""</f>
        <v/>
      </c>
      <c r="T1834" s="1" t="s">
        <v>29</v>
      </c>
      <c r="U1834" s="1" t="s">
        <v>30</v>
      </c>
      <c r="V1834" s="1">
        <v>0</v>
      </c>
    </row>
    <row r="1835" spans="2:22" x14ac:dyDescent="0.15">
      <c r="B1835" s="1" t="str">
        <f>"130****8255"</f>
        <v>130****8255</v>
      </c>
      <c r="C1835" s="1" t="s">
        <v>126</v>
      </c>
      <c r="D1835" s="1" t="str">
        <f>"89177328"</f>
        <v>89177328</v>
      </c>
      <c r="E1835" s="1" t="s">
        <v>24</v>
      </c>
      <c r="F1835" s="1" t="str">
        <f>"0010"</f>
        <v>0010</v>
      </c>
      <c r="G1835" s="1" t="str">
        <f>""</f>
        <v/>
      </c>
      <c r="H1835" s="1" t="str">
        <f>"0033"</f>
        <v>0033</v>
      </c>
      <c r="I1835" s="1" t="s">
        <v>106</v>
      </c>
      <c r="J1835" s="1" t="str">
        <f>"01043977567"</f>
        <v>01043977567</v>
      </c>
      <c r="K1835" s="1" t="str">
        <f>"2017-03-28 09:38:53"</f>
        <v>2017-03-28 09:38:53</v>
      </c>
      <c r="L1835" s="1" t="str">
        <f>"2017-03-28 09:39:02"</f>
        <v>2017-03-28 09:39:02</v>
      </c>
      <c r="M1835" s="2">
        <v>6.8402777777777776E-3</v>
      </c>
      <c r="N1835" s="1" t="s">
        <v>26</v>
      </c>
      <c r="O1835" s="1" t="s">
        <v>27</v>
      </c>
      <c r="P1835" s="2">
        <v>6.9444444444444441E-3</v>
      </c>
      <c r="Q1835" s="1" t="s">
        <v>1349</v>
      </c>
      <c r="R1835" s="1">
        <v>0</v>
      </c>
      <c r="S1835" s="1" t="str">
        <f>""</f>
        <v/>
      </c>
      <c r="T1835" s="1" t="s">
        <v>29</v>
      </c>
      <c r="U1835" s="1" t="s">
        <v>30</v>
      </c>
      <c r="V1835" s="1">
        <v>0</v>
      </c>
    </row>
    <row r="1836" spans="2:22" x14ac:dyDescent="0.15">
      <c r="B1836" s="1" t="str">
        <f>"133****9798"</f>
        <v>133****9798</v>
      </c>
      <c r="C1836" s="1" t="s">
        <v>1283</v>
      </c>
      <c r="D1836" s="1" t="str">
        <f>"4000108333"</f>
        <v>4000108333</v>
      </c>
      <c r="E1836" s="1" t="s">
        <v>53</v>
      </c>
      <c r="F1836" s="1" t="str">
        <f>"0000"</f>
        <v>0000</v>
      </c>
      <c r="G1836" s="1" t="str">
        <f>""</f>
        <v/>
      </c>
      <c r="H1836" s="1" t="str">
        <f>"1010"</f>
        <v>1010</v>
      </c>
      <c r="I1836" s="1" t="s">
        <v>148</v>
      </c>
      <c r="J1836" s="1" t="str">
        <f>"13718091869"</f>
        <v>13718091869</v>
      </c>
      <c r="K1836" s="1" t="str">
        <f>"2017-03-28 09:20:25"</f>
        <v>2017-03-28 09:20:25</v>
      </c>
      <c r="L1836" s="1" t="str">
        <f>"2017-03-28 09:20:56"</f>
        <v>2017-03-28 09:20:56</v>
      </c>
      <c r="M1836" s="2">
        <v>2.1365740740740741E-2</v>
      </c>
      <c r="N1836" s="1" t="s">
        <v>26</v>
      </c>
      <c r="O1836" s="1" t="s">
        <v>27</v>
      </c>
      <c r="P1836" s="2">
        <v>2.1724537037037039E-2</v>
      </c>
      <c r="Q1836" s="1" t="s">
        <v>1350</v>
      </c>
      <c r="R1836" s="1">
        <v>3.84</v>
      </c>
      <c r="S1836" s="1" t="str">
        <f>""</f>
        <v/>
      </c>
      <c r="T1836" s="1" t="s">
        <v>29</v>
      </c>
      <c r="U1836" s="1" t="s">
        <v>30</v>
      </c>
      <c r="V1836" s="1">
        <v>0</v>
      </c>
    </row>
    <row r="1837" spans="2:22" x14ac:dyDescent="0.15">
      <c r="B1837" s="1" t="str">
        <f>"133****5510"</f>
        <v>133****5510</v>
      </c>
      <c r="C1837" s="1" t="s">
        <v>23</v>
      </c>
      <c r="D1837" s="1" t="str">
        <f>"89177328"</f>
        <v>89177328</v>
      </c>
      <c r="E1837" s="1" t="s">
        <v>24</v>
      </c>
      <c r="F1837" s="1" t="str">
        <f>"0010"</f>
        <v>0010</v>
      </c>
      <c r="G1837" s="1" t="str">
        <f>""</f>
        <v/>
      </c>
      <c r="H1837" s="1" t="str">
        <f>"0018"</f>
        <v>0018</v>
      </c>
      <c r="I1837" s="1" t="s">
        <v>36</v>
      </c>
      <c r="J1837" s="1" t="str">
        <f>"01043989718"</f>
        <v>01043989718</v>
      </c>
      <c r="K1837" s="1" t="str">
        <f>"2017-03-28 09:20:20"</f>
        <v>2017-03-28 09:20:20</v>
      </c>
      <c r="L1837" s="1" t="str">
        <f>"2017-03-28 09:20:30"</f>
        <v>2017-03-28 09:20:30</v>
      </c>
      <c r="M1837" s="2">
        <v>9.4907407407407408E-4</v>
      </c>
      <c r="N1837" s="1" t="s">
        <v>26</v>
      </c>
      <c r="O1837" s="1" t="s">
        <v>34</v>
      </c>
      <c r="P1837" s="2">
        <v>1.0648148148148147E-3</v>
      </c>
      <c r="Q1837" s="1" t="s">
        <v>1351</v>
      </c>
      <c r="R1837" s="1">
        <v>0</v>
      </c>
      <c r="S1837" s="1" t="str">
        <f>""</f>
        <v/>
      </c>
      <c r="T1837" s="1" t="s">
        <v>29</v>
      </c>
      <c r="U1837" s="1" t="s">
        <v>30</v>
      </c>
      <c r="V1837" s="1">
        <v>0</v>
      </c>
    </row>
    <row r="1838" spans="2:22" x14ac:dyDescent="0.15">
      <c r="B1838" s="1" t="str">
        <f>"186****8701"</f>
        <v>186****8701</v>
      </c>
      <c r="C1838" s="1" t="s">
        <v>23</v>
      </c>
      <c r="D1838" s="1" t="str">
        <f>"89177328"</f>
        <v>89177328</v>
      </c>
      <c r="E1838" s="1" t="s">
        <v>24</v>
      </c>
      <c r="F1838" s="1" t="str">
        <f>"0010"</f>
        <v>0010</v>
      </c>
      <c r="G1838" s="1" t="str">
        <f>""</f>
        <v/>
      </c>
      <c r="H1838" s="1" t="str">
        <f>"0017"</f>
        <v>0017</v>
      </c>
      <c r="I1838" s="1" t="s">
        <v>135</v>
      </c>
      <c r="J1838" s="1" t="str">
        <f>"01043989717"</f>
        <v>01043989717</v>
      </c>
      <c r="K1838" s="1" t="str">
        <f>"2017-03-28 09:18:41"</f>
        <v>2017-03-28 09:18:41</v>
      </c>
      <c r="L1838" s="1" t="str">
        <f>"2017-03-28 09:18:51"</f>
        <v>2017-03-28 09:18:51</v>
      </c>
      <c r="M1838" s="2">
        <v>7.4421296296296293E-3</v>
      </c>
      <c r="N1838" s="1" t="s">
        <v>26</v>
      </c>
      <c r="O1838" s="1" t="s">
        <v>27</v>
      </c>
      <c r="P1838" s="2">
        <v>7.5578703703703702E-3</v>
      </c>
      <c r="Q1838" s="1" t="s">
        <v>1352</v>
      </c>
      <c r="R1838" s="1">
        <v>0</v>
      </c>
      <c r="S1838" s="1" t="str">
        <f>""</f>
        <v/>
      </c>
      <c r="T1838" s="1" t="s">
        <v>29</v>
      </c>
      <c r="U1838" s="1" t="s">
        <v>30</v>
      </c>
      <c r="V1838" s="1">
        <v>0</v>
      </c>
    </row>
    <row r="1839" spans="2:22" x14ac:dyDescent="0.15">
      <c r="B1839" s="1" t="str">
        <f>"133****9798"</f>
        <v>133****9798</v>
      </c>
      <c r="C1839" s="1" t="s">
        <v>1283</v>
      </c>
      <c r="D1839" s="1" t="str">
        <f>"4000108333"</f>
        <v>4000108333</v>
      </c>
      <c r="E1839" s="1" t="s">
        <v>53</v>
      </c>
      <c r="F1839" s="1" t="str">
        <f>""</f>
        <v/>
      </c>
      <c r="G1839" s="1" t="str">
        <f>""</f>
        <v/>
      </c>
      <c r="H1839" s="1" t="str">
        <f>""</f>
        <v/>
      </c>
      <c r="I1839" s="1" t="str">
        <f>""</f>
        <v/>
      </c>
      <c r="J1839" s="1" t="str">
        <f>""</f>
        <v/>
      </c>
      <c r="K1839" s="1" t="str">
        <f>"2017-03-28 09:17:06"</f>
        <v>2017-03-28 09:17:06</v>
      </c>
      <c r="L1839" s="1" t="str">
        <f>"-"</f>
        <v>-</v>
      </c>
      <c r="M1839" s="2">
        <v>0</v>
      </c>
      <c r="N1839" s="1" t="s">
        <v>55</v>
      </c>
      <c r="O1839" s="1" t="s">
        <v>34</v>
      </c>
      <c r="P1839" s="2">
        <v>2.8935185185185189E-4</v>
      </c>
      <c r="Q1839" s="1" t="str">
        <f>""</f>
        <v/>
      </c>
      <c r="R1839" s="1">
        <v>0.12</v>
      </c>
      <c r="S1839" s="1" t="str">
        <f>""</f>
        <v/>
      </c>
      <c r="T1839" s="1" t="s">
        <v>29</v>
      </c>
      <c r="U1839" s="1" t="s">
        <v>30</v>
      </c>
      <c r="V1839" s="1">
        <v>0</v>
      </c>
    </row>
    <row r="1840" spans="2:22" x14ac:dyDescent="0.15">
      <c r="B1840" s="1" t="str">
        <f>"177****0935"</f>
        <v>177****0935</v>
      </c>
      <c r="C1840" s="1" t="s">
        <v>44</v>
      </c>
      <c r="D1840" s="1" t="str">
        <f t="shared" ref="D1840:D1903" si="180">"89177328"</f>
        <v>89177328</v>
      </c>
      <c r="E1840" s="1" t="s">
        <v>24</v>
      </c>
      <c r="F1840" s="1" t="str">
        <f t="shared" ref="F1840:F1845" si="181">"0010"</f>
        <v>0010</v>
      </c>
      <c r="G1840" s="1" t="str">
        <f>""</f>
        <v/>
      </c>
      <c r="H1840" s="1" t="str">
        <f>"0034"</f>
        <v>0034</v>
      </c>
      <c r="I1840" s="1" t="s">
        <v>31</v>
      </c>
      <c r="J1840" s="1" t="str">
        <f>"01043977568"</f>
        <v>01043977568</v>
      </c>
      <c r="K1840" s="1" t="str">
        <f>"2017-03-28 09:11:03"</f>
        <v>2017-03-28 09:11:03</v>
      </c>
      <c r="L1840" s="1" t="str">
        <f>"2017-03-28 09:11:13"</f>
        <v>2017-03-28 09:11:13</v>
      </c>
      <c r="M1840" s="2">
        <v>3.9120370370370368E-3</v>
      </c>
      <c r="N1840" s="1" t="s">
        <v>26</v>
      </c>
      <c r="O1840" s="1" t="s">
        <v>34</v>
      </c>
      <c r="P1840" s="2">
        <v>4.0277777777777777E-3</v>
      </c>
      <c r="Q1840" s="1" t="s">
        <v>1353</v>
      </c>
      <c r="R1840" s="1">
        <v>0</v>
      </c>
      <c r="S1840" s="1" t="str">
        <f>""</f>
        <v/>
      </c>
      <c r="T1840" s="1" t="s">
        <v>29</v>
      </c>
      <c r="U1840" s="1" t="s">
        <v>30</v>
      </c>
      <c r="V1840" s="1">
        <v>0</v>
      </c>
    </row>
    <row r="1841" spans="2:22" x14ac:dyDescent="0.15">
      <c r="B1841" s="1" t="str">
        <f>"186****1010"</f>
        <v>186****1010</v>
      </c>
      <c r="C1841" s="1" t="s">
        <v>23</v>
      </c>
      <c r="D1841" s="1" t="str">
        <f t="shared" si="180"/>
        <v>89177328</v>
      </c>
      <c r="E1841" s="1" t="s">
        <v>24</v>
      </c>
      <c r="F1841" s="1" t="str">
        <f t="shared" si="181"/>
        <v>0010</v>
      </c>
      <c r="G1841" s="1" t="str">
        <f>""</f>
        <v/>
      </c>
      <c r="H1841" s="1" t="str">
        <f>"0033"</f>
        <v>0033</v>
      </c>
      <c r="I1841" s="1" t="s">
        <v>106</v>
      </c>
      <c r="J1841" s="1" t="str">
        <f>"01043977567"</f>
        <v>01043977567</v>
      </c>
      <c r="K1841" s="1" t="str">
        <f>"2017-03-28 09:05:00"</f>
        <v>2017-03-28 09:05:00</v>
      </c>
      <c r="L1841" s="1" t="str">
        <f>"2017-03-28 09:05:09"</f>
        <v>2017-03-28 09:05:09</v>
      </c>
      <c r="M1841" s="2">
        <v>2.5000000000000001E-3</v>
      </c>
      <c r="N1841" s="1" t="s">
        <v>26</v>
      </c>
      <c r="O1841" s="1" t="s">
        <v>27</v>
      </c>
      <c r="P1841" s="2">
        <v>2.6041666666666665E-3</v>
      </c>
      <c r="Q1841" s="1" t="s">
        <v>1354</v>
      </c>
      <c r="R1841" s="1">
        <v>0</v>
      </c>
      <c r="S1841" s="1" t="str">
        <f>""</f>
        <v/>
      </c>
      <c r="T1841" s="1" t="s">
        <v>29</v>
      </c>
      <c r="U1841" s="1" t="s">
        <v>30</v>
      </c>
      <c r="V1841" s="1">
        <v>0</v>
      </c>
    </row>
    <row r="1842" spans="2:22" x14ac:dyDescent="0.15">
      <c r="B1842" s="1" t="str">
        <f>"138****2165"</f>
        <v>138****2165</v>
      </c>
      <c r="C1842" s="1" t="s">
        <v>81</v>
      </c>
      <c r="D1842" s="1" t="str">
        <f t="shared" si="180"/>
        <v>89177328</v>
      </c>
      <c r="E1842" s="1" t="s">
        <v>24</v>
      </c>
      <c r="F1842" s="1" t="str">
        <f t="shared" si="181"/>
        <v>0010</v>
      </c>
      <c r="G1842" s="1" t="str">
        <f>""</f>
        <v/>
      </c>
      <c r="H1842" s="1" t="str">
        <f>"0034"</f>
        <v>0034</v>
      </c>
      <c r="I1842" s="1" t="s">
        <v>31</v>
      </c>
      <c r="J1842" s="1" t="str">
        <f>"01043977568"</f>
        <v>01043977568</v>
      </c>
      <c r="K1842" s="1" t="str">
        <f>"2017-03-28 08:59:35"</f>
        <v>2017-03-28 08:59:35</v>
      </c>
      <c r="L1842" s="1" t="str">
        <f>"2017-03-28 08:59:44"</f>
        <v>2017-03-28 08:59:44</v>
      </c>
      <c r="M1842" s="2">
        <v>4.4675925925925933E-3</v>
      </c>
      <c r="N1842" s="1" t="s">
        <v>26</v>
      </c>
      <c r="O1842" s="1" t="s">
        <v>27</v>
      </c>
      <c r="P1842" s="2">
        <v>4.5717592592592589E-3</v>
      </c>
      <c r="Q1842" s="1" t="s">
        <v>1355</v>
      </c>
      <c r="R1842" s="1">
        <v>0</v>
      </c>
      <c r="S1842" s="1" t="str">
        <f>""</f>
        <v/>
      </c>
      <c r="T1842" s="1" t="s">
        <v>29</v>
      </c>
      <c r="U1842" s="1" t="s">
        <v>30</v>
      </c>
      <c r="V1842" s="1">
        <v>0</v>
      </c>
    </row>
    <row r="1843" spans="2:22" x14ac:dyDescent="0.15">
      <c r="B1843" s="1" t="str">
        <f>"135****2499"</f>
        <v>135****2499</v>
      </c>
      <c r="C1843" s="1" t="s">
        <v>23</v>
      </c>
      <c r="D1843" s="1" t="str">
        <f t="shared" si="180"/>
        <v>89177328</v>
      </c>
      <c r="E1843" s="1" t="s">
        <v>24</v>
      </c>
      <c r="F1843" s="1" t="str">
        <f t="shared" si="181"/>
        <v>0010</v>
      </c>
      <c r="G1843" s="1" t="str">
        <f>""</f>
        <v/>
      </c>
      <c r="H1843" s="1" t="str">
        <f>"0033"</f>
        <v>0033</v>
      </c>
      <c r="I1843" s="1" t="s">
        <v>106</v>
      </c>
      <c r="J1843" s="1" t="str">
        <f>"01043977567"</f>
        <v>01043977567</v>
      </c>
      <c r="K1843" s="1" t="str">
        <f>"2017-03-28 08:51:03"</f>
        <v>2017-03-28 08:51:03</v>
      </c>
      <c r="L1843" s="1" t="str">
        <f>"2017-03-28 08:51:12"</f>
        <v>2017-03-28 08:51:12</v>
      </c>
      <c r="M1843" s="2">
        <v>9.6064814814814808E-4</v>
      </c>
      <c r="N1843" s="1" t="s">
        <v>26</v>
      </c>
      <c r="O1843" s="1" t="s">
        <v>27</v>
      </c>
      <c r="P1843" s="2">
        <v>1.0648148148148147E-3</v>
      </c>
      <c r="Q1843" s="1" t="s">
        <v>1356</v>
      </c>
      <c r="R1843" s="1">
        <v>0</v>
      </c>
      <c r="S1843" s="1" t="str">
        <f>""</f>
        <v/>
      </c>
      <c r="T1843" s="1" t="s">
        <v>29</v>
      </c>
      <c r="U1843" s="1" t="s">
        <v>30</v>
      </c>
      <c r="V1843" s="1">
        <v>0</v>
      </c>
    </row>
    <row r="1844" spans="2:22" x14ac:dyDescent="0.15">
      <c r="B1844" s="1" t="str">
        <f>"189****4678"</f>
        <v>189****4678</v>
      </c>
      <c r="C1844" s="1" t="s">
        <v>113</v>
      </c>
      <c r="D1844" s="1" t="str">
        <f t="shared" si="180"/>
        <v>89177328</v>
      </c>
      <c r="E1844" s="1" t="s">
        <v>24</v>
      </c>
      <c r="F1844" s="1" t="str">
        <f t="shared" si="181"/>
        <v>0010</v>
      </c>
      <c r="G1844" s="1" t="str">
        <f>""</f>
        <v/>
      </c>
      <c r="H1844" s="1" t="str">
        <f>"0018"</f>
        <v>0018</v>
      </c>
      <c r="I1844" s="1" t="s">
        <v>36</v>
      </c>
      <c r="J1844" s="1" t="str">
        <f>"01043989718"</f>
        <v>01043989718</v>
      </c>
      <c r="K1844" s="1" t="str">
        <f>"2017-03-28 08:43:15"</f>
        <v>2017-03-28 08:43:15</v>
      </c>
      <c r="L1844" s="1" t="str">
        <f>"2017-03-28 08:43:25"</f>
        <v>2017-03-28 08:43:25</v>
      </c>
      <c r="M1844" s="2">
        <v>1.8287037037037036E-2</v>
      </c>
      <c r="N1844" s="1" t="s">
        <v>26</v>
      </c>
      <c r="O1844" s="1" t="s">
        <v>34</v>
      </c>
      <c r="P1844" s="2">
        <v>1.8402777777777778E-2</v>
      </c>
      <c r="Q1844" s="1" t="s">
        <v>1357</v>
      </c>
      <c r="R1844" s="1">
        <v>0</v>
      </c>
      <c r="S1844" s="1" t="str">
        <f>""</f>
        <v/>
      </c>
      <c r="T1844" s="1" t="s">
        <v>29</v>
      </c>
      <c r="U1844" s="1" t="s">
        <v>30</v>
      </c>
      <c r="V1844" s="1">
        <v>0</v>
      </c>
    </row>
    <row r="1845" spans="2:22" x14ac:dyDescent="0.15">
      <c r="B1845" s="1" t="str">
        <f>"139****6180"</f>
        <v>139****6180</v>
      </c>
      <c r="C1845" s="1" t="s">
        <v>23</v>
      </c>
      <c r="D1845" s="1" t="str">
        <f t="shared" si="180"/>
        <v>89177328</v>
      </c>
      <c r="E1845" s="1" t="s">
        <v>24</v>
      </c>
      <c r="F1845" s="1" t="str">
        <f t="shared" si="181"/>
        <v>0010</v>
      </c>
      <c r="G1845" s="1" t="str">
        <f>""</f>
        <v/>
      </c>
      <c r="H1845" s="1" t="str">
        <f>"0010"</f>
        <v>0010</v>
      </c>
      <c r="I1845" s="1" t="s">
        <v>71</v>
      </c>
      <c r="J1845" s="1" t="str">
        <f>"01043989719"</f>
        <v>01043989719</v>
      </c>
      <c r="K1845" s="1" t="str">
        <f>"2017-03-28 08:33:48"</f>
        <v>2017-03-28 08:33:48</v>
      </c>
      <c r="L1845" s="1" t="str">
        <f>"2017-03-28 08:33:57"</f>
        <v>2017-03-28 08:33:57</v>
      </c>
      <c r="M1845" s="2">
        <v>2.5451388888888888E-2</v>
      </c>
      <c r="N1845" s="1" t="s">
        <v>26</v>
      </c>
      <c r="O1845" s="1" t="s">
        <v>27</v>
      </c>
      <c r="P1845" s="2">
        <v>2.5555555555555554E-2</v>
      </c>
      <c r="Q1845" s="1" t="s">
        <v>1358</v>
      </c>
      <c r="R1845" s="1">
        <v>0</v>
      </c>
      <c r="S1845" s="1" t="str">
        <f>""</f>
        <v/>
      </c>
      <c r="T1845" s="1" t="s">
        <v>29</v>
      </c>
      <c r="U1845" s="1" t="s">
        <v>30</v>
      </c>
      <c r="V1845" s="1">
        <v>0</v>
      </c>
    </row>
    <row r="1846" spans="2:22" x14ac:dyDescent="0.15">
      <c r="B1846" s="1" t="str">
        <f>"135****5817"</f>
        <v>135****5817</v>
      </c>
      <c r="C1846" s="1" t="s">
        <v>23</v>
      </c>
      <c r="D1846" s="1" t="str">
        <f t="shared" si="180"/>
        <v>89177328</v>
      </c>
      <c r="E1846" s="1" t="s">
        <v>181</v>
      </c>
      <c r="F1846" s="1" t="str">
        <f>""</f>
        <v/>
      </c>
      <c r="G1846" s="1" t="str">
        <f>""</f>
        <v/>
      </c>
      <c r="H1846" s="1" t="str">
        <f>""</f>
        <v/>
      </c>
      <c r="I1846" s="1" t="str">
        <f>""</f>
        <v/>
      </c>
      <c r="J1846" s="1" t="str">
        <f>""</f>
        <v/>
      </c>
      <c r="K1846" s="1" t="str">
        <f>"2017-03-27 21:02:55"</f>
        <v>2017-03-27 21:02:55</v>
      </c>
      <c r="L1846" s="1" t="str">
        <f>"2017-03-27 21:03:06"</f>
        <v>2017-03-27 21:03:06</v>
      </c>
      <c r="M1846" s="2">
        <v>1.1574074074074073E-5</v>
      </c>
      <c r="N1846" s="1" t="s">
        <v>55</v>
      </c>
      <c r="O1846" s="1" t="s">
        <v>34</v>
      </c>
      <c r="P1846" s="2">
        <v>2.0833333333333335E-4</v>
      </c>
      <c r="Q1846" s="1" t="str">
        <f>""</f>
        <v/>
      </c>
      <c r="R1846" s="1">
        <v>0</v>
      </c>
      <c r="S1846" s="1" t="str">
        <f>""</f>
        <v/>
      </c>
      <c r="T1846" s="1" t="s">
        <v>183</v>
      </c>
      <c r="U1846" s="1" t="s">
        <v>30</v>
      </c>
      <c r="V1846" s="1">
        <v>0</v>
      </c>
    </row>
    <row r="1847" spans="2:22" x14ac:dyDescent="0.15">
      <c r="B1847" s="1" t="str">
        <f>"188****6443"</f>
        <v>188****6443</v>
      </c>
      <c r="C1847" s="1" t="s">
        <v>23</v>
      </c>
      <c r="D1847" s="1" t="str">
        <f t="shared" si="180"/>
        <v>89177328</v>
      </c>
      <c r="E1847" s="1" t="s">
        <v>24</v>
      </c>
      <c r="F1847" s="1" t="str">
        <f t="shared" ref="F1847:F1880" si="182">"0010"</f>
        <v>0010</v>
      </c>
      <c r="G1847" s="1" t="str">
        <f>""</f>
        <v/>
      </c>
      <c r="H1847" s="1" t="str">
        <f>"0012"</f>
        <v>0012</v>
      </c>
      <c r="I1847" s="1" t="s">
        <v>612</v>
      </c>
      <c r="J1847" s="1" t="str">
        <f>"01043989720"</f>
        <v>01043989720</v>
      </c>
      <c r="K1847" s="1" t="str">
        <f>"2017-03-27 20:35:37"</f>
        <v>2017-03-27 20:35:37</v>
      </c>
      <c r="L1847" s="1" t="str">
        <f>"2017-03-27 20:36:09"</f>
        <v>2017-03-27 20:36:09</v>
      </c>
      <c r="M1847" s="2">
        <v>2.2141203703703705E-2</v>
      </c>
      <c r="N1847" s="1" t="s">
        <v>26</v>
      </c>
      <c r="O1847" s="1" t="s">
        <v>34</v>
      </c>
      <c r="P1847" s="2">
        <v>2.2511574074074073E-2</v>
      </c>
      <c r="Q1847" s="1" t="s">
        <v>1359</v>
      </c>
      <c r="R1847" s="1">
        <v>0</v>
      </c>
      <c r="S1847" s="1" t="str">
        <f>""</f>
        <v/>
      </c>
      <c r="T1847" s="1" t="s">
        <v>29</v>
      </c>
      <c r="U1847" s="1" t="s">
        <v>30</v>
      </c>
      <c r="V1847" s="1">
        <v>0</v>
      </c>
    </row>
    <row r="1848" spans="2:22" x14ac:dyDescent="0.15">
      <c r="B1848" s="1" t="str">
        <f>"186****3769"</f>
        <v>186****3769</v>
      </c>
      <c r="C1848" s="1" t="s">
        <v>23</v>
      </c>
      <c r="D1848" s="1" t="str">
        <f t="shared" si="180"/>
        <v>89177328</v>
      </c>
      <c r="E1848" s="1" t="s">
        <v>24</v>
      </c>
      <c r="F1848" s="1" t="str">
        <f t="shared" si="182"/>
        <v>0010</v>
      </c>
      <c r="G1848" s="1" t="str">
        <f>""</f>
        <v/>
      </c>
      <c r="H1848" s="1" t="str">
        <f>"0031"</f>
        <v>0031</v>
      </c>
      <c r="I1848" s="1" t="s">
        <v>95</v>
      </c>
      <c r="J1848" s="1" t="str">
        <f>"01043977565"</f>
        <v>01043977565</v>
      </c>
      <c r="K1848" s="1" t="str">
        <f>"2017-03-27 20:15:36"</f>
        <v>2017-03-27 20:15:36</v>
      </c>
      <c r="L1848" s="1" t="str">
        <f>"2017-03-27 20:18:31"</f>
        <v>2017-03-27 20:18:31</v>
      </c>
      <c r="M1848" s="2">
        <v>4.6990740740740743E-3</v>
      </c>
      <c r="N1848" s="1" t="s">
        <v>26</v>
      </c>
      <c r="O1848" s="1" t="s">
        <v>27</v>
      </c>
      <c r="P1848" s="2">
        <v>6.7245370370370367E-3</v>
      </c>
      <c r="Q1848" s="1" t="s">
        <v>1360</v>
      </c>
      <c r="R1848" s="1">
        <v>0</v>
      </c>
      <c r="S1848" s="1" t="str">
        <f>""</f>
        <v/>
      </c>
      <c r="T1848" s="1" t="s">
        <v>29</v>
      </c>
      <c r="U1848" s="1" t="s">
        <v>30</v>
      </c>
      <c r="V1848" s="1">
        <v>0</v>
      </c>
    </row>
    <row r="1849" spans="2:22" x14ac:dyDescent="0.15">
      <c r="B1849" s="1" t="str">
        <f>"139****3577"</f>
        <v>139****3577</v>
      </c>
      <c r="C1849" s="1" t="s">
        <v>23</v>
      </c>
      <c r="D1849" s="1" t="str">
        <f t="shared" si="180"/>
        <v>89177328</v>
      </c>
      <c r="E1849" s="1" t="s">
        <v>24</v>
      </c>
      <c r="F1849" s="1" t="str">
        <f t="shared" si="182"/>
        <v>0010</v>
      </c>
      <c r="G1849" s="1" t="str">
        <f>""</f>
        <v/>
      </c>
      <c r="H1849" s="1" t="str">
        <f>"0012"</f>
        <v>0012</v>
      </c>
      <c r="I1849" s="1" t="s">
        <v>612</v>
      </c>
      <c r="J1849" s="1" t="str">
        <f>"01043989720"</f>
        <v>01043989720</v>
      </c>
      <c r="K1849" s="1" t="str">
        <f>"2017-03-27 20:14:03"</f>
        <v>2017-03-27 20:14:03</v>
      </c>
      <c r="L1849" s="1" t="str">
        <f>"2017-03-27 20:14:19"</f>
        <v>2017-03-27 20:14:19</v>
      </c>
      <c r="M1849" s="2">
        <v>1.486111111111111E-2</v>
      </c>
      <c r="N1849" s="1" t="s">
        <v>26</v>
      </c>
      <c r="O1849" s="1" t="s">
        <v>27</v>
      </c>
      <c r="P1849" s="2">
        <v>1.5046296296296295E-2</v>
      </c>
      <c r="Q1849" s="1" t="s">
        <v>1361</v>
      </c>
      <c r="R1849" s="1">
        <v>0</v>
      </c>
      <c r="S1849" s="1" t="str">
        <f>""</f>
        <v/>
      </c>
      <c r="T1849" s="1" t="s">
        <v>29</v>
      </c>
      <c r="U1849" s="1" t="s">
        <v>30</v>
      </c>
      <c r="V1849" s="1">
        <v>0</v>
      </c>
    </row>
    <row r="1850" spans="2:22" x14ac:dyDescent="0.15">
      <c r="B1850" s="1" t="str">
        <f>"139****5717"</f>
        <v>139****5717</v>
      </c>
      <c r="C1850" s="1" t="s">
        <v>527</v>
      </c>
      <c r="D1850" s="1" t="str">
        <f t="shared" si="180"/>
        <v>89177328</v>
      </c>
      <c r="E1850" s="1" t="s">
        <v>24</v>
      </c>
      <c r="F1850" s="1" t="str">
        <f t="shared" si="182"/>
        <v>0010</v>
      </c>
      <c r="G1850" s="1" t="str">
        <f>""</f>
        <v/>
      </c>
      <c r="H1850" s="1" t="str">
        <f>"0031"</f>
        <v>0031</v>
      </c>
      <c r="I1850" s="1" t="s">
        <v>95</v>
      </c>
      <c r="J1850" s="1" t="str">
        <f>"01043977565"</f>
        <v>01043977565</v>
      </c>
      <c r="K1850" s="1" t="str">
        <f>"2017-03-27 20:01:26"</f>
        <v>2017-03-27 20:01:26</v>
      </c>
      <c r="L1850" s="1" t="str">
        <f>"2017-03-27 20:01:33"</f>
        <v>2017-03-27 20:01:33</v>
      </c>
      <c r="M1850" s="2">
        <v>1.1712962962962965E-2</v>
      </c>
      <c r="N1850" s="1" t="s">
        <v>26</v>
      </c>
      <c r="O1850" s="1" t="s">
        <v>27</v>
      </c>
      <c r="P1850" s="2">
        <v>1.1793981481481482E-2</v>
      </c>
      <c r="Q1850" s="1" t="s">
        <v>1362</v>
      </c>
      <c r="R1850" s="1">
        <v>0</v>
      </c>
      <c r="S1850" s="1" t="str">
        <f>""</f>
        <v/>
      </c>
      <c r="T1850" s="1" t="s">
        <v>29</v>
      </c>
      <c r="U1850" s="1" t="s">
        <v>30</v>
      </c>
      <c r="V1850" s="1">
        <v>0</v>
      </c>
    </row>
    <row r="1851" spans="2:22" x14ac:dyDescent="0.15">
      <c r="B1851" s="1" t="str">
        <f>"136****3082"</f>
        <v>136****3082</v>
      </c>
      <c r="C1851" s="1" t="s">
        <v>23</v>
      </c>
      <c r="D1851" s="1" t="str">
        <f t="shared" si="180"/>
        <v>89177328</v>
      </c>
      <c r="E1851" s="1" t="s">
        <v>24</v>
      </c>
      <c r="F1851" s="1" t="str">
        <f t="shared" si="182"/>
        <v>0010</v>
      </c>
      <c r="G1851" s="1" t="str">
        <f>""</f>
        <v/>
      </c>
      <c r="H1851" s="1" t="str">
        <f>"0012"</f>
        <v>0012</v>
      </c>
      <c r="I1851" s="1" t="s">
        <v>612</v>
      </c>
      <c r="J1851" s="1" t="str">
        <f>"01043989720"</f>
        <v>01043989720</v>
      </c>
      <c r="K1851" s="1" t="str">
        <f>"2017-03-27 19:39:27"</f>
        <v>2017-03-27 19:39:27</v>
      </c>
      <c r="L1851" s="1" t="str">
        <f>"2017-03-27 19:39:42"</f>
        <v>2017-03-27 19:39:42</v>
      </c>
      <c r="M1851" s="2">
        <v>4.3749999999999995E-3</v>
      </c>
      <c r="N1851" s="1" t="s">
        <v>26</v>
      </c>
      <c r="O1851" s="1" t="s">
        <v>27</v>
      </c>
      <c r="P1851" s="2">
        <v>4.5486111111111109E-3</v>
      </c>
      <c r="Q1851" s="1" t="s">
        <v>1363</v>
      </c>
      <c r="R1851" s="1">
        <v>0</v>
      </c>
      <c r="S1851" s="1" t="str">
        <f>""</f>
        <v/>
      </c>
      <c r="T1851" s="1" t="s">
        <v>29</v>
      </c>
      <c r="U1851" s="1" t="s">
        <v>30</v>
      </c>
      <c r="V1851" s="1">
        <v>0</v>
      </c>
    </row>
    <row r="1852" spans="2:22" x14ac:dyDescent="0.15">
      <c r="B1852" s="1" t="str">
        <f>"139****5377"</f>
        <v>139****5377</v>
      </c>
      <c r="C1852" s="1" t="s">
        <v>23</v>
      </c>
      <c r="D1852" s="1" t="str">
        <f t="shared" si="180"/>
        <v>89177328</v>
      </c>
      <c r="E1852" s="1" t="s">
        <v>24</v>
      </c>
      <c r="F1852" s="1" t="str">
        <f t="shared" si="182"/>
        <v>0010</v>
      </c>
      <c r="G1852" s="1" t="str">
        <f>""</f>
        <v/>
      </c>
      <c r="H1852" s="1" t="str">
        <f>"0031"</f>
        <v>0031</v>
      </c>
      <c r="I1852" s="1" t="s">
        <v>95</v>
      </c>
      <c r="J1852" s="1" t="str">
        <f>"01043977565"</f>
        <v>01043977565</v>
      </c>
      <c r="K1852" s="1" t="str">
        <f>"2017-03-27 19:35:53"</f>
        <v>2017-03-27 19:35:53</v>
      </c>
      <c r="L1852" s="1" t="str">
        <f>"2017-03-27 19:36:00"</f>
        <v>2017-03-27 19:36:00</v>
      </c>
      <c r="M1852" s="2">
        <v>1.1006944444444444E-2</v>
      </c>
      <c r="N1852" s="1" t="s">
        <v>26</v>
      </c>
      <c r="O1852" s="1" t="s">
        <v>27</v>
      </c>
      <c r="P1852" s="2">
        <v>1.1087962962962964E-2</v>
      </c>
      <c r="Q1852" s="1" t="s">
        <v>1364</v>
      </c>
      <c r="R1852" s="1">
        <v>0</v>
      </c>
      <c r="S1852" s="1" t="str">
        <f>""</f>
        <v/>
      </c>
      <c r="T1852" s="1" t="s">
        <v>29</v>
      </c>
      <c r="U1852" s="1" t="s">
        <v>30</v>
      </c>
      <c r="V1852" s="1">
        <v>0</v>
      </c>
    </row>
    <row r="1853" spans="2:22" x14ac:dyDescent="0.15">
      <c r="B1853" s="1" t="str">
        <f>"189****2690"</f>
        <v>189****2690</v>
      </c>
      <c r="C1853" s="1" t="s">
        <v>668</v>
      </c>
      <c r="D1853" s="1" t="str">
        <f t="shared" si="180"/>
        <v>89177328</v>
      </c>
      <c r="E1853" s="1" t="s">
        <v>24</v>
      </c>
      <c r="F1853" s="1" t="str">
        <f t="shared" si="182"/>
        <v>0010</v>
      </c>
      <c r="G1853" s="1" t="str">
        <f>""</f>
        <v/>
      </c>
      <c r="H1853" s="1" t="str">
        <f>"0012"</f>
        <v>0012</v>
      </c>
      <c r="I1853" s="1" t="s">
        <v>612</v>
      </c>
      <c r="J1853" s="1" t="str">
        <f>"01043989720"</f>
        <v>01043989720</v>
      </c>
      <c r="K1853" s="1" t="str">
        <f>"2017-03-27 19:14:44"</f>
        <v>2017-03-27 19:14:44</v>
      </c>
      <c r="L1853" s="1" t="str">
        <f>"2017-03-27 19:14:58"</f>
        <v>2017-03-27 19:14:58</v>
      </c>
      <c r="M1853" s="2">
        <v>8.0324074074074065E-3</v>
      </c>
      <c r="N1853" s="1" t="s">
        <v>26</v>
      </c>
      <c r="O1853" s="1" t="s">
        <v>27</v>
      </c>
      <c r="P1853" s="2">
        <v>8.1944444444444452E-3</v>
      </c>
      <c r="Q1853" s="1" t="s">
        <v>1365</v>
      </c>
      <c r="R1853" s="1">
        <v>0</v>
      </c>
      <c r="S1853" s="1" t="str">
        <f>""</f>
        <v/>
      </c>
      <c r="T1853" s="1" t="s">
        <v>29</v>
      </c>
      <c r="U1853" s="1" t="s">
        <v>30</v>
      </c>
      <c r="V1853" s="1">
        <v>0</v>
      </c>
    </row>
    <row r="1854" spans="2:22" x14ac:dyDescent="0.15">
      <c r="B1854" s="1" t="str">
        <f>"133****6668"</f>
        <v>133****6668</v>
      </c>
      <c r="C1854" s="1" t="s">
        <v>23</v>
      </c>
      <c r="D1854" s="1" t="str">
        <f t="shared" si="180"/>
        <v>89177328</v>
      </c>
      <c r="E1854" s="1" t="s">
        <v>24</v>
      </c>
      <c r="F1854" s="1" t="str">
        <f t="shared" si="182"/>
        <v>0010</v>
      </c>
      <c r="G1854" s="1" t="str">
        <f>""</f>
        <v/>
      </c>
      <c r="H1854" s="1" t="str">
        <f>"0035"</f>
        <v>0035</v>
      </c>
      <c r="I1854" s="1" t="s">
        <v>25</v>
      </c>
      <c r="J1854" s="1" t="str">
        <f>"01043977569"</f>
        <v>01043977569</v>
      </c>
      <c r="K1854" s="1" t="str">
        <f>"2017-03-27 18:56:25"</f>
        <v>2017-03-27 18:56:25</v>
      </c>
      <c r="L1854" s="1" t="str">
        <f>"-"</f>
        <v>-</v>
      </c>
      <c r="M1854" s="2">
        <v>0</v>
      </c>
      <c r="N1854" s="1" t="s">
        <v>33</v>
      </c>
      <c r="O1854" s="1" t="s">
        <v>34</v>
      </c>
      <c r="P1854" s="2">
        <v>2.3148148148148147E-5</v>
      </c>
      <c r="Q1854" s="1" t="str">
        <f>""</f>
        <v/>
      </c>
      <c r="R1854" s="1">
        <v>0</v>
      </c>
      <c r="S1854" s="1" t="str">
        <f>""</f>
        <v/>
      </c>
      <c r="T1854" s="1" t="s">
        <v>29</v>
      </c>
      <c r="U1854" s="1" t="s">
        <v>30</v>
      </c>
      <c r="V1854" s="1">
        <v>0</v>
      </c>
    </row>
    <row r="1855" spans="2:22" x14ac:dyDescent="0.15">
      <c r="B1855" s="1" t="str">
        <f>"152****9290"</f>
        <v>152****9290</v>
      </c>
      <c r="C1855" s="1" t="s">
        <v>44</v>
      </c>
      <c r="D1855" s="1" t="str">
        <f t="shared" si="180"/>
        <v>89177328</v>
      </c>
      <c r="E1855" s="1" t="s">
        <v>24</v>
      </c>
      <c r="F1855" s="1" t="str">
        <f t="shared" si="182"/>
        <v>0010</v>
      </c>
      <c r="G1855" s="1" t="str">
        <f>""</f>
        <v/>
      </c>
      <c r="H1855" s="1" t="str">
        <f>"0031"</f>
        <v>0031</v>
      </c>
      <c r="I1855" s="1" t="s">
        <v>95</v>
      </c>
      <c r="J1855" s="1" t="str">
        <f>"01043977565"</f>
        <v>01043977565</v>
      </c>
      <c r="K1855" s="1" t="str">
        <f>"2017-03-27 18:51:37"</f>
        <v>2017-03-27 18:51:37</v>
      </c>
      <c r="L1855" s="1" t="str">
        <f>"2017-03-27 18:51:43"</f>
        <v>2017-03-27 18:51:43</v>
      </c>
      <c r="M1855" s="2">
        <v>5.9027777777777776E-3</v>
      </c>
      <c r="N1855" s="1" t="s">
        <v>26</v>
      </c>
      <c r="O1855" s="1" t="s">
        <v>27</v>
      </c>
      <c r="P1855" s="2">
        <v>5.9722222222222225E-3</v>
      </c>
      <c r="Q1855" s="1" t="s">
        <v>1366</v>
      </c>
      <c r="R1855" s="1">
        <v>0</v>
      </c>
      <c r="S1855" s="1" t="str">
        <f>""</f>
        <v/>
      </c>
      <c r="T1855" s="1" t="s">
        <v>29</v>
      </c>
      <c r="U1855" s="1" t="s">
        <v>30</v>
      </c>
      <c r="V1855" s="1">
        <v>0</v>
      </c>
    </row>
    <row r="1856" spans="2:22" x14ac:dyDescent="0.15">
      <c r="B1856" s="1" t="str">
        <f>"138****6122"</f>
        <v>138****6122</v>
      </c>
      <c r="C1856" s="1" t="s">
        <v>23</v>
      </c>
      <c r="D1856" s="1" t="str">
        <f t="shared" si="180"/>
        <v>89177328</v>
      </c>
      <c r="E1856" s="1" t="s">
        <v>24</v>
      </c>
      <c r="F1856" s="1" t="str">
        <f t="shared" si="182"/>
        <v>0010</v>
      </c>
      <c r="G1856" s="1" t="str">
        <f>""</f>
        <v/>
      </c>
      <c r="H1856" s="1" t="str">
        <f>"0031"</f>
        <v>0031</v>
      </c>
      <c r="I1856" s="1" t="s">
        <v>95</v>
      </c>
      <c r="J1856" s="1" t="str">
        <f>"01043977565"</f>
        <v>01043977565</v>
      </c>
      <c r="K1856" s="1" t="str">
        <f>"2017-03-27 18:38:04"</f>
        <v>2017-03-27 18:38:04</v>
      </c>
      <c r="L1856" s="1" t="str">
        <f>"2017-03-27 18:40:15"</f>
        <v>2017-03-27 18:40:15</v>
      </c>
      <c r="M1856" s="2">
        <v>7.3148148148148148E-3</v>
      </c>
      <c r="N1856" s="1" t="s">
        <v>26</v>
      </c>
      <c r="O1856" s="1" t="s">
        <v>27</v>
      </c>
      <c r="P1856" s="2">
        <v>8.8310185185185176E-3</v>
      </c>
      <c r="Q1856" s="1" t="s">
        <v>1367</v>
      </c>
      <c r="R1856" s="1">
        <v>0</v>
      </c>
      <c r="S1856" s="1" t="str">
        <f>""</f>
        <v/>
      </c>
      <c r="T1856" s="1" t="s">
        <v>29</v>
      </c>
      <c r="U1856" s="1" t="s">
        <v>30</v>
      </c>
      <c r="V1856" s="1">
        <v>0</v>
      </c>
    </row>
    <row r="1857" spans="2:22" x14ac:dyDescent="0.15">
      <c r="B1857" s="1" t="str">
        <f>"137****0126"</f>
        <v>137****0126</v>
      </c>
      <c r="C1857" s="1" t="s">
        <v>44</v>
      </c>
      <c r="D1857" s="1" t="str">
        <f t="shared" si="180"/>
        <v>89177328</v>
      </c>
      <c r="E1857" s="1" t="s">
        <v>24</v>
      </c>
      <c r="F1857" s="1" t="str">
        <f t="shared" si="182"/>
        <v>0010</v>
      </c>
      <c r="G1857" s="1" t="str">
        <f>""</f>
        <v/>
      </c>
      <c r="H1857" s="1" t="str">
        <f>"0031"</f>
        <v>0031</v>
      </c>
      <c r="I1857" s="1" t="s">
        <v>95</v>
      </c>
      <c r="J1857" s="1" t="str">
        <f>"01043977565"</f>
        <v>01043977565</v>
      </c>
      <c r="K1857" s="1" t="str">
        <f>"2017-03-27 18:31:36"</f>
        <v>2017-03-27 18:31:36</v>
      </c>
      <c r="L1857" s="1" t="str">
        <f>"2017-03-27 18:31:45"</f>
        <v>2017-03-27 18:31:45</v>
      </c>
      <c r="M1857" s="2">
        <v>5.7175925925925927E-3</v>
      </c>
      <c r="N1857" s="1" t="s">
        <v>26</v>
      </c>
      <c r="O1857" s="1" t="s">
        <v>27</v>
      </c>
      <c r="P1857" s="2">
        <v>5.8217592592592592E-3</v>
      </c>
      <c r="Q1857" s="1" t="s">
        <v>1368</v>
      </c>
      <c r="R1857" s="1">
        <v>0</v>
      </c>
      <c r="S1857" s="1" t="str">
        <f>""</f>
        <v/>
      </c>
      <c r="T1857" s="1" t="s">
        <v>29</v>
      </c>
      <c r="U1857" s="1" t="s">
        <v>30</v>
      </c>
      <c r="V1857" s="1">
        <v>0</v>
      </c>
    </row>
    <row r="1858" spans="2:22" x14ac:dyDescent="0.15">
      <c r="B1858" s="1" t="str">
        <f>"136****1335"</f>
        <v>136****1335</v>
      </c>
      <c r="C1858" s="1" t="s">
        <v>23</v>
      </c>
      <c r="D1858" s="1" t="str">
        <f t="shared" si="180"/>
        <v>89177328</v>
      </c>
      <c r="E1858" s="1" t="s">
        <v>24</v>
      </c>
      <c r="F1858" s="1" t="str">
        <f t="shared" si="182"/>
        <v>0010</v>
      </c>
      <c r="G1858" s="1" t="str">
        <f>""</f>
        <v/>
      </c>
      <c r="H1858" s="1" t="str">
        <f>"0018"</f>
        <v>0018</v>
      </c>
      <c r="I1858" s="1" t="s">
        <v>36</v>
      </c>
      <c r="J1858" s="1" t="str">
        <f>"01043989718"</f>
        <v>01043989718</v>
      </c>
      <c r="K1858" s="1" t="str">
        <f>"2017-03-27 18:14:33"</f>
        <v>2017-03-27 18:14:33</v>
      </c>
      <c r="L1858" s="1" t="str">
        <f>"2017-03-27 18:14:40"</f>
        <v>2017-03-27 18:14:40</v>
      </c>
      <c r="M1858" s="2">
        <v>3.8194444444444446E-4</v>
      </c>
      <c r="N1858" s="1" t="s">
        <v>26</v>
      </c>
      <c r="O1858" s="1" t="s">
        <v>34</v>
      </c>
      <c r="P1858" s="2">
        <v>4.6296296296296293E-4</v>
      </c>
      <c r="Q1858" s="1" t="s">
        <v>1369</v>
      </c>
      <c r="R1858" s="1">
        <v>0</v>
      </c>
      <c r="S1858" s="1" t="str">
        <f>""</f>
        <v/>
      </c>
      <c r="T1858" s="1" t="s">
        <v>29</v>
      </c>
      <c r="U1858" s="1" t="s">
        <v>30</v>
      </c>
      <c r="V1858" s="1">
        <v>0</v>
      </c>
    </row>
    <row r="1859" spans="2:22" x14ac:dyDescent="0.15">
      <c r="B1859" s="1" t="str">
        <f>"159****3245"</f>
        <v>159****3245</v>
      </c>
      <c r="C1859" s="1" t="s">
        <v>458</v>
      </c>
      <c r="D1859" s="1" t="str">
        <f t="shared" si="180"/>
        <v>89177328</v>
      </c>
      <c r="E1859" s="1" t="s">
        <v>24</v>
      </c>
      <c r="F1859" s="1" t="str">
        <f t="shared" si="182"/>
        <v>0010</v>
      </c>
      <c r="G1859" s="1" t="str">
        <f>""</f>
        <v/>
      </c>
      <c r="H1859" s="1" t="str">
        <f>"0017"</f>
        <v>0017</v>
      </c>
      <c r="I1859" s="1" t="s">
        <v>135</v>
      </c>
      <c r="J1859" s="1" t="str">
        <f>"01043989717"</f>
        <v>01043989717</v>
      </c>
      <c r="K1859" s="1" t="str">
        <f>"2017-03-27 18:08:43"</f>
        <v>2017-03-27 18:08:43</v>
      </c>
      <c r="L1859" s="1" t="str">
        <f>"2017-03-27 18:08:49"</f>
        <v>2017-03-27 18:08:49</v>
      </c>
      <c r="M1859" s="2">
        <v>5.3819444444444453E-3</v>
      </c>
      <c r="N1859" s="1" t="s">
        <v>26</v>
      </c>
      <c r="O1859" s="1" t="s">
        <v>27</v>
      </c>
      <c r="P1859" s="2">
        <v>5.4513888888888884E-3</v>
      </c>
      <c r="Q1859" s="1" t="s">
        <v>1370</v>
      </c>
      <c r="R1859" s="1">
        <v>0</v>
      </c>
      <c r="S1859" s="1" t="str">
        <f>""</f>
        <v/>
      </c>
      <c r="T1859" s="1" t="s">
        <v>29</v>
      </c>
      <c r="U1859" s="1" t="s">
        <v>30</v>
      </c>
      <c r="V1859" s="1">
        <v>0</v>
      </c>
    </row>
    <row r="1860" spans="2:22" x14ac:dyDescent="0.15">
      <c r="B1860" s="1" t="str">
        <f>"186****8183"</f>
        <v>186****8183</v>
      </c>
      <c r="C1860" s="1" t="s">
        <v>23</v>
      </c>
      <c r="D1860" s="1" t="str">
        <f t="shared" si="180"/>
        <v>89177328</v>
      </c>
      <c r="E1860" s="1" t="s">
        <v>24</v>
      </c>
      <c r="F1860" s="1" t="str">
        <f t="shared" si="182"/>
        <v>0010</v>
      </c>
      <c r="G1860" s="1" t="str">
        <f>""</f>
        <v/>
      </c>
      <c r="H1860" s="1" t="str">
        <f>"0018"</f>
        <v>0018</v>
      </c>
      <c r="I1860" s="1" t="s">
        <v>36</v>
      </c>
      <c r="J1860" s="1" t="str">
        <f>"01043989718"</f>
        <v>01043989718</v>
      </c>
      <c r="K1860" s="1" t="str">
        <f>"2017-03-27 17:53:08"</f>
        <v>2017-03-27 17:53:08</v>
      </c>
      <c r="L1860" s="1" t="str">
        <f>"2017-03-27 17:53:16"</f>
        <v>2017-03-27 17:53:16</v>
      </c>
      <c r="M1860" s="2">
        <v>9.1550925925925931E-3</v>
      </c>
      <c r="N1860" s="1" t="s">
        <v>26</v>
      </c>
      <c r="O1860" s="1" t="s">
        <v>34</v>
      </c>
      <c r="P1860" s="2">
        <v>9.2476851851851852E-3</v>
      </c>
      <c r="Q1860" s="1" t="s">
        <v>1371</v>
      </c>
      <c r="R1860" s="1">
        <v>0</v>
      </c>
      <c r="S1860" s="1" t="str">
        <f>""</f>
        <v/>
      </c>
      <c r="T1860" s="1" t="s">
        <v>29</v>
      </c>
      <c r="U1860" s="1" t="s">
        <v>30</v>
      </c>
      <c r="V1860" s="1">
        <v>0</v>
      </c>
    </row>
    <row r="1861" spans="2:22" x14ac:dyDescent="0.15">
      <c r="B1861" s="1" t="str">
        <f>"010****8809"</f>
        <v>010****8809</v>
      </c>
      <c r="C1861" s="1" t="s">
        <v>23</v>
      </c>
      <c r="D1861" s="1" t="str">
        <f t="shared" si="180"/>
        <v>89177328</v>
      </c>
      <c r="E1861" s="1" t="s">
        <v>24</v>
      </c>
      <c r="F1861" s="1" t="str">
        <f t="shared" si="182"/>
        <v>0010</v>
      </c>
      <c r="G1861" s="1" t="str">
        <f>""</f>
        <v/>
      </c>
      <c r="H1861" s="1" t="str">
        <f>"0018"</f>
        <v>0018</v>
      </c>
      <c r="I1861" s="1" t="s">
        <v>36</v>
      </c>
      <c r="J1861" s="1" t="str">
        <f>"01043989718"</f>
        <v>01043989718</v>
      </c>
      <c r="K1861" s="1" t="str">
        <f>"2017-03-27 17:50:33"</f>
        <v>2017-03-27 17:50:33</v>
      </c>
      <c r="L1861" s="1" t="str">
        <f>"2017-03-27 17:50:42"</f>
        <v>2017-03-27 17:50:42</v>
      </c>
      <c r="M1861" s="2">
        <v>6.7129629629629625E-4</v>
      </c>
      <c r="N1861" s="1" t="s">
        <v>26</v>
      </c>
      <c r="O1861" s="1" t="s">
        <v>34</v>
      </c>
      <c r="P1861" s="2">
        <v>7.7546296296296304E-4</v>
      </c>
      <c r="Q1861" s="1" t="s">
        <v>1372</v>
      </c>
      <c r="R1861" s="1">
        <v>0</v>
      </c>
      <c r="S1861" s="1" t="str">
        <f>""</f>
        <v/>
      </c>
      <c r="T1861" s="1" t="s">
        <v>29</v>
      </c>
      <c r="U1861" s="1" t="s">
        <v>30</v>
      </c>
      <c r="V1861" s="1">
        <v>0</v>
      </c>
    </row>
    <row r="1862" spans="2:22" x14ac:dyDescent="0.15">
      <c r="B1862" s="1" t="str">
        <f>"133****9597"</f>
        <v>133****9597</v>
      </c>
      <c r="C1862" s="1" t="s">
        <v>23</v>
      </c>
      <c r="D1862" s="1" t="str">
        <f t="shared" si="180"/>
        <v>89177328</v>
      </c>
      <c r="E1862" s="1" t="s">
        <v>24</v>
      </c>
      <c r="F1862" s="1" t="str">
        <f t="shared" si="182"/>
        <v>0010</v>
      </c>
      <c r="G1862" s="1" t="str">
        <f>""</f>
        <v/>
      </c>
      <c r="H1862" s="1" t="str">
        <f t="shared" ref="H1862:H1867" si="183">"0017"</f>
        <v>0017</v>
      </c>
      <c r="I1862" s="1" t="s">
        <v>135</v>
      </c>
      <c r="J1862" s="1" t="str">
        <f t="shared" ref="J1862:J1867" si="184">"01043989717"</f>
        <v>01043989717</v>
      </c>
      <c r="K1862" s="1" t="str">
        <f>"2017-03-27 17:17:48"</f>
        <v>2017-03-27 17:17:48</v>
      </c>
      <c r="L1862" s="1" t="str">
        <f t="shared" ref="L1862:L1871" si="185">"-"</f>
        <v>-</v>
      </c>
      <c r="M1862" s="2">
        <v>0</v>
      </c>
      <c r="N1862" s="1" t="s">
        <v>33</v>
      </c>
      <c r="O1862" s="1" t="s">
        <v>34</v>
      </c>
      <c r="P1862" s="2">
        <v>1.5046296296296297E-4</v>
      </c>
      <c r="Q1862" s="1" t="str">
        <f>""</f>
        <v/>
      </c>
      <c r="R1862" s="1">
        <v>0</v>
      </c>
      <c r="S1862" s="1" t="str">
        <f>""</f>
        <v/>
      </c>
      <c r="T1862" s="1" t="s">
        <v>29</v>
      </c>
      <c r="U1862" s="1" t="s">
        <v>30</v>
      </c>
      <c r="V1862" s="1">
        <v>0</v>
      </c>
    </row>
    <row r="1863" spans="2:22" x14ac:dyDescent="0.15">
      <c r="B1863" s="1" t="str">
        <f>"183****4280"</f>
        <v>183****4280</v>
      </c>
      <c r="C1863" s="1" t="s">
        <v>23</v>
      </c>
      <c r="D1863" s="1" t="str">
        <f t="shared" si="180"/>
        <v>89177328</v>
      </c>
      <c r="E1863" s="1" t="s">
        <v>24</v>
      </c>
      <c r="F1863" s="1" t="str">
        <f t="shared" si="182"/>
        <v>0010</v>
      </c>
      <c r="G1863" s="1" t="str">
        <f>""</f>
        <v/>
      </c>
      <c r="H1863" s="1" t="str">
        <f t="shared" si="183"/>
        <v>0017</v>
      </c>
      <c r="I1863" s="1" t="s">
        <v>135</v>
      </c>
      <c r="J1863" s="1" t="str">
        <f t="shared" si="184"/>
        <v>01043989717</v>
      </c>
      <c r="K1863" s="1" t="str">
        <f>"2017-03-27 17:17:04"</f>
        <v>2017-03-27 17:17:04</v>
      </c>
      <c r="L1863" s="1" t="str">
        <f t="shared" si="185"/>
        <v>-</v>
      </c>
      <c r="M1863" s="2">
        <v>0</v>
      </c>
      <c r="N1863" s="1" t="s">
        <v>33</v>
      </c>
      <c r="O1863" s="1" t="s">
        <v>34</v>
      </c>
      <c r="P1863" s="2">
        <v>3.4722222222222222E-5</v>
      </c>
      <c r="Q1863" s="1" t="str">
        <f>""</f>
        <v/>
      </c>
      <c r="R1863" s="1">
        <v>0</v>
      </c>
      <c r="S1863" s="1" t="str">
        <f>""</f>
        <v/>
      </c>
      <c r="T1863" s="1" t="s">
        <v>29</v>
      </c>
      <c r="U1863" s="1" t="s">
        <v>30</v>
      </c>
      <c r="V1863" s="1">
        <v>0</v>
      </c>
    </row>
    <row r="1864" spans="2:22" x14ac:dyDescent="0.15">
      <c r="B1864" s="1" t="str">
        <f>"116114"</f>
        <v>116114</v>
      </c>
      <c r="C1864" s="1" t="s">
        <v>159</v>
      </c>
      <c r="D1864" s="1" t="str">
        <f t="shared" si="180"/>
        <v>89177328</v>
      </c>
      <c r="E1864" s="1" t="s">
        <v>24</v>
      </c>
      <c r="F1864" s="1" t="str">
        <f t="shared" si="182"/>
        <v>0010</v>
      </c>
      <c r="G1864" s="1" t="str">
        <f>""</f>
        <v/>
      </c>
      <c r="H1864" s="1" t="str">
        <f t="shared" si="183"/>
        <v>0017</v>
      </c>
      <c r="I1864" s="1" t="s">
        <v>135</v>
      </c>
      <c r="J1864" s="1" t="str">
        <f t="shared" si="184"/>
        <v>01043989717</v>
      </c>
      <c r="K1864" s="1" t="str">
        <f>"2017-03-27 17:16:47"</f>
        <v>2017-03-27 17:16:47</v>
      </c>
      <c r="L1864" s="1" t="str">
        <f t="shared" si="185"/>
        <v>-</v>
      </c>
      <c r="M1864" s="2">
        <v>0</v>
      </c>
      <c r="N1864" s="1" t="s">
        <v>33</v>
      </c>
      <c r="O1864" s="1" t="s">
        <v>34</v>
      </c>
      <c r="P1864" s="2">
        <v>5.7870370370370366E-5</v>
      </c>
      <c r="Q1864" s="1" t="str">
        <f>""</f>
        <v/>
      </c>
      <c r="R1864" s="1">
        <v>0</v>
      </c>
      <c r="S1864" s="1" t="str">
        <f>""</f>
        <v/>
      </c>
      <c r="T1864" s="1" t="s">
        <v>29</v>
      </c>
      <c r="U1864" s="1" t="s">
        <v>30</v>
      </c>
      <c r="V1864" s="1">
        <v>0</v>
      </c>
    </row>
    <row r="1865" spans="2:22" x14ac:dyDescent="0.15">
      <c r="B1865" s="1" t="str">
        <f>"157****4678"</f>
        <v>157****4678</v>
      </c>
      <c r="C1865" s="1" t="s">
        <v>23</v>
      </c>
      <c r="D1865" s="1" t="str">
        <f t="shared" si="180"/>
        <v>89177328</v>
      </c>
      <c r="E1865" s="1" t="s">
        <v>24</v>
      </c>
      <c r="F1865" s="1" t="str">
        <f t="shared" si="182"/>
        <v>0010</v>
      </c>
      <c r="G1865" s="1" t="str">
        <f>""</f>
        <v/>
      </c>
      <c r="H1865" s="1" t="str">
        <f t="shared" si="183"/>
        <v>0017</v>
      </c>
      <c r="I1865" s="1" t="s">
        <v>135</v>
      </c>
      <c r="J1865" s="1" t="str">
        <f t="shared" si="184"/>
        <v>01043989717</v>
      </c>
      <c r="K1865" s="1" t="str">
        <f>"2017-03-27 17:16:16"</f>
        <v>2017-03-27 17:16:16</v>
      </c>
      <c r="L1865" s="1" t="str">
        <f t="shared" si="185"/>
        <v>-</v>
      </c>
      <c r="M1865" s="2">
        <v>0</v>
      </c>
      <c r="N1865" s="1" t="s">
        <v>33</v>
      </c>
      <c r="O1865" s="1" t="s">
        <v>34</v>
      </c>
      <c r="P1865" s="2">
        <v>2.3148148148148147E-5</v>
      </c>
      <c r="Q1865" s="1" t="str">
        <f>""</f>
        <v/>
      </c>
      <c r="R1865" s="1">
        <v>0</v>
      </c>
      <c r="S1865" s="1" t="str">
        <f>""</f>
        <v/>
      </c>
      <c r="T1865" s="1" t="s">
        <v>29</v>
      </c>
      <c r="U1865" s="1" t="s">
        <v>30</v>
      </c>
      <c r="V1865" s="1">
        <v>0</v>
      </c>
    </row>
    <row r="1866" spans="2:22" x14ac:dyDescent="0.15">
      <c r="B1866" s="1" t="str">
        <f>"133****9597"</f>
        <v>133****9597</v>
      </c>
      <c r="C1866" s="1" t="s">
        <v>23</v>
      </c>
      <c r="D1866" s="1" t="str">
        <f t="shared" si="180"/>
        <v>89177328</v>
      </c>
      <c r="E1866" s="1" t="s">
        <v>24</v>
      </c>
      <c r="F1866" s="1" t="str">
        <f t="shared" si="182"/>
        <v>0010</v>
      </c>
      <c r="G1866" s="1" t="str">
        <f>""</f>
        <v/>
      </c>
      <c r="H1866" s="1" t="str">
        <f t="shared" si="183"/>
        <v>0017</v>
      </c>
      <c r="I1866" s="1" t="s">
        <v>135</v>
      </c>
      <c r="J1866" s="1" t="str">
        <f t="shared" si="184"/>
        <v>01043989717</v>
      </c>
      <c r="K1866" s="1" t="str">
        <f>"2017-03-27 17:15:59"</f>
        <v>2017-03-27 17:15:59</v>
      </c>
      <c r="L1866" s="1" t="str">
        <f t="shared" si="185"/>
        <v>-</v>
      </c>
      <c r="M1866" s="2">
        <v>0</v>
      </c>
      <c r="N1866" s="1" t="s">
        <v>33</v>
      </c>
      <c r="O1866" s="1" t="s">
        <v>34</v>
      </c>
      <c r="P1866" s="2">
        <v>5.7870370370370366E-5</v>
      </c>
      <c r="Q1866" s="1" t="str">
        <f>""</f>
        <v/>
      </c>
      <c r="R1866" s="1">
        <v>0</v>
      </c>
      <c r="S1866" s="1" t="str">
        <f>""</f>
        <v/>
      </c>
      <c r="T1866" s="1" t="s">
        <v>29</v>
      </c>
      <c r="U1866" s="1" t="s">
        <v>30</v>
      </c>
      <c r="V1866" s="1">
        <v>0</v>
      </c>
    </row>
    <row r="1867" spans="2:22" x14ac:dyDescent="0.15">
      <c r="B1867" s="1" t="str">
        <f>"183****4280"</f>
        <v>183****4280</v>
      </c>
      <c r="C1867" s="1" t="s">
        <v>23</v>
      </c>
      <c r="D1867" s="1" t="str">
        <f t="shared" si="180"/>
        <v>89177328</v>
      </c>
      <c r="E1867" s="1" t="s">
        <v>24</v>
      </c>
      <c r="F1867" s="1" t="str">
        <f t="shared" si="182"/>
        <v>0010</v>
      </c>
      <c r="G1867" s="1" t="str">
        <f>""</f>
        <v/>
      </c>
      <c r="H1867" s="1" t="str">
        <f t="shared" si="183"/>
        <v>0017</v>
      </c>
      <c r="I1867" s="1" t="s">
        <v>135</v>
      </c>
      <c r="J1867" s="1" t="str">
        <f t="shared" si="184"/>
        <v>01043989717</v>
      </c>
      <c r="K1867" s="1" t="str">
        <f>"2017-03-27 17:15:15"</f>
        <v>2017-03-27 17:15:15</v>
      </c>
      <c r="L1867" s="1" t="str">
        <f t="shared" si="185"/>
        <v>-</v>
      </c>
      <c r="M1867" s="2">
        <v>0</v>
      </c>
      <c r="N1867" s="1" t="s">
        <v>33</v>
      </c>
      <c r="O1867" s="1" t="s">
        <v>34</v>
      </c>
      <c r="P1867" s="2">
        <v>4.6296296296296294E-5</v>
      </c>
      <c r="Q1867" s="1" t="str">
        <f>""</f>
        <v/>
      </c>
      <c r="R1867" s="1">
        <v>0</v>
      </c>
      <c r="S1867" s="1" t="str">
        <f>""</f>
        <v/>
      </c>
      <c r="T1867" s="1" t="s">
        <v>29</v>
      </c>
      <c r="U1867" s="1" t="s">
        <v>30</v>
      </c>
      <c r="V1867" s="1">
        <v>0</v>
      </c>
    </row>
    <row r="1868" spans="2:22" x14ac:dyDescent="0.15">
      <c r="B1868" s="1" t="str">
        <f>"188****7867"</f>
        <v>188****7867</v>
      </c>
      <c r="C1868" s="1" t="s">
        <v>23</v>
      </c>
      <c r="D1868" s="1" t="str">
        <f t="shared" si="180"/>
        <v>89177328</v>
      </c>
      <c r="E1868" s="1" t="s">
        <v>24</v>
      </c>
      <c r="F1868" s="1" t="str">
        <f t="shared" si="182"/>
        <v>0010</v>
      </c>
      <c r="G1868" s="1" t="str">
        <f>""</f>
        <v/>
      </c>
      <c r="H1868" s="1" t="str">
        <f>"0033"</f>
        <v>0033</v>
      </c>
      <c r="I1868" s="1" t="s">
        <v>106</v>
      </c>
      <c r="J1868" s="1" t="str">
        <f>"01043977567"</f>
        <v>01043977567</v>
      </c>
      <c r="K1868" s="1" t="str">
        <f>"2017-03-27 17:15:05"</f>
        <v>2017-03-27 17:15:05</v>
      </c>
      <c r="L1868" s="1" t="str">
        <f t="shared" si="185"/>
        <v>-</v>
      </c>
      <c r="M1868" s="2">
        <v>0</v>
      </c>
      <c r="N1868" s="1" t="s">
        <v>33</v>
      </c>
      <c r="O1868" s="1" t="s">
        <v>34</v>
      </c>
      <c r="P1868" s="2">
        <v>6.9444444444444444E-5</v>
      </c>
      <c r="Q1868" s="1" t="str">
        <f>""</f>
        <v/>
      </c>
      <c r="R1868" s="1">
        <v>0</v>
      </c>
      <c r="S1868" s="1" t="str">
        <f>""</f>
        <v/>
      </c>
      <c r="T1868" s="1" t="s">
        <v>29</v>
      </c>
      <c r="U1868" s="1" t="s">
        <v>30</v>
      </c>
      <c r="V1868" s="1">
        <v>0</v>
      </c>
    </row>
    <row r="1869" spans="2:22" x14ac:dyDescent="0.15">
      <c r="B1869" s="1" t="str">
        <f>"157****4678"</f>
        <v>157****4678</v>
      </c>
      <c r="C1869" s="1" t="s">
        <v>23</v>
      </c>
      <c r="D1869" s="1" t="str">
        <f t="shared" si="180"/>
        <v>89177328</v>
      </c>
      <c r="E1869" s="1" t="s">
        <v>24</v>
      </c>
      <c r="F1869" s="1" t="str">
        <f t="shared" si="182"/>
        <v>0010</v>
      </c>
      <c r="G1869" s="1" t="str">
        <f>""</f>
        <v/>
      </c>
      <c r="H1869" s="1" t="str">
        <f>"0017"</f>
        <v>0017</v>
      </c>
      <c r="I1869" s="1" t="s">
        <v>135</v>
      </c>
      <c r="J1869" s="1" t="str">
        <f>"01043989717"</f>
        <v>01043989717</v>
      </c>
      <c r="K1869" s="1" t="str">
        <f>"2017-03-27 17:14:03"</f>
        <v>2017-03-27 17:14:03</v>
      </c>
      <c r="L1869" s="1" t="str">
        <f t="shared" si="185"/>
        <v>-</v>
      </c>
      <c r="M1869" s="2">
        <v>0</v>
      </c>
      <c r="N1869" s="1" t="s">
        <v>33</v>
      </c>
      <c r="O1869" s="1" t="s">
        <v>34</v>
      </c>
      <c r="P1869" s="2">
        <v>6.9444444444444444E-5</v>
      </c>
      <c r="Q1869" s="1" t="str">
        <f>""</f>
        <v/>
      </c>
      <c r="R1869" s="1">
        <v>0</v>
      </c>
      <c r="S1869" s="1" t="str">
        <f>""</f>
        <v/>
      </c>
      <c r="T1869" s="1" t="s">
        <v>29</v>
      </c>
      <c r="U1869" s="1" t="s">
        <v>30</v>
      </c>
      <c r="V1869" s="1">
        <v>0</v>
      </c>
    </row>
    <row r="1870" spans="2:22" x14ac:dyDescent="0.15">
      <c r="B1870" s="1" t="str">
        <f>"133****9597"</f>
        <v>133****9597</v>
      </c>
      <c r="C1870" s="1" t="s">
        <v>23</v>
      </c>
      <c r="D1870" s="1" t="str">
        <f t="shared" si="180"/>
        <v>89177328</v>
      </c>
      <c r="E1870" s="1" t="s">
        <v>24</v>
      </c>
      <c r="F1870" s="1" t="str">
        <f t="shared" si="182"/>
        <v>0010</v>
      </c>
      <c r="G1870" s="1" t="str">
        <f>""</f>
        <v/>
      </c>
      <c r="H1870" s="1" t="str">
        <f>"0017"</f>
        <v>0017</v>
      </c>
      <c r="I1870" s="1" t="s">
        <v>135</v>
      </c>
      <c r="J1870" s="1" t="str">
        <f>"01043989717"</f>
        <v>01043989717</v>
      </c>
      <c r="K1870" s="1" t="str">
        <f>"2017-03-27 17:13:37"</f>
        <v>2017-03-27 17:13:37</v>
      </c>
      <c r="L1870" s="1" t="str">
        <f t="shared" si="185"/>
        <v>-</v>
      </c>
      <c r="M1870" s="2">
        <v>0</v>
      </c>
      <c r="N1870" s="1" t="s">
        <v>33</v>
      </c>
      <c r="O1870" s="1" t="s">
        <v>34</v>
      </c>
      <c r="P1870" s="2">
        <v>6.9444444444444444E-5</v>
      </c>
      <c r="Q1870" s="1" t="str">
        <f>""</f>
        <v/>
      </c>
      <c r="R1870" s="1">
        <v>0</v>
      </c>
      <c r="S1870" s="1" t="str">
        <f>""</f>
        <v/>
      </c>
      <c r="T1870" s="1" t="s">
        <v>29</v>
      </c>
      <c r="U1870" s="1" t="s">
        <v>30</v>
      </c>
      <c r="V1870" s="1">
        <v>0</v>
      </c>
    </row>
    <row r="1871" spans="2:22" x14ac:dyDescent="0.15">
      <c r="B1871" s="1" t="str">
        <f>"188****7867"</f>
        <v>188****7867</v>
      </c>
      <c r="C1871" s="1" t="s">
        <v>23</v>
      </c>
      <c r="D1871" s="1" t="str">
        <f t="shared" si="180"/>
        <v>89177328</v>
      </c>
      <c r="E1871" s="1" t="s">
        <v>24</v>
      </c>
      <c r="F1871" s="1" t="str">
        <f t="shared" si="182"/>
        <v>0010</v>
      </c>
      <c r="G1871" s="1" t="str">
        <f>""</f>
        <v/>
      </c>
      <c r="H1871" s="1" t="str">
        <f>"0017"</f>
        <v>0017</v>
      </c>
      <c r="I1871" s="1" t="s">
        <v>135</v>
      </c>
      <c r="J1871" s="1" t="str">
        <f>"01043989717"</f>
        <v>01043989717</v>
      </c>
      <c r="K1871" s="1" t="str">
        <f>"2017-03-27 17:12:53"</f>
        <v>2017-03-27 17:12:53</v>
      </c>
      <c r="L1871" s="1" t="str">
        <f t="shared" si="185"/>
        <v>-</v>
      </c>
      <c r="M1871" s="2">
        <v>0</v>
      </c>
      <c r="N1871" s="1" t="s">
        <v>33</v>
      </c>
      <c r="O1871" s="1" t="s">
        <v>34</v>
      </c>
      <c r="P1871" s="2">
        <v>2.3148148148148147E-5</v>
      </c>
      <c r="Q1871" s="1" t="str">
        <f>""</f>
        <v/>
      </c>
      <c r="R1871" s="1">
        <v>0</v>
      </c>
      <c r="S1871" s="1" t="str">
        <f>""</f>
        <v/>
      </c>
      <c r="T1871" s="1" t="s">
        <v>29</v>
      </c>
      <c r="U1871" s="1" t="s">
        <v>30</v>
      </c>
      <c r="V1871" s="1">
        <v>0</v>
      </c>
    </row>
    <row r="1872" spans="2:22" x14ac:dyDescent="0.15">
      <c r="B1872" s="1" t="str">
        <f>"133****7038"</f>
        <v>133****7038</v>
      </c>
      <c r="C1872" s="1" t="s">
        <v>23</v>
      </c>
      <c r="D1872" s="1" t="str">
        <f t="shared" si="180"/>
        <v>89177328</v>
      </c>
      <c r="E1872" s="1" t="s">
        <v>24</v>
      </c>
      <c r="F1872" s="1" t="str">
        <f t="shared" si="182"/>
        <v>0010</v>
      </c>
      <c r="G1872" s="1" t="str">
        <f>""</f>
        <v/>
      </c>
      <c r="H1872" s="1" t="str">
        <f t="shared" ref="H1872:H1880" si="186">"0033"</f>
        <v>0033</v>
      </c>
      <c r="I1872" s="1" t="s">
        <v>106</v>
      </c>
      <c r="J1872" s="1" t="str">
        <f t="shared" ref="J1872:J1880" si="187">"01043977567"</f>
        <v>01043977567</v>
      </c>
      <c r="K1872" s="1" t="str">
        <f>"2017-03-27 17:11:44"</f>
        <v>2017-03-27 17:11:44</v>
      </c>
      <c r="L1872" s="1" t="str">
        <f>"2017-03-27 17:12:04"</f>
        <v>2017-03-27 17:12:04</v>
      </c>
      <c r="M1872" s="2">
        <v>1.9328703703703704E-3</v>
      </c>
      <c r="N1872" s="1" t="s">
        <v>26</v>
      </c>
      <c r="O1872" s="1" t="s">
        <v>27</v>
      </c>
      <c r="P1872" s="2">
        <v>2.1643518518518518E-3</v>
      </c>
      <c r="Q1872" s="1" t="s">
        <v>1373</v>
      </c>
      <c r="R1872" s="1">
        <v>0</v>
      </c>
      <c r="S1872" s="1" t="str">
        <f>""</f>
        <v/>
      </c>
      <c r="T1872" s="1" t="s">
        <v>29</v>
      </c>
      <c r="U1872" s="1" t="s">
        <v>30</v>
      </c>
      <c r="V1872" s="1">
        <v>0</v>
      </c>
    </row>
    <row r="1873" spans="2:22" x14ac:dyDescent="0.15">
      <c r="B1873" s="1" t="str">
        <f>"130****5656"</f>
        <v>130****5656</v>
      </c>
      <c r="C1873" s="1" t="s">
        <v>112</v>
      </c>
      <c r="D1873" s="1" t="str">
        <f t="shared" si="180"/>
        <v>89177328</v>
      </c>
      <c r="E1873" s="1" t="s">
        <v>24</v>
      </c>
      <c r="F1873" s="1" t="str">
        <f t="shared" si="182"/>
        <v>0010</v>
      </c>
      <c r="G1873" s="1" t="str">
        <f>""</f>
        <v/>
      </c>
      <c r="H1873" s="1" t="str">
        <f t="shared" si="186"/>
        <v>0033</v>
      </c>
      <c r="I1873" s="1" t="s">
        <v>106</v>
      </c>
      <c r="J1873" s="1" t="str">
        <f t="shared" si="187"/>
        <v>01043977567</v>
      </c>
      <c r="K1873" s="1" t="str">
        <f>"2017-03-27 17:11:11"</f>
        <v>2017-03-27 17:11:11</v>
      </c>
      <c r="L1873" s="1" t="str">
        <f t="shared" ref="L1873:L1885" si="188">"-"</f>
        <v>-</v>
      </c>
      <c r="M1873" s="2">
        <v>0</v>
      </c>
      <c r="N1873" s="1" t="s">
        <v>33</v>
      </c>
      <c r="O1873" s="1" t="s">
        <v>34</v>
      </c>
      <c r="P1873" s="2">
        <v>8.1018518518518516E-5</v>
      </c>
      <c r="Q1873" s="1" t="str">
        <f>""</f>
        <v/>
      </c>
      <c r="R1873" s="1">
        <v>0</v>
      </c>
      <c r="S1873" s="1" t="str">
        <f>""</f>
        <v/>
      </c>
      <c r="T1873" s="1" t="s">
        <v>29</v>
      </c>
      <c r="U1873" s="1" t="s">
        <v>30</v>
      </c>
      <c r="V1873" s="1">
        <v>0</v>
      </c>
    </row>
    <row r="1874" spans="2:22" x14ac:dyDescent="0.15">
      <c r="B1874" s="1" t="str">
        <f>"188****7867"</f>
        <v>188****7867</v>
      </c>
      <c r="C1874" s="1" t="s">
        <v>23</v>
      </c>
      <c r="D1874" s="1" t="str">
        <f t="shared" si="180"/>
        <v>89177328</v>
      </c>
      <c r="E1874" s="1" t="s">
        <v>24</v>
      </c>
      <c r="F1874" s="1" t="str">
        <f t="shared" si="182"/>
        <v>0010</v>
      </c>
      <c r="G1874" s="1" t="str">
        <f>""</f>
        <v/>
      </c>
      <c r="H1874" s="1" t="str">
        <f t="shared" si="186"/>
        <v>0033</v>
      </c>
      <c r="I1874" s="1" t="s">
        <v>106</v>
      </c>
      <c r="J1874" s="1" t="str">
        <f t="shared" si="187"/>
        <v>01043977567</v>
      </c>
      <c r="K1874" s="1" t="str">
        <f>"2017-03-27 17:10:34"</f>
        <v>2017-03-27 17:10:34</v>
      </c>
      <c r="L1874" s="1" t="str">
        <f t="shared" si="188"/>
        <v>-</v>
      </c>
      <c r="M1874" s="2">
        <v>0</v>
      </c>
      <c r="N1874" s="1" t="s">
        <v>33</v>
      </c>
      <c r="O1874" s="1" t="s">
        <v>34</v>
      </c>
      <c r="P1874" s="2">
        <v>8.1018518518518516E-5</v>
      </c>
      <c r="Q1874" s="1" t="str">
        <f>""</f>
        <v/>
      </c>
      <c r="R1874" s="1">
        <v>0</v>
      </c>
      <c r="S1874" s="1" t="str">
        <f>""</f>
        <v/>
      </c>
      <c r="T1874" s="1" t="s">
        <v>29</v>
      </c>
      <c r="U1874" s="1" t="s">
        <v>30</v>
      </c>
      <c r="V1874" s="1">
        <v>0</v>
      </c>
    </row>
    <row r="1875" spans="2:22" x14ac:dyDescent="0.15">
      <c r="B1875" s="1" t="str">
        <f>"183****4280"</f>
        <v>183****4280</v>
      </c>
      <c r="C1875" s="1" t="s">
        <v>23</v>
      </c>
      <c r="D1875" s="1" t="str">
        <f t="shared" si="180"/>
        <v>89177328</v>
      </c>
      <c r="E1875" s="1" t="s">
        <v>24</v>
      </c>
      <c r="F1875" s="1" t="str">
        <f t="shared" si="182"/>
        <v>0010</v>
      </c>
      <c r="G1875" s="1" t="str">
        <f>""</f>
        <v/>
      </c>
      <c r="H1875" s="1" t="str">
        <f t="shared" si="186"/>
        <v>0033</v>
      </c>
      <c r="I1875" s="1" t="s">
        <v>106</v>
      </c>
      <c r="J1875" s="1" t="str">
        <f t="shared" si="187"/>
        <v>01043977567</v>
      </c>
      <c r="K1875" s="1" t="str">
        <f>"2017-03-27 17:10:28"</f>
        <v>2017-03-27 17:10:28</v>
      </c>
      <c r="L1875" s="1" t="str">
        <f t="shared" si="188"/>
        <v>-</v>
      </c>
      <c r="M1875" s="2">
        <v>0</v>
      </c>
      <c r="N1875" s="1" t="s">
        <v>33</v>
      </c>
      <c r="O1875" s="1" t="s">
        <v>34</v>
      </c>
      <c r="P1875" s="2">
        <v>4.6296296296296294E-5</v>
      </c>
      <c r="Q1875" s="1" t="str">
        <f>""</f>
        <v/>
      </c>
      <c r="R1875" s="1">
        <v>0</v>
      </c>
      <c r="S1875" s="1" t="str">
        <f>""</f>
        <v/>
      </c>
      <c r="T1875" s="1" t="s">
        <v>29</v>
      </c>
      <c r="U1875" s="1" t="s">
        <v>30</v>
      </c>
      <c r="V1875" s="1">
        <v>0</v>
      </c>
    </row>
    <row r="1876" spans="2:22" x14ac:dyDescent="0.15">
      <c r="B1876" s="1" t="str">
        <f>"157****4678"</f>
        <v>157****4678</v>
      </c>
      <c r="C1876" s="1" t="s">
        <v>23</v>
      </c>
      <c r="D1876" s="1" t="str">
        <f t="shared" si="180"/>
        <v>89177328</v>
      </c>
      <c r="E1876" s="1" t="s">
        <v>24</v>
      </c>
      <c r="F1876" s="1" t="str">
        <f t="shared" si="182"/>
        <v>0010</v>
      </c>
      <c r="G1876" s="1" t="str">
        <f>""</f>
        <v/>
      </c>
      <c r="H1876" s="1" t="str">
        <f t="shared" si="186"/>
        <v>0033</v>
      </c>
      <c r="I1876" s="1" t="s">
        <v>106</v>
      </c>
      <c r="J1876" s="1" t="str">
        <f t="shared" si="187"/>
        <v>01043977567</v>
      </c>
      <c r="K1876" s="1" t="str">
        <f>"2017-03-27 17:10:21"</f>
        <v>2017-03-27 17:10:21</v>
      </c>
      <c r="L1876" s="1" t="str">
        <f t="shared" si="188"/>
        <v>-</v>
      </c>
      <c r="M1876" s="2">
        <v>0</v>
      </c>
      <c r="N1876" s="1" t="s">
        <v>33</v>
      </c>
      <c r="O1876" s="1" t="s">
        <v>34</v>
      </c>
      <c r="P1876" s="2">
        <v>2.3148148148148147E-5</v>
      </c>
      <c r="Q1876" s="1" t="str">
        <f>""</f>
        <v/>
      </c>
      <c r="R1876" s="1">
        <v>0</v>
      </c>
      <c r="S1876" s="1" t="str">
        <f>""</f>
        <v/>
      </c>
      <c r="T1876" s="1" t="s">
        <v>29</v>
      </c>
      <c r="U1876" s="1" t="s">
        <v>30</v>
      </c>
      <c r="V1876" s="1">
        <v>0</v>
      </c>
    </row>
    <row r="1877" spans="2:22" x14ac:dyDescent="0.15">
      <c r="B1877" s="1" t="str">
        <f>"133****9597"</f>
        <v>133****9597</v>
      </c>
      <c r="C1877" s="1" t="s">
        <v>23</v>
      </c>
      <c r="D1877" s="1" t="str">
        <f t="shared" si="180"/>
        <v>89177328</v>
      </c>
      <c r="E1877" s="1" t="s">
        <v>24</v>
      </c>
      <c r="F1877" s="1" t="str">
        <f t="shared" si="182"/>
        <v>0010</v>
      </c>
      <c r="G1877" s="1" t="str">
        <f>""</f>
        <v/>
      </c>
      <c r="H1877" s="1" t="str">
        <f t="shared" si="186"/>
        <v>0033</v>
      </c>
      <c r="I1877" s="1" t="s">
        <v>106</v>
      </c>
      <c r="J1877" s="1" t="str">
        <f t="shared" si="187"/>
        <v>01043977567</v>
      </c>
      <c r="K1877" s="1" t="str">
        <f>"2017-03-27 17:10:10"</f>
        <v>2017-03-27 17:10:10</v>
      </c>
      <c r="L1877" s="1" t="str">
        <f t="shared" si="188"/>
        <v>-</v>
      </c>
      <c r="M1877" s="2">
        <v>0</v>
      </c>
      <c r="N1877" s="1" t="s">
        <v>33</v>
      </c>
      <c r="O1877" s="1" t="s">
        <v>34</v>
      </c>
      <c r="P1877" s="2">
        <v>2.3148148148148147E-5</v>
      </c>
      <c r="Q1877" s="1" t="str">
        <f>""</f>
        <v/>
      </c>
      <c r="R1877" s="1">
        <v>0</v>
      </c>
      <c r="S1877" s="1" t="str">
        <f>""</f>
        <v/>
      </c>
      <c r="T1877" s="1" t="s">
        <v>29</v>
      </c>
      <c r="U1877" s="1" t="s">
        <v>30</v>
      </c>
      <c r="V1877" s="1">
        <v>0</v>
      </c>
    </row>
    <row r="1878" spans="2:22" x14ac:dyDescent="0.15">
      <c r="B1878" s="1" t="str">
        <f>"114"</f>
        <v>114</v>
      </c>
      <c r="C1878" s="1" t="s">
        <v>159</v>
      </c>
      <c r="D1878" s="1" t="str">
        <f t="shared" si="180"/>
        <v>89177328</v>
      </c>
      <c r="E1878" s="1" t="s">
        <v>24</v>
      </c>
      <c r="F1878" s="1" t="str">
        <f t="shared" si="182"/>
        <v>0010</v>
      </c>
      <c r="G1878" s="1" t="str">
        <f>""</f>
        <v/>
      </c>
      <c r="H1878" s="1" t="str">
        <f t="shared" si="186"/>
        <v>0033</v>
      </c>
      <c r="I1878" s="1" t="s">
        <v>106</v>
      </c>
      <c r="J1878" s="1" t="str">
        <f t="shared" si="187"/>
        <v>01043977567</v>
      </c>
      <c r="K1878" s="1" t="str">
        <f>"2017-03-27 17:08:59"</f>
        <v>2017-03-27 17:08:59</v>
      </c>
      <c r="L1878" s="1" t="str">
        <f t="shared" si="188"/>
        <v>-</v>
      </c>
      <c r="M1878" s="2">
        <v>0</v>
      </c>
      <c r="N1878" s="1" t="s">
        <v>33</v>
      </c>
      <c r="O1878" s="1" t="s">
        <v>34</v>
      </c>
      <c r="P1878" s="2">
        <v>4.6296296296296294E-5</v>
      </c>
      <c r="Q1878" s="1" t="str">
        <f>""</f>
        <v/>
      </c>
      <c r="R1878" s="1">
        <v>0</v>
      </c>
      <c r="S1878" s="1" t="str">
        <f>""</f>
        <v/>
      </c>
      <c r="T1878" s="1" t="s">
        <v>29</v>
      </c>
      <c r="U1878" s="1" t="s">
        <v>30</v>
      </c>
      <c r="V1878" s="1">
        <v>0</v>
      </c>
    </row>
    <row r="1879" spans="2:22" x14ac:dyDescent="0.15">
      <c r="B1879" s="1" t="str">
        <f>"133****9597"</f>
        <v>133****9597</v>
      </c>
      <c r="C1879" s="1" t="s">
        <v>23</v>
      </c>
      <c r="D1879" s="1" t="str">
        <f t="shared" si="180"/>
        <v>89177328</v>
      </c>
      <c r="E1879" s="1" t="s">
        <v>24</v>
      </c>
      <c r="F1879" s="1" t="str">
        <f t="shared" si="182"/>
        <v>0010</v>
      </c>
      <c r="G1879" s="1" t="str">
        <f>""</f>
        <v/>
      </c>
      <c r="H1879" s="1" t="str">
        <f t="shared" si="186"/>
        <v>0033</v>
      </c>
      <c r="I1879" s="1" t="s">
        <v>106</v>
      </c>
      <c r="J1879" s="1" t="str">
        <f t="shared" si="187"/>
        <v>01043977567</v>
      </c>
      <c r="K1879" s="1" t="str">
        <f>"2017-03-27 17:08:25"</f>
        <v>2017-03-27 17:08:25</v>
      </c>
      <c r="L1879" s="1" t="str">
        <f t="shared" si="188"/>
        <v>-</v>
      </c>
      <c r="M1879" s="2">
        <v>0</v>
      </c>
      <c r="N1879" s="1" t="s">
        <v>33</v>
      </c>
      <c r="O1879" s="1" t="s">
        <v>34</v>
      </c>
      <c r="P1879" s="2">
        <v>5.7870370370370366E-5</v>
      </c>
      <c r="Q1879" s="1" t="str">
        <f>""</f>
        <v/>
      </c>
      <c r="R1879" s="1">
        <v>0</v>
      </c>
      <c r="S1879" s="1" t="str">
        <f>""</f>
        <v/>
      </c>
      <c r="T1879" s="1" t="s">
        <v>29</v>
      </c>
      <c r="U1879" s="1" t="s">
        <v>30</v>
      </c>
      <c r="V1879" s="1">
        <v>0</v>
      </c>
    </row>
    <row r="1880" spans="2:22" x14ac:dyDescent="0.15">
      <c r="B1880" s="1" t="str">
        <f>"157****4678"</f>
        <v>157****4678</v>
      </c>
      <c r="C1880" s="1" t="s">
        <v>23</v>
      </c>
      <c r="D1880" s="1" t="str">
        <f t="shared" si="180"/>
        <v>89177328</v>
      </c>
      <c r="E1880" s="1" t="s">
        <v>24</v>
      </c>
      <c r="F1880" s="1" t="str">
        <f t="shared" si="182"/>
        <v>0010</v>
      </c>
      <c r="G1880" s="1" t="str">
        <f>""</f>
        <v/>
      </c>
      <c r="H1880" s="1" t="str">
        <f t="shared" si="186"/>
        <v>0033</v>
      </c>
      <c r="I1880" s="1" t="s">
        <v>106</v>
      </c>
      <c r="J1880" s="1" t="str">
        <f t="shared" si="187"/>
        <v>01043977567</v>
      </c>
      <c r="K1880" s="1" t="str">
        <f>"2017-03-27 17:08:16"</f>
        <v>2017-03-27 17:08:16</v>
      </c>
      <c r="L1880" s="1" t="str">
        <f t="shared" si="188"/>
        <v>-</v>
      </c>
      <c r="M1880" s="2">
        <v>0</v>
      </c>
      <c r="N1880" s="1" t="s">
        <v>33</v>
      </c>
      <c r="O1880" s="1" t="s">
        <v>34</v>
      </c>
      <c r="P1880" s="2">
        <v>2.3148148148148147E-5</v>
      </c>
      <c r="Q1880" s="1" t="str">
        <f>""</f>
        <v/>
      </c>
      <c r="R1880" s="1">
        <v>0</v>
      </c>
      <c r="S1880" s="1" t="str">
        <f>""</f>
        <v/>
      </c>
      <c r="T1880" s="1" t="s">
        <v>29</v>
      </c>
      <c r="U1880" s="1" t="s">
        <v>30</v>
      </c>
      <c r="V1880" s="1">
        <v>0</v>
      </c>
    </row>
    <row r="1881" spans="2:22" x14ac:dyDescent="0.15">
      <c r="B1881" s="1" t="str">
        <f>"135****9377"</f>
        <v>135****9377</v>
      </c>
      <c r="C1881" s="1" t="s">
        <v>23</v>
      </c>
      <c r="D1881" s="1" t="str">
        <f t="shared" si="180"/>
        <v>89177328</v>
      </c>
      <c r="E1881" s="1" t="str">
        <f>""</f>
        <v/>
      </c>
      <c r="F1881" s="1" t="str">
        <f>""</f>
        <v/>
      </c>
      <c r="G1881" s="1" t="str">
        <f>""</f>
        <v/>
      </c>
      <c r="H1881" s="1" t="str">
        <f>""</f>
        <v/>
      </c>
      <c r="I1881" s="1" t="str">
        <f>""</f>
        <v/>
      </c>
      <c r="J1881" s="1" t="str">
        <f>""</f>
        <v/>
      </c>
      <c r="K1881" s="1" t="str">
        <f>"2017-03-27 17:07:47"</f>
        <v>2017-03-27 17:07:47</v>
      </c>
      <c r="L1881" s="1" t="str">
        <f t="shared" si="188"/>
        <v>-</v>
      </c>
      <c r="M1881" s="2">
        <v>0</v>
      </c>
      <c r="N1881" s="1" t="s">
        <v>393</v>
      </c>
      <c r="O1881" s="1" t="s">
        <v>34</v>
      </c>
      <c r="P1881" s="2">
        <v>1.1574074074074073E-5</v>
      </c>
      <c r="Q1881" s="1" t="str">
        <f>""</f>
        <v/>
      </c>
      <c r="R1881" s="1">
        <v>0</v>
      </c>
      <c r="S1881" s="1" t="str">
        <f>""</f>
        <v/>
      </c>
      <c r="T1881" s="1" t="s">
        <v>29</v>
      </c>
      <c r="U1881" s="1" t="s">
        <v>30</v>
      </c>
      <c r="V1881" s="1">
        <v>0</v>
      </c>
    </row>
    <row r="1882" spans="2:22" x14ac:dyDescent="0.15">
      <c r="B1882" s="1" t="str">
        <f>"188****7867"</f>
        <v>188****7867</v>
      </c>
      <c r="C1882" s="1" t="s">
        <v>23</v>
      </c>
      <c r="D1882" s="1" t="str">
        <f t="shared" si="180"/>
        <v>89177328</v>
      </c>
      <c r="E1882" s="1" t="s">
        <v>24</v>
      </c>
      <c r="F1882" s="1" t="str">
        <f t="shared" ref="F1882:F1905" si="189">"0010"</f>
        <v>0010</v>
      </c>
      <c r="G1882" s="1" t="str">
        <f>""</f>
        <v/>
      </c>
      <c r="H1882" s="1" t="str">
        <f>"0033"</f>
        <v>0033</v>
      </c>
      <c r="I1882" s="1" t="s">
        <v>106</v>
      </c>
      <c r="J1882" s="1" t="str">
        <f>"01043977567"</f>
        <v>01043977567</v>
      </c>
      <c r="K1882" s="1" t="str">
        <f>"2017-03-27 17:07:42"</f>
        <v>2017-03-27 17:07:42</v>
      </c>
      <c r="L1882" s="1" t="str">
        <f t="shared" si="188"/>
        <v>-</v>
      </c>
      <c r="M1882" s="2">
        <v>0</v>
      </c>
      <c r="N1882" s="1" t="s">
        <v>33</v>
      </c>
      <c r="O1882" s="1" t="s">
        <v>34</v>
      </c>
      <c r="P1882" s="2">
        <v>6.9444444444444444E-5</v>
      </c>
      <c r="Q1882" s="1" t="str">
        <f>""</f>
        <v/>
      </c>
      <c r="R1882" s="1">
        <v>0</v>
      </c>
      <c r="S1882" s="1" t="str">
        <f>""</f>
        <v/>
      </c>
      <c r="T1882" s="1" t="s">
        <v>29</v>
      </c>
      <c r="U1882" s="1" t="s">
        <v>30</v>
      </c>
      <c r="V1882" s="1">
        <v>0</v>
      </c>
    </row>
    <row r="1883" spans="2:22" x14ac:dyDescent="0.15">
      <c r="B1883" s="1" t="str">
        <f>"130****5656"</f>
        <v>130****5656</v>
      </c>
      <c r="C1883" s="1" t="s">
        <v>112</v>
      </c>
      <c r="D1883" s="1" t="str">
        <f t="shared" si="180"/>
        <v>89177328</v>
      </c>
      <c r="E1883" s="1" t="s">
        <v>24</v>
      </c>
      <c r="F1883" s="1" t="str">
        <f t="shared" si="189"/>
        <v>0010</v>
      </c>
      <c r="G1883" s="1" t="str">
        <f>""</f>
        <v/>
      </c>
      <c r="H1883" s="1" t="str">
        <f>"0033"</f>
        <v>0033</v>
      </c>
      <c r="I1883" s="1" t="s">
        <v>106</v>
      </c>
      <c r="J1883" s="1" t="str">
        <f>"01043977567"</f>
        <v>01043977567</v>
      </c>
      <c r="K1883" s="1" t="str">
        <f>"2017-03-27 17:07:08"</f>
        <v>2017-03-27 17:07:08</v>
      </c>
      <c r="L1883" s="1" t="str">
        <f t="shared" si="188"/>
        <v>-</v>
      </c>
      <c r="M1883" s="2">
        <v>0</v>
      </c>
      <c r="N1883" s="1" t="s">
        <v>33</v>
      </c>
      <c r="O1883" s="1" t="s">
        <v>34</v>
      </c>
      <c r="P1883" s="2">
        <v>6.9444444444444444E-5</v>
      </c>
      <c r="Q1883" s="1" t="str">
        <f>""</f>
        <v/>
      </c>
      <c r="R1883" s="1">
        <v>0</v>
      </c>
      <c r="S1883" s="1" t="str">
        <f>""</f>
        <v/>
      </c>
      <c r="T1883" s="1" t="s">
        <v>29</v>
      </c>
      <c r="U1883" s="1" t="s">
        <v>30</v>
      </c>
      <c r="V1883" s="1">
        <v>0</v>
      </c>
    </row>
    <row r="1884" spans="2:22" x14ac:dyDescent="0.15">
      <c r="B1884" s="1" t="str">
        <f>"157****4678"</f>
        <v>157****4678</v>
      </c>
      <c r="C1884" s="1" t="s">
        <v>23</v>
      </c>
      <c r="D1884" s="1" t="str">
        <f t="shared" si="180"/>
        <v>89177328</v>
      </c>
      <c r="E1884" s="1" t="s">
        <v>24</v>
      </c>
      <c r="F1884" s="1" t="str">
        <f t="shared" si="189"/>
        <v>0010</v>
      </c>
      <c r="G1884" s="1" t="str">
        <f>""</f>
        <v/>
      </c>
      <c r="H1884" s="1" t="str">
        <f>"0033"</f>
        <v>0033</v>
      </c>
      <c r="I1884" s="1" t="s">
        <v>106</v>
      </c>
      <c r="J1884" s="1" t="str">
        <f>"01043977567"</f>
        <v>01043977567</v>
      </c>
      <c r="K1884" s="1" t="str">
        <f>"2017-03-27 17:04:58"</f>
        <v>2017-03-27 17:04:58</v>
      </c>
      <c r="L1884" s="1" t="str">
        <f t="shared" si="188"/>
        <v>-</v>
      </c>
      <c r="M1884" s="2">
        <v>0</v>
      </c>
      <c r="N1884" s="1" t="s">
        <v>33</v>
      </c>
      <c r="O1884" s="1" t="s">
        <v>34</v>
      </c>
      <c r="P1884" s="2">
        <v>5.7870370370370366E-5</v>
      </c>
      <c r="Q1884" s="1" t="str">
        <f>""</f>
        <v/>
      </c>
      <c r="R1884" s="1">
        <v>0</v>
      </c>
      <c r="S1884" s="1" t="str">
        <f>""</f>
        <v/>
      </c>
      <c r="T1884" s="1" t="s">
        <v>29</v>
      </c>
      <c r="U1884" s="1" t="s">
        <v>30</v>
      </c>
      <c r="V1884" s="1">
        <v>0</v>
      </c>
    </row>
    <row r="1885" spans="2:22" x14ac:dyDescent="0.15">
      <c r="B1885" s="1" t="str">
        <f>"130****5656"</f>
        <v>130****5656</v>
      </c>
      <c r="C1885" s="1" t="s">
        <v>112</v>
      </c>
      <c r="D1885" s="1" t="str">
        <f t="shared" si="180"/>
        <v>89177328</v>
      </c>
      <c r="E1885" s="1" t="s">
        <v>24</v>
      </c>
      <c r="F1885" s="1" t="str">
        <f t="shared" si="189"/>
        <v>0010</v>
      </c>
      <c r="G1885" s="1" t="str">
        <f>""</f>
        <v/>
      </c>
      <c r="H1885" s="1" t="str">
        <f>"0033"</f>
        <v>0033</v>
      </c>
      <c r="I1885" s="1" t="s">
        <v>106</v>
      </c>
      <c r="J1885" s="1" t="str">
        <f>"01043977567"</f>
        <v>01043977567</v>
      </c>
      <c r="K1885" s="1" t="str">
        <f>"2017-03-27 17:02:34"</f>
        <v>2017-03-27 17:02:34</v>
      </c>
      <c r="L1885" s="1" t="str">
        <f t="shared" si="188"/>
        <v>-</v>
      </c>
      <c r="M1885" s="2">
        <v>0</v>
      </c>
      <c r="N1885" s="1" t="s">
        <v>33</v>
      </c>
      <c r="O1885" s="1" t="s">
        <v>34</v>
      </c>
      <c r="P1885" s="2">
        <v>6.9444444444444444E-5</v>
      </c>
      <c r="Q1885" s="1" t="str">
        <f>""</f>
        <v/>
      </c>
      <c r="R1885" s="1">
        <v>0</v>
      </c>
      <c r="S1885" s="1" t="str">
        <f>""</f>
        <v/>
      </c>
      <c r="T1885" s="1" t="s">
        <v>29</v>
      </c>
      <c r="U1885" s="1" t="s">
        <v>30</v>
      </c>
      <c r="V1885" s="1">
        <v>0</v>
      </c>
    </row>
    <row r="1886" spans="2:22" x14ac:dyDescent="0.15">
      <c r="B1886" s="1" t="str">
        <f>"158****5955"</f>
        <v>158****5955</v>
      </c>
      <c r="C1886" s="1" t="s">
        <v>23</v>
      </c>
      <c r="D1886" s="1" t="str">
        <f t="shared" si="180"/>
        <v>89177328</v>
      </c>
      <c r="E1886" s="1" t="s">
        <v>24</v>
      </c>
      <c r="F1886" s="1" t="str">
        <f t="shared" si="189"/>
        <v>0010</v>
      </c>
      <c r="G1886" s="1" t="str">
        <f>""</f>
        <v/>
      </c>
      <c r="H1886" s="1" t="str">
        <f>"0035"</f>
        <v>0035</v>
      </c>
      <c r="I1886" s="1" t="s">
        <v>25</v>
      </c>
      <c r="J1886" s="1" t="str">
        <f>"01043977569"</f>
        <v>01043977569</v>
      </c>
      <c r="K1886" s="1" t="str">
        <f>"2017-03-27 16:48:33"</f>
        <v>2017-03-27 16:48:33</v>
      </c>
      <c r="L1886" s="1" t="str">
        <f>"2017-03-27 16:48:40"</f>
        <v>2017-03-27 16:48:40</v>
      </c>
      <c r="M1886" s="2">
        <v>6.9675925925925921E-3</v>
      </c>
      <c r="N1886" s="1" t="s">
        <v>26</v>
      </c>
      <c r="O1886" s="1" t="s">
        <v>34</v>
      </c>
      <c r="P1886" s="2">
        <v>7.0486111111111105E-3</v>
      </c>
      <c r="Q1886" s="1" t="s">
        <v>1374</v>
      </c>
      <c r="R1886" s="1">
        <v>0</v>
      </c>
      <c r="S1886" s="1" t="str">
        <f>""</f>
        <v/>
      </c>
      <c r="T1886" s="1" t="s">
        <v>29</v>
      </c>
      <c r="U1886" s="1" t="s">
        <v>30</v>
      </c>
      <c r="V1886" s="1">
        <v>0</v>
      </c>
    </row>
    <row r="1887" spans="2:22" x14ac:dyDescent="0.15">
      <c r="B1887" s="1" t="str">
        <f>"135****2744"</f>
        <v>135****2744</v>
      </c>
      <c r="C1887" s="1" t="s">
        <v>23</v>
      </c>
      <c r="D1887" s="1" t="str">
        <f t="shared" si="180"/>
        <v>89177328</v>
      </c>
      <c r="E1887" s="1" t="s">
        <v>24</v>
      </c>
      <c r="F1887" s="1" t="str">
        <f t="shared" si="189"/>
        <v>0010</v>
      </c>
      <c r="G1887" s="1" t="str">
        <f>""</f>
        <v/>
      </c>
      <c r="H1887" s="1" t="str">
        <f>"0017"</f>
        <v>0017</v>
      </c>
      <c r="I1887" s="1" t="s">
        <v>135</v>
      </c>
      <c r="J1887" s="1" t="str">
        <f>"01043989717"</f>
        <v>01043989717</v>
      </c>
      <c r="K1887" s="1" t="str">
        <f>"2017-03-27 16:48:25"</f>
        <v>2017-03-27 16:48:25</v>
      </c>
      <c r="L1887" s="1" t="str">
        <f>"2017-03-27 16:48:31"</f>
        <v>2017-03-27 16:48:31</v>
      </c>
      <c r="M1887" s="2">
        <v>5.8333333333333336E-3</v>
      </c>
      <c r="N1887" s="1" t="s">
        <v>26</v>
      </c>
      <c r="O1887" s="1" t="s">
        <v>27</v>
      </c>
      <c r="P1887" s="2">
        <v>5.9027777777777776E-3</v>
      </c>
      <c r="Q1887" s="1" t="s">
        <v>1375</v>
      </c>
      <c r="R1887" s="1">
        <v>0</v>
      </c>
      <c r="S1887" s="1" t="str">
        <f>""</f>
        <v/>
      </c>
      <c r="T1887" s="1" t="s">
        <v>29</v>
      </c>
      <c r="U1887" s="1" t="s">
        <v>30</v>
      </c>
      <c r="V1887" s="1">
        <v>0</v>
      </c>
    </row>
    <row r="1888" spans="2:22" x14ac:dyDescent="0.15">
      <c r="B1888" s="1" t="str">
        <f>"185****0143"</f>
        <v>185****0143</v>
      </c>
      <c r="C1888" s="1" t="s">
        <v>23</v>
      </c>
      <c r="D1888" s="1" t="str">
        <f t="shared" si="180"/>
        <v>89177328</v>
      </c>
      <c r="E1888" s="1" t="s">
        <v>24</v>
      </c>
      <c r="F1888" s="1" t="str">
        <f t="shared" si="189"/>
        <v>0010</v>
      </c>
      <c r="G1888" s="1" t="str">
        <f>""</f>
        <v/>
      </c>
      <c r="H1888" s="1" t="str">
        <f>"0017"</f>
        <v>0017</v>
      </c>
      <c r="I1888" s="1" t="s">
        <v>135</v>
      </c>
      <c r="J1888" s="1" t="str">
        <f>"01043989717"</f>
        <v>01043989717</v>
      </c>
      <c r="K1888" s="1" t="str">
        <f>"2017-03-27 16:38:37"</f>
        <v>2017-03-27 16:38:37</v>
      </c>
      <c r="L1888" s="1" t="str">
        <f>"2017-03-27 16:41:18"</f>
        <v>2017-03-27 16:41:18</v>
      </c>
      <c r="M1888" s="2">
        <v>8.3333333333333339E-4</v>
      </c>
      <c r="N1888" s="1" t="s">
        <v>26</v>
      </c>
      <c r="O1888" s="1" t="s">
        <v>34</v>
      </c>
      <c r="P1888" s="2">
        <v>2.6967592592592594E-3</v>
      </c>
      <c r="Q1888" s="1" t="s">
        <v>1376</v>
      </c>
      <c r="R1888" s="1">
        <v>0</v>
      </c>
      <c r="S1888" s="1" t="str">
        <f>""</f>
        <v/>
      </c>
      <c r="T1888" s="1" t="s">
        <v>29</v>
      </c>
      <c r="U1888" s="1" t="s">
        <v>30</v>
      </c>
      <c r="V1888" s="1">
        <v>0</v>
      </c>
    </row>
    <row r="1889" spans="2:22" x14ac:dyDescent="0.15">
      <c r="B1889" s="1" t="str">
        <f>"158****5110"</f>
        <v>158****5110</v>
      </c>
      <c r="C1889" s="1" t="s">
        <v>609</v>
      </c>
      <c r="D1889" s="1" t="str">
        <f t="shared" si="180"/>
        <v>89177328</v>
      </c>
      <c r="E1889" s="1" t="s">
        <v>24</v>
      </c>
      <c r="F1889" s="1" t="str">
        <f t="shared" si="189"/>
        <v>0010</v>
      </c>
      <c r="G1889" s="1" t="str">
        <f>""</f>
        <v/>
      </c>
      <c r="H1889" s="1" t="str">
        <f>""</f>
        <v/>
      </c>
      <c r="I1889" s="1" t="str">
        <f>""</f>
        <v/>
      </c>
      <c r="J1889" s="1" t="str">
        <f>""</f>
        <v/>
      </c>
      <c r="K1889" s="1" t="str">
        <f>"2017-03-27 16:37:05"</f>
        <v>2017-03-27 16:37:05</v>
      </c>
      <c r="L1889" s="1" t="str">
        <f>"-"</f>
        <v>-</v>
      </c>
      <c r="M1889" s="2">
        <v>0</v>
      </c>
      <c r="N1889" s="1" t="s">
        <v>55</v>
      </c>
      <c r="O1889" s="1" t="s">
        <v>34</v>
      </c>
      <c r="P1889" s="2">
        <v>1.273148148148148E-4</v>
      </c>
      <c r="Q1889" s="1" t="str">
        <f>""</f>
        <v/>
      </c>
      <c r="R1889" s="1">
        <v>0</v>
      </c>
      <c r="S1889" s="1" t="str">
        <f>""</f>
        <v/>
      </c>
      <c r="T1889" s="1" t="s">
        <v>29</v>
      </c>
      <c r="U1889" s="1" t="s">
        <v>30</v>
      </c>
      <c r="V1889" s="1">
        <v>0</v>
      </c>
    </row>
    <row r="1890" spans="2:22" x14ac:dyDescent="0.15">
      <c r="B1890" s="1" t="str">
        <f>"138****6561"</f>
        <v>138****6561</v>
      </c>
      <c r="C1890" s="1" t="s">
        <v>304</v>
      </c>
      <c r="D1890" s="1" t="str">
        <f t="shared" si="180"/>
        <v>89177328</v>
      </c>
      <c r="E1890" s="1" t="s">
        <v>24</v>
      </c>
      <c r="F1890" s="1" t="str">
        <f t="shared" si="189"/>
        <v>0010</v>
      </c>
      <c r="G1890" s="1" t="str">
        <f>""</f>
        <v/>
      </c>
      <c r="H1890" s="1" t="str">
        <f>""</f>
        <v/>
      </c>
      <c r="I1890" s="1" t="str">
        <f>""</f>
        <v/>
      </c>
      <c r="J1890" s="1" t="str">
        <f>""</f>
        <v/>
      </c>
      <c r="K1890" s="1" t="str">
        <f>"2017-03-27 16:36:44"</f>
        <v>2017-03-27 16:36:44</v>
      </c>
      <c r="L1890" s="1" t="str">
        <f>"-"</f>
        <v>-</v>
      </c>
      <c r="M1890" s="2">
        <v>0</v>
      </c>
      <c r="N1890" s="1" t="s">
        <v>55</v>
      </c>
      <c r="O1890" s="1" t="s">
        <v>34</v>
      </c>
      <c r="P1890" s="2">
        <v>7.8703703703703705E-4</v>
      </c>
      <c r="Q1890" s="1" t="str">
        <f>""</f>
        <v/>
      </c>
      <c r="R1890" s="1">
        <v>0</v>
      </c>
      <c r="S1890" s="1" t="str">
        <f>""</f>
        <v/>
      </c>
      <c r="T1890" s="1" t="s">
        <v>29</v>
      </c>
      <c r="U1890" s="1" t="s">
        <v>30</v>
      </c>
      <c r="V1890" s="1">
        <v>0</v>
      </c>
    </row>
    <row r="1891" spans="2:22" x14ac:dyDescent="0.15">
      <c r="B1891" s="1" t="str">
        <f>"0313188****8868"</f>
        <v>0313188****8868</v>
      </c>
      <c r="C1891" s="1" t="s">
        <v>44</v>
      </c>
      <c r="D1891" s="1" t="str">
        <f t="shared" si="180"/>
        <v>89177328</v>
      </c>
      <c r="E1891" s="1" t="s">
        <v>24</v>
      </c>
      <c r="F1891" s="1" t="str">
        <f t="shared" si="189"/>
        <v>0010</v>
      </c>
      <c r="G1891" s="1" t="str">
        <f>""</f>
        <v/>
      </c>
      <c r="H1891" s="1" t="str">
        <f>"0018"</f>
        <v>0018</v>
      </c>
      <c r="I1891" s="1" t="s">
        <v>36</v>
      </c>
      <c r="J1891" s="1" t="str">
        <f>"01043989718"</f>
        <v>01043989718</v>
      </c>
      <c r="K1891" s="1" t="str">
        <f>"2017-03-27 16:36:09"</f>
        <v>2017-03-27 16:36:09</v>
      </c>
      <c r="L1891" s="1" t="str">
        <f>"2017-03-27 16:36:18"</f>
        <v>2017-03-27 16:36:18</v>
      </c>
      <c r="M1891" s="2">
        <v>1.1111111111111112E-2</v>
      </c>
      <c r="N1891" s="1" t="s">
        <v>26</v>
      </c>
      <c r="O1891" s="1" t="s">
        <v>34</v>
      </c>
      <c r="P1891" s="2">
        <v>1.1215277777777777E-2</v>
      </c>
      <c r="Q1891" s="1" t="s">
        <v>1377</v>
      </c>
      <c r="R1891" s="1">
        <v>0</v>
      </c>
      <c r="S1891" s="1" t="str">
        <f>""</f>
        <v/>
      </c>
      <c r="T1891" s="1" t="s">
        <v>29</v>
      </c>
      <c r="U1891" s="1" t="s">
        <v>30</v>
      </c>
      <c r="V1891" s="1">
        <v>0</v>
      </c>
    </row>
    <row r="1892" spans="2:22" x14ac:dyDescent="0.15">
      <c r="B1892" s="1" t="str">
        <f>"136****8343"</f>
        <v>136****8343</v>
      </c>
      <c r="C1892" s="1" t="s">
        <v>23</v>
      </c>
      <c r="D1892" s="1" t="str">
        <f t="shared" si="180"/>
        <v>89177328</v>
      </c>
      <c r="E1892" s="1" t="s">
        <v>24</v>
      </c>
      <c r="F1892" s="1" t="str">
        <f t="shared" si="189"/>
        <v>0010</v>
      </c>
      <c r="G1892" s="1" t="str">
        <f>""</f>
        <v/>
      </c>
      <c r="H1892" s="1" t="str">
        <f>"0017"</f>
        <v>0017</v>
      </c>
      <c r="I1892" s="1" t="s">
        <v>135</v>
      </c>
      <c r="J1892" s="1" t="str">
        <f>"01043989717"</f>
        <v>01043989717</v>
      </c>
      <c r="K1892" s="1" t="str">
        <f>"2017-03-27 16:31:24"</f>
        <v>2017-03-27 16:31:24</v>
      </c>
      <c r="L1892" s="1" t="str">
        <f>"2017-03-27 16:31:32"</f>
        <v>2017-03-27 16:31:32</v>
      </c>
      <c r="M1892" s="2">
        <v>6.7361111111111103E-3</v>
      </c>
      <c r="N1892" s="1" t="s">
        <v>26</v>
      </c>
      <c r="O1892" s="1" t="s">
        <v>27</v>
      </c>
      <c r="P1892" s="2">
        <v>6.828703703703704E-3</v>
      </c>
      <c r="Q1892" s="1" t="s">
        <v>1378</v>
      </c>
      <c r="R1892" s="1">
        <v>0</v>
      </c>
      <c r="S1892" s="1" t="str">
        <f>""</f>
        <v/>
      </c>
      <c r="T1892" s="1" t="s">
        <v>29</v>
      </c>
      <c r="U1892" s="1" t="s">
        <v>30</v>
      </c>
      <c r="V1892" s="1">
        <v>0</v>
      </c>
    </row>
    <row r="1893" spans="2:22" x14ac:dyDescent="0.15">
      <c r="B1893" s="1" t="str">
        <f>"0316018047987263"</f>
        <v>0316018047987263</v>
      </c>
      <c r="C1893" s="1" t="s">
        <v>51</v>
      </c>
      <c r="D1893" s="1" t="str">
        <f t="shared" si="180"/>
        <v>89177328</v>
      </c>
      <c r="E1893" s="1" t="s">
        <v>24</v>
      </c>
      <c r="F1893" s="1" t="str">
        <f t="shared" si="189"/>
        <v>0010</v>
      </c>
      <c r="G1893" s="1" t="str">
        <f>""</f>
        <v/>
      </c>
      <c r="H1893" s="1" t="str">
        <f>"0017"</f>
        <v>0017</v>
      </c>
      <c r="I1893" s="1" t="s">
        <v>135</v>
      </c>
      <c r="J1893" s="1" t="str">
        <f>"01043989717"</f>
        <v>01043989717</v>
      </c>
      <c r="K1893" s="1" t="str">
        <f>"2017-03-27 16:22:45"</f>
        <v>2017-03-27 16:22:45</v>
      </c>
      <c r="L1893" s="1" t="str">
        <f>"2017-03-27 16:22:54"</f>
        <v>2017-03-27 16:22:54</v>
      </c>
      <c r="M1893" s="2">
        <v>6.2500000000000001E-4</v>
      </c>
      <c r="N1893" s="1" t="s">
        <v>26</v>
      </c>
      <c r="O1893" s="1" t="s">
        <v>34</v>
      </c>
      <c r="P1893" s="2">
        <v>7.291666666666667E-4</v>
      </c>
      <c r="Q1893" s="1" t="s">
        <v>1379</v>
      </c>
      <c r="R1893" s="1">
        <v>0</v>
      </c>
      <c r="S1893" s="1" t="str">
        <f>""</f>
        <v/>
      </c>
      <c r="T1893" s="1" t="s">
        <v>29</v>
      </c>
      <c r="U1893" s="1" t="s">
        <v>30</v>
      </c>
      <c r="V1893" s="1">
        <v>0</v>
      </c>
    </row>
    <row r="1894" spans="2:22" x14ac:dyDescent="0.15">
      <c r="B1894" s="1" t="str">
        <f>"136****4338"</f>
        <v>136****4338</v>
      </c>
      <c r="C1894" s="1" t="s">
        <v>416</v>
      </c>
      <c r="D1894" s="1" t="str">
        <f t="shared" si="180"/>
        <v>89177328</v>
      </c>
      <c r="E1894" s="1" t="s">
        <v>24</v>
      </c>
      <c r="F1894" s="1" t="str">
        <f t="shared" si="189"/>
        <v>0010</v>
      </c>
      <c r="G1894" s="1" t="str">
        <f>""</f>
        <v/>
      </c>
      <c r="H1894" s="1" t="str">
        <f>"0035"</f>
        <v>0035</v>
      </c>
      <c r="I1894" s="1" t="s">
        <v>25</v>
      </c>
      <c r="J1894" s="1" t="str">
        <f>"01043977569"</f>
        <v>01043977569</v>
      </c>
      <c r="K1894" s="1" t="str">
        <f>"2017-03-27 15:58:20"</f>
        <v>2017-03-27 15:58:20</v>
      </c>
      <c r="L1894" s="1" t="str">
        <f>"2017-03-27 15:58:31"</f>
        <v>2017-03-27 15:58:31</v>
      </c>
      <c r="M1894" s="2">
        <v>1.7881944444444443E-2</v>
      </c>
      <c r="N1894" s="1" t="s">
        <v>26</v>
      </c>
      <c r="O1894" s="1" t="s">
        <v>27</v>
      </c>
      <c r="P1894" s="2">
        <v>1.800925925925926E-2</v>
      </c>
      <c r="Q1894" s="1" t="s">
        <v>1380</v>
      </c>
      <c r="R1894" s="1">
        <v>0</v>
      </c>
      <c r="S1894" s="1" t="str">
        <f>""</f>
        <v/>
      </c>
      <c r="T1894" s="1" t="s">
        <v>29</v>
      </c>
      <c r="U1894" s="1" t="s">
        <v>30</v>
      </c>
      <c r="V1894" s="1">
        <v>0</v>
      </c>
    </row>
    <row r="1895" spans="2:22" x14ac:dyDescent="0.15">
      <c r="B1895" s="1" t="str">
        <f>"189****7922"</f>
        <v>189****7922</v>
      </c>
      <c r="C1895" s="1" t="s">
        <v>283</v>
      </c>
      <c r="D1895" s="1" t="str">
        <f t="shared" si="180"/>
        <v>89177328</v>
      </c>
      <c r="E1895" s="1" t="s">
        <v>24</v>
      </c>
      <c r="F1895" s="1" t="str">
        <f t="shared" si="189"/>
        <v>0010</v>
      </c>
      <c r="G1895" s="1" t="str">
        <f>""</f>
        <v/>
      </c>
      <c r="H1895" s="1" t="str">
        <f>"0018"</f>
        <v>0018</v>
      </c>
      <c r="I1895" s="1" t="s">
        <v>36</v>
      </c>
      <c r="J1895" s="1" t="str">
        <f>"01043989718"</f>
        <v>01043989718</v>
      </c>
      <c r="K1895" s="1" t="str">
        <f>"2017-03-27 15:51:25"</f>
        <v>2017-03-27 15:51:25</v>
      </c>
      <c r="L1895" s="1" t="str">
        <f>"2017-03-27 15:51:33"</f>
        <v>2017-03-27 15:51:33</v>
      </c>
      <c r="M1895" s="2">
        <v>1.3865740740740739E-2</v>
      </c>
      <c r="N1895" s="1" t="s">
        <v>26</v>
      </c>
      <c r="O1895" s="1" t="s">
        <v>34</v>
      </c>
      <c r="P1895" s="2">
        <v>1.3958333333333335E-2</v>
      </c>
      <c r="Q1895" s="1" t="s">
        <v>1381</v>
      </c>
      <c r="R1895" s="1">
        <v>0</v>
      </c>
      <c r="S1895" s="1" t="str">
        <f>""</f>
        <v/>
      </c>
      <c r="T1895" s="1" t="s">
        <v>29</v>
      </c>
      <c r="U1895" s="1" t="s">
        <v>30</v>
      </c>
      <c r="V1895" s="1">
        <v>0</v>
      </c>
    </row>
    <row r="1896" spans="2:22" x14ac:dyDescent="0.15">
      <c r="B1896" s="1" t="str">
        <f>"010****2535"</f>
        <v>010****2535</v>
      </c>
      <c r="C1896" s="1" t="s">
        <v>23</v>
      </c>
      <c r="D1896" s="1" t="str">
        <f t="shared" si="180"/>
        <v>89177328</v>
      </c>
      <c r="E1896" s="1" t="s">
        <v>24</v>
      </c>
      <c r="F1896" s="1" t="str">
        <f t="shared" si="189"/>
        <v>0010</v>
      </c>
      <c r="G1896" s="1" t="str">
        <f>""</f>
        <v/>
      </c>
      <c r="H1896" s="1" t="str">
        <f>"0031"</f>
        <v>0031</v>
      </c>
      <c r="I1896" s="1" t="s">
        <v>95</v>
      </c>
      <c r="J1896" s="1" t="str">
        <f>"01043977565"</f>
        <v>01043977565</v>
      </c>
      <c r="K1896" s="1" t="str">
        <f>"2017-03-27 15:41:14"</f>
        <v>2017-03-27 15:41:14</v>
      </c>
      <c r="L1896" s="1" t="str">
        <f>"2017-03-27 15:41:23"</f>
        <v>2017-03-27 15:41:23</v>
      </c>
      <c r="M1896" s="2">
        <v>1.0983796296296297E-2</v>
      </c>
      <c r="N1896" s="1" t="s">
        <v>26</v>
      </c>
      <c r="O1896" s="1" t="s">
        <v>27</v>
      </c>
      <c r="P1896" s="2">
        <v>1.1087962962962964E-2</v>
      </c>
      <c r="Q1896" s="1" t="s">
        <v>1382</v>
      </c>
      <c r="R1896" s="1">
        <v>0</v>
      </c>
      <c r="S1896" s="1" t="str">
        <f>""</f>
        <v/>
      </c>
      <c r="T1896" s="1" t="s">
        <v>29</v>
      </c>
      <c r="U1896" s="1" t="s">
        <v>30</v>
      </c>
      <c r="V1896" s="1">
        <v>0</v>
      </c>
    </row>
    <row r="1897" spans="2:22" x14ac:dyDescent="0.15">
      <c r="B1897" s="1" t="str">
        <f>"185****2729"</f>
        <v>185****2729</v>
      </c>
      <c r="C1897" s="1" t="s">
        <v>35</v>
      </c>
      <c r="D1897" s="1" t="str">
        <f t="shared" si="180"/>
        <v>89177328</v>
      </c>
      <c r="E1897" s="1" t="s">
        <v>24</v>
      </c>
      <c r="F1897" s="1" t="str">
        <f t="shared" si="189"/>
        <v>0010</v>
      </c>
      <c r="G1897" s="1" t="str">
        <f>""</f>
        <v/>
      </c>
      <c r="H1897" s="1" t="str">
        <f>"0033"</f>
        <v>0033</v>
      </c>
      <c r="I1897" s="1" t="s">
        <v>106</v>
      </c>
      <c r="J1897" s="1" t="str">
        <f>"01043977567"</f>
        <v>01043977567</v>
      </c>
      <c r="K1897" s="1" t="str">
        <f>"2017-03-27 15:40:22"</f>
        <v>2017-03-27 15:40:22</v>
      </c>
      <c r="L1897" s="1" t="str">
        <f>"2017-03-27 15:40:33"</f>
        <v>2017-03-27 15:40:33</v>
      </c>
      <c r="M1897" s="2">
        <v>1.4513888888888889E-2</v>
      </c>
      <c r="N1897" s="1" t="s">
        <v>26</v>
      </c>
      <c r="O1897" s="1" t="s">
        <v>27</v>
      </c>
      <c r="P1897" s="2">
        <v>1.4641203703703703E-2</v>
      </c>
      <c r="Q1897" s="1" t="s">
        <v>1383</v>
      </c>
      <c r="R1897" s="1">
        <v>0</v>
      </c>
      <c r="S1897" s="1" t="str">
        <f>""</f>
        <v/>
      </c>
      <c r="T1897" s="1" t="s">
        <v>29</v>
      </c>
      <c r="U1897" s="1" t="s">
        <v>30</v>
      </c>
      <c r="V1897" s="1">
        <v>0</v>
      </c>
    </row>
    <row r="1898" spans="2:22" x14ac:dyDescent="0.15">
      <c r="B1898" s="1" t="str">
        <f>"010****2535"</f>
        <v>010****2535</v>
      </c>
      <c r="C1898" s="1" t="s">
        <v>23</v>
      </c>
      <c r="D1898" s="1" t="str">
        <f t="shared" si="180"/>
        <v>89177328</v>
      </c>
      <c r="E1898" s="1" t="s">
        <v>24</v>
      </c>
      <c r="F1898" s="1" t="str">
        <f t="shared" si="189"/>
        <v>0010</v>
      </c>
      <c r="G1898" s="1" t="str">
        <f>""</f>
        <v/>
      </c>
      <c r="H1898" s="1" t="str">
        <f>"0033"</f>
        <v>0033</v>
      </c>
      <c r="I1898" s="1" t="s">
        <v>106</v>
      </c>
      <c r="J1898" s="1" t="str">
        <f>"01043977567"</f>
        <v>01043977567</v>
      </c>
      <c r="K1898" s="1" t="str">
        <f>"2017-03-27 15:40:15"</f>
        <v>2017-03-27 15:40:15</v>
      </c>
      <c r="L1898" s="1" t="str">
        <f>"-"</f>
        <v>-</v>
      </c>
      <c r="M1898" s="2">
        <v>0</v>
      </c>
      <c r="N1898" s="1" t="s">
        <v>33</v>
      </c>
      <c r="O1898" s="1" t="s">
        <v>34</v>
      </c>
      <c r="P1898" s="2">
        <v>2.3148148148148147E-5</v>
      </c>
      <c r="Q1898" s="1" t="str">
        <f>""</f>
        <v/>
      </c>
      <c r="R1898" s="1">
        <v>0</v>
      </c>
      <c r="S1898" s="1" t="str">
        <f>""</f>
        <v/>
      </c>
      <c r="T1898" s="1" t="s">
        <v>29</v>
      </c>
      <c r="U1898" s="1" t="s">
        <v>30</v>
      </c>
      <c r="V1898" s="1">
        <v>0</v>
      </c>
    </row>
    <row r="1899" spans="2:22" x14ac:dyDescent="0.15">
      <c r="B1899" s="1" t="str">
        <f>"180****0696"</f>
        <v>180****0696</v>
      </c>
      <c r="C1899" s="1" t="s">
        <v>23</v>
      </c>
      <c r="D1899" s="1" t="str">
        <f t="shared" si="180"/>
        <v>89177328</v>
      </c>
      <c r="E1899" s="1" t="s">
        <v>24</v>
      </c>
      <c r="F1899" s="1" t="str">
        <f t="shared" si="189"/>
        <v>0010</v>
      </c>
      <c r="G1899" s="1" t="str">
        <f>""</f>
        <v/>
      </c>
      <c r="H1899" s="1" t="str">
        <f>"0012"</f>
        <v>0012</v>
      </c>
      <c r="I1899" s="1" t="s">
        <v>612</v>
      </c>
      <c r="J1899" s="1" t="str">
        <f>"01043989720"</f>
        <v>01043989720</v>
      </c>
      <c r="K1899" s="1" t="str">
        <f>"2017-03-27 15:31:59"</f>
        <v>2017-03-27 15:31:59</v>
      </c>
      <c r="L1899" s="1" t="str">
        <f>"2017-03-27 15:32:07"</f>
        <v>2017-03-27 15:32:07</v>
      </c>
      <c r="M1899" s="2">
        <v>2.3148148148148151E-3</v>
      </c>
      <c r="N1899" s="1" t="s">
        <v>26</v>
      </c>
      <c r="O1899" s="1" t="s">
        <v>27</v>
      </c>
      <c r="P1899" s="2">
        <v>2.4074074074074076E-3</v>
      </c>
      <c r="Q1899" s="1" t="s">
        <v>1384</v>
      </c>
      <c r="R1899" s="1">
        <v>0</v>
      </c>
      <c r="S1899" s="1" t="str">
        <f>""</f>
        <v/>
      </c>
      <c r="T1899" s="1" t="s">
        <v>29</v>
      </c>
      <c r="U1899" s="1" t="s">
        <v>30</v>
      </c>
      <c r="V1899" s="1">
        <v>0</v>
      </c>
    </row>
    <row r="1900" spans="2:22" x14ac:dyDescent="0.15">
      <c r="B1900" s="1" t="str">
        <f>"151****8557"</f>
        <v>151****8557</v>
      </c>
      <c r="C1900" s="1" t="s">
        <v>23</v>
      </c>
      <c r="D1900" s="1" t="str">
        <f t="shared" si="180"/>
        <v>89177328</v>
      </c>
      <c r="E1900" s="1" t="s">
        <v>24</v>
      </c>
      <c r="F1900" s="1" t="str">
        <f t="shared" si="189"/>
        <v>0010</v>
      </c>
      <c r="G1900" s="1" t="str">
        <f>""</f>
        <v/>
      </c>
      <c r="H1900" s="1" t="str">
        <f>"0033"</f>
        <v>0033</v>
      </c>
      <c r="I1900" s="1" t="s">
        <v>106</v>
      </c>
      <c r="J1900" s="1" t="str">
        <f>"01043977567"</f>
        <v>01043977567</v>
      </c>
      <c r="K1900" s="1" t="str">
        <f>"2017-03-27 15:25:57"</f>
        <v>2017-03-27 15:25:57</v>
      </c>
      <c r="L1900" s="1" t="str">
        <f>"2017-03-27 15:26:07"</f>
        <v>2017-03-27 15:26:07</v>
      </c>
      <c r="M1900" s="2">
        <v>4.8958333333333328E-3</v>
      </c>
      <c r="N1900" s="1" t="s">
        <v>26</v>
      </c>
      <c r="O1900" s="1" t="s">
        <v>34</v>
      </c>
      <c r="P1900" s="2">
        <v>5.0115740740740737E-3</v>
      </c>
      <c r="Q1900" s="1" t="s">
        <v>1385</v>
      </c>
      <c r="R1900" s="1">
        <v>0</v>
      </c>
      <c r="S1900" s="1" t="str">
        <f>""</f>
        <v/>
      </c>
      <c r="T1900" s="1" t="s">
        <v>29</v>
      </c>
      <c r="U1900" s="1" t="s">
        <v>30</v>
      </c>
      <c r="V1900" s="1">
        <v>0</v>
      </c>
    </row>
    <row r="1901" spans="2:22" x14ac:dyDescent="0.15">
      <c r="B1901" s="1" t="str">
        <f>"176****4663"</f>
        <v>176****4663</v>
      </c>
      <c r="C1901" s="1" t="s">
        <v>237</v>
      </c>
      <c r="D1901" s="1" t="str">
        <f t="shared" si="180"/>
        <v>89177328</v>
      </c>
      <c r="E1901" s="1" t="s">
        <v>24</v>
      </c>
      <c r="F1901" s="1" t="str">
        <f t="shared" si="189"/>
        <v>0010</v>
      </c>
      <c r="G1901" s="1" t="str">
        <f>""</f>
        <v/>
      </c>
      <c r="H1901" s="1" t="str">
        <f>"0017"</f>
        <v>0017</v>
      </c>
      <c r="I1901" s="1" t="s">
        <v>135</v>
      </c>
      <c r="J1901" s="1" t="str">
        <f>"01043989717"</f>
        <v>01043989717</v>
      </c>
      <c r="K1901" s="1" t="str">
        <f>"2017-03-27 15:25:18"</f>
        <v>2017-03-27 15:25:18</v>
      </c>
      <c r="L1901" s="1" t="str">
        <f>"2017-03-27 15:25:26"</f>
        <v>2017-03-27 15:25:26</v>
      </c>
      <c r="M1901" s="2">
        <v>9.8842592592592576E-3</v>
      </c>
      <c r="N1901" s="1" t="s">
        <v>26</v>
      </c>
      <c r="O1901" s="1" t="s">
        <v>27</v>
      </c>
      <c r="P1901" s="2">
        <v>9.9768518518518531E-3</v>
      </c>
      <c r="Q1901" s="1" t="s">
        <v>1386</v>
      </c>
      <c r="R1901" s="1">
        <v>0</v>
      </c>
      <c r="S1901" s="1" t="str">
        <f>""</f>
        <v/>
      </c>
      <c r="T1901" s="1" t="s">
        <v>29</v>
      </c>
      <c r="U1901" s="1" t="s">
        <v>30</v>
      </c>
      <c r="V1901" s="1">
        <v>0</v>
      </c>
    </row>
    <row r="1902" spans="2:22" x14ac:dyDescent="0.15">
      <c r="B1902" s="1" t="str">
        <f>"159****0807"</f>
        <v>159****0807</v>
      </c>
      <c r="C1902" s="1" t="s">
        <v>463</v>
      </c>
      <c r="D1902" s="1" t="str">
        <f t="shared" si="180"/>
        <v>89177328</v>
      </c>
      <c r="E1902" s="1" t="s">
        <v>24</v>
      </c>
      <c r="F1902" s="1" t="str">
        <f t="shared" si="189"/>
        <v>0010</v>
      </c>
      <c r="G1902" s="1" t="str">
        <f>""</f>
        <v/>
      </c>
      <c r="H1902" s="1" t="str">
        <f>"0012"</f>
        <v>0012</v>
      </c>
      <c r="I1902" s="1" t="s">
        <v>612</v>
      </c>
      <c r="J1902" s="1" t="str">
        <f>"01043989720"</f>
        <v>01043989720</v>
      </c>
      <c r="K1902" s="1" t="str">
        <f>"2017-03-27 15:13:23"</f>
        <v>2017-03-27 15:13:23</v>
      </c>
      <c r="L1902" s="1" t="str">
        <f>"2017-03-27 15:13:37"</f>
        <v>2017-03-27 15:13:37</v>
      </c>
      <c r="M1902" s="2">
        <v>8.8541666666666664E-3</v>
      </c>
      <c r="N1902" s="1" t="s">
        <v>26</v>
      </c>
      <c r="O1902" s="1" t="s">
        <v>34</v>
      </c>
      <c r="P1902" s="2">
        <v>9.0162037037037034E-3</v>
      </c>
      <c r="Q1902" s="1" t="s">
        <v>1387</v>
      </c>
      <c r="R1902" s="1">
        <v>0</v>
      </c>
      <c r="S1902" s="1" t="str">
        <f>""</f>
        <v/>
      </c>
      <c r="T1902" s="1" t="s">
        <v>29</v>
      </c>
      <c r="U1902" s="1" t="s">
        <v>30</v>
      </c>
      <c r="V1902" s="1">
        <v>0</v>
      </c>
    </row>
    <row r="1903" spans="2:22" x14ac:dyDescent="0.15">
      <c r="B1903" s="1" t="str">
        <f>"159****0807"</f>
        <v>159****0807</v>
      </c>
      <c r="C1903" s="1" t="s">
        <v>463</v>
      </c>
      <c r="D1903" s="1" t="str">
        <f t="shared" si="180"/>
        <v>89177328</v>
      </c>
      <c r="E1903" s="1" t="s">
        <v>24</v>
      </c>
      <c r="F1903" s="1" t="str">
        <f t="shared" si="189"/>
        <v>0010</v>
      </c>
      <c r="G1903" s="1" t="str">
        <f>""</f>
        <v/>
      </c>
      <c r="H1903" s="1" t="str">
        <f>"0012"</f>
        <v>0012</v>
      </c>
      <c r="I1903" s="1" t="s">
        <v>612</v>
      </c>
      <c r="J1903" s="1" t="str">
        <f>"01043989720"</f>
        <v>01043989720</v>
      </c>
      <c r="K1903" s="1" t="str">
        <f>"2017-03-27 15:12:19"</f>
        <v>2017-03-27 15:12:19</v>
      </c>
      <c r="L1903" s="1" t="str">
        <f>"-"</f>
        <v>-</v>
      </c>
      <c r="M1903" s="2">
        <v>0</v>
      </c>
      <c r="N1903" s="1" t="s">
        <v>33</v>
      </c>
      <c r="O1903" s="1" t="s">
        <v>34</v>
      </c>
      <c r="P1903" s="2">
        <v>2.3148148148148147E-5</v>
      </c>
      <c r="Q1903" s="1" t="str">
        <f>""</f>
        <v/>
      </c>
      <c r="R1903" s="1">
        <v>0</v>
      </c>
      <c r="S1903" s="1" t="str">
        <f>""</f>
        <v/>
      </c>
      <c r="T1903" s="1" t="s">
        <v>29</v>
      </c>
      <c r="U1903" s="1" t="s">
        <v>30</v>
      </c>
      <c r="V1903" s="1">
        <v>0</v>
      </c>
    </row>
    <row r="1904" spans="2:22" x14ac:dyDescent="0.15">
      <c r="B1904" s="1" t="str">
        <f>"010****7342"</f>
        <v>010****7342</v>
      </c>
      <c r="C1904" s="1" t="s">
        <v>23</v>
      </c>
      <c r="D1904" s="1" t="str">
        <f t="shared" ref="D1904:D1905" si="190">"89177328"</f>
        <v>89177328</v>
      </c>
      <c r="E1904" s="1" t="s">
        <v>24</v>
      </c>
      <c r="F1904" s="1" t="str">
        <f t="shared" si="189"/>
        <v>0010</v>
      </c>
      <c r="G1904" s="1" t="str">
        <f>""</f>
        <v/>
      </c>
      <c r="H1904" s="1" t="str">
        <f>"0033"</f>
        <v>0033</v>
      </c>
      <c r="I1904" s="1" t="s">
        <v>106</v>
      </c>
      <c r="J1904" s="1" t="str">
        <f>"01043977567"</f>
        <v>01043977567</v>
      </c>
      <c r="K1904" s="1" t="str">
        <f>"2017-03-27 14:50:15"</f>
        <v>2017-03-27 14:50:15</v>
      </c>
      <c r="L1904" s="1" t="str">
        <f>"2017-03-27 14:50:24"</f>
        <v>2017-03-27 14:50:24</v>
      </c>
      <c r="M1904" s="2">
        <v>9.4444444444444445E-3</v>
      </c>
      <c r="N1904" s="1" t="s">
        <v>26</v>
      </c>
      <c r="O1904" s="1" t="s">
        <v>27</v>
      </c>
      <c r="P1904" s="2">
        <v>9.5486111111111101E-3</v>
      </c>
      <c r="Q1904" s="1" t="s">
        <v>1388</v>
      </c>
      <c r="R1904" s="1">
        <v>0</v>
      </c>
      <c r="S1904" s="1" t="str">
        <f>""</f>
        <v/>
      </c>
      <c r="T1904" s="1" t="s">
        <v>29</v>
      </c>
      <c r="U1904" s="1" t="s">
        <v>30</v>
      </c>
      <c r="V1904" s="1">
        <v>0</v>
      </c>
    </row>
    <row r="1905" spans="2:22" x14ac:dyDescent="0.15">
      <c r="B1905" s="1" t="str">
        <f>"010****9267"</f>
        <v>010****9267</v>
      </c>
      <c r="C1905" s="1" t="s">
        <v>23</v>
      </c>
      <c r="D1905" s="1" t="str">
        <f t="shared" si="190"/>
        <v>89177328</v>
      </c>
      <c r="E1905" s="1" t="s">
        <v>24</v>
      </c>
      <c r="F1905" s="1" t="str">
        <f t="shared" si="189"/>
        <v>0010</v>
      </c>
      <c r="G1905" s="1" t="str">
        <f>""</f>
        <v/>
      </c>
      <c r="H1905" s="1" t="str">
        <f>"0012"</f>
        <v>0012</v>
      </c>
      <c r="I1905" s="1" t="s">
        <v>612</v>
      </c>
      <c r="J1905" s="1" t="str">
        <f>"01043989720"</f>
        <v>01043989720</v>
      </c>
      <c r="K1905" s="1" t="str">
        <f>"2017-03-27 14:30:02"</f>
        <v>2017-03-27 14:30:02</v>
      </c>
      <c r="L1905" s="1" t="str">
        <f>"2017-03-27 14:30:17"</f>
        <v>2017-03-27 14:30:17</v>
      </c>
      <c r="M1905" s="2">
        <v>4.108796296296297E-3</v>
      </c>
      <c r="N1905" s="1" t="s">
        <v>26</v>
      </c>
      <c r="O1905" s="1" t="s">
        <v>27</v>
      </c>
      <c r="P1905" s="2">
        <v>4.2824074074074075E-3</v>
      </c>
      <c r="Q1905" s="1" t="s">
        <v>1389</v>
      </c>
      <c r="R1905" s="1">
        <v>0</v>
      </c>
      <c r="S1905" s="1" t="str">
        <f>""</f>
        <v/>
      </c>
      <c r="T1905" s="1" t="s">
        <v>29</v>
      </c>
      <c r="U1905" s="1" t="s">
        <v>30</v>
      </c>
      <c r="V1905" s="1">
        <v>0</v>
      </c>
    </row>
    <row r="1906" spans="2:22" x14ac:dyDescent="0.15">
      <c r="B1906" s="1" t="str">
        <f>"139****6444"</f>
        <v>139****6444</v>
      </c>
      <c r="C1906" s="1" t="s">
        <v>1390</v>
      </c>
      <c r="D1906" s="1" t="str">
        <f>"4000108333"</f>
        <v>4000108333</v>
      </c>
      <c r="E1906" s="1" t="s">
        <v>53</v>
      </c>
      <c r="F1906" s="1" t="str">
        <f>"0000"</f>
        <v>0000</v>
      </c>
      <c r="G1906" s="1" t="str">
        <f>""</f>
        <v/>
      </c>
      <c r="H1906" s="1" t="str">
        <f>"1010"</f>
        <v>1010</v>
      </c>
      <c r="I1906" s="1" t="s">
        <v>148</v>
      </c>
      <c r="J1906" s="1" t="str">
        <f>"13718091869"</f>
        <v>13718091869</v>
      </c>
      <c r="K1906" s="1" t="str">
        <f>"2017-03-27 14:14:31"</f>
        <v>2017-03-27 14:14:31</v>
      </c>
      <c r="L1906" s="1" t="str">
        <f>"2017-03-27 14:15:04"</f>
        <v>2017-03-27 14:15:04</v>
      </c>
      <c r="M1906" s="2">
        <v>3.8425925925925923E-3</v>
      </c>
      <c r="N1906" s="1" t="s">
        <v>26</v>
      </c>
      <c r="O1906" s="1" t="s">
        <v>34</v>
      </c>
      <c r="P1906" s="2">
        <v>4.2245370370370371E-3</v>
      </c>
      <c r="Q1906" s="1" t="s">
        <v>1391</v>
      </c>
      <c r="R1906" s="1">
        <v>0.84</v>
      </c>
      <c r="S1906" s="1" t="str">
        <f>""</f>
        <v/>
      </c>
      <c r="T1906" s="1" t="s">
        <v>29</v>
      </c>
      <c r="U1906" s="1" t="s">
        <v>30</v>
      </c>
      <c r="V1906" s="1">
        <v>0</v>
      </c>
    </row>
    <row r="1907" spans="2:22" x14ac:dyDescent="0.15">
      <c r="B1907" s="1" t="str">
        <f>"150****4260"</f>
        <v>150****4260</v>
      </c>
      <c r="C1907" s="1" t="s">
        <v>23</v>
      </c>
      <c r="D1907" s="1" t="str">
        <f t="shared" ref="D1907:D1970" si="191">"89177328"</f>
        <v>89177328</v>
      </c>
      <c r="E1907" s="1" t="s">
        <v>24</v>
      </c>
      <c r="F1907" s="1" t="str">
        <f t="shared" ref="F1907:F1918" si="192">"0010"</f>
        <v>0010</v>
      </c>
      <c r="G1907" s="1" t="str">
        <f>""</f>
        <v/>
      </c>
      <c r="H1907" s="1" t="str">
        <f>"0031"</f>
        <v>0031</v>
      </c>
      <c r="I1907" s="1" t="s">
        <v>95</v>
      </c>
      <c r="J1907" s="1" t="str">
        <f>"01043977565"</f>
        <v>01043977565</v>
      </c>
      <c r="K1907" s="1" t="str">
        <f>"2017-03-27 14:02:16"</f>
        <v>2017-03-27 14:02:16</v>
      </c>
      <c r="L1907" s="1" t="str">
        <f>"2017-03-27 14:02:22"</f>
        <v>2017-03-27 14:02:22</v>
      </c>
      <c r="M1907" s="2">
        <v>5.185185185185185E-3</v>
      </c>
      <c r="N1907" s="1" t="s">
        <v>26</v>
      </c>
      <c r="O1907" s="1" t="s">
        <v>27</v>
      </c>
      <c r="P1907" s="2">
        <v>5.2546296296296299E-3</v>
      </c>
      <c r="Q1907" s="1" t="s">
        <v>1392</v>
      </c>
      <c r="R1907" s="1">
        <v>0</v>
      </c>
      <c r="S1907" s="1" t="str">
        <f>""</f>
        <v/>
      </c>
      <c r="T1907" s="1" t="s">
        <v>29</v>
      </c>
      <c r="U1907" s="1" t="s">
        <v>30</v>
      </c>
      <c r="V1907" s="1">
        <v>0</v>
      </c>
    </row>
    <row r="1908" spans="2:22" x14ac:dyDescent="0.15">
      <c r="B1908" s="1" t="str">
        <f>"010****1994"</f>
        <v>010****1994</v>
      </c>
      <c r="C1908" s="1" t="s">
        <v>23</v>
      </c>
      <c r="D1908" s="1" t="str">
        <f t="shared" si="191"/>
        <v>89177328</v>
      </c>
      <c r="E1908" s="1" t="s">
        <v>24</v>
      </c>
      <c r="F1908" s="1" t="str">
        <f t="shared" si="192"/>
        <v>0010</v>
      </c>
      <c r="G1908" s="1" t="str">
        <f>""</f>
        <v/>
      </c>
      <c r="H1908" s="1" t="str">
        <f>"0017"</f>
        <v>0017</v>
      </c>
      <c r="I1908" s="1" t="s">
        <v>135</v>
      </c>
      <c r="J1908" s="1" t="str">
        <f>"01043989717"</f>
        <v>01043989717</v>
      </c>
      <c r="K1908" s="1" t="str">
        <f>"2017-03-27 13:59:32"</f>
        <v>2017-03-27 13:59:32</v>
      </c>
      <c r="L1908" s="1" t="str">
        <f>"2017-03-27 13:59:38"</f>
        <v>2017-03-27 13:59:38</v>
      </c>
      <c r="M1908" s="2">
        <v>1.269675925925926E-2</v>
      </c>
      <c r="N1908" s="1" t="s">
        <v>26</v>
      </c>
      <c r="O1908" s="1" t="s">
        <v>27</v>
      </c>
      <c r="P1908" s="2">
        <v>1.2766203703703703E-2</v>
      </c>
      <c r="Q1908" s="1" t="s">
        <v>1393</v>
      </c>
      <c r="R1908" s="1">
        <v>0</v>
      </c>
      <c r="S1908" s="1" t="str">
        <f>""</f>
        <v/>
      </c>
      <c r="T1908" s="1" t="s">
        <v>29</v>
      </c>
      <c r="U1908" s="1" t="s">
        <v>30</v>
      </c>
      <c r="V1908" s="1">
        <v>0</v>
      </c>
    </row>
    <row r="1909" spans="2:22" x14ac:dyDescent="0.15">
      <c r="B1909" s="1" t="str">
        <f>"137****2536"</f>
        <v>137****2536</v>
      </c>
      <c r="C1909" s="1" t="s">
        <v>23</v>
      </c>
      <c r="D1909" s="1" t="str">
        <f t="shared" si="191"/>
        <v>89177328</v>
      </c>
      <c r="E1909" s="1" t="s">
        <v>24</v>
      </c>
      <c r="F1909" s="1" t="str">
        <f t="shared" si="192"/>
        <v>0010</v>
      </c>
      <c r="G1909" s="1" t="str">
        <f>""</f>
        <v/>
      </c>
      <c r="H1909" s="1" t="str">
        <f>"0033"</f>
        <v>0033</v>
      </c>
      <c r="I1909" s="1" t="s">
        <v>106</v>
      </c>
      <c r="J1909" s="1" t="str">
        <f>"01043977567"</f>
        <v>01043977567</v>
      </c>
      <c r="K1909" s="1" t="str">
        <f>"2017-03-27 13:56:41"</f>
        <v>2017-03-27 13:56:41</v>
      </c>
      <c r="L1909" s="1" t="str">
        <f>"2017-03-27 13:56:50"</f>
        <v>2017-03-27 13:56:50</v>
      </c>
      <c r="M1909" s="2">
        <v>7.9629629629629634E-3</v>
      </c>
      <c r="N1909" s="1" t="s">
        <v>26</v>
      </c>
      <c r="O1909" s="1" t="s">
        <v>27</v>
      </c>
      <c r="P1909" s="2">
        <v>8.0671296296296307E-3</v>
      </c>
      <c r="Q1909" s="1" t="s">
        <v>1394</v>
      </c>
      <c r="R1909" s="1">
        <v>0</v>
      </c>
      <c r="S1909" s="1" t="str">
        <f>""</f>
        <v/>
      </c>
      <c r="T1909" s="1" t="s">
        <v>29</v>
      </c>
      <c r="U1909" s="1" t="s">
        <v>30</v>
      </c>
      <c r="V1909" s="1">
        <v>0</v>
      </c>
    </row>
    <row r="1910" spans="2:22" x14ac:dyDescent="0.15">
      <c r="B1910" s="1" t="str">
        <f>"137****1563"</f>
        <v>137****1563</v>
      </c>
      <c r="C1910" s="1" t="s">
        <v>99</v>
      </c>
      <c r="D1910" s="1" t="str">
        <f t="shared" si="191"/>
        <v>89177328</v>
      </c>
      <c r="E1910" s="1" t="s">
        <v>24</v>
      </c>
      <c r="F1910" s="1" t="str">
        <f t="shared" si="192"/>
        <v>0010</v>
      </c>
      <c r="G1910" s="1" t="str">
        <f>""</f>
        <v/>
      </c>
      <c r="H1910" s="1" t="str">
        <f>"0035"</f>
        <v>0035</v>
      </c>
      <c r="I1910" s="1" t="s">
        <v>25</v>
      </c>
      <c r="J1910" s="1" t="str">
        <f>"01043977569"</f>
        <v>01043977569</v>
      </c>
      <c r="K1910" s="1" t="str">
        <f>"2017-03-27 13:48:53"</f>
        <v>2017-03-27 13:48:53</v>
      </c>
      <c r="L1910" s="1" t="str">
        <f>"2017-03-27 13:49:02"</f>
        <v>2017-03-27 13:49:02</v>
      </c>
      <c r="M1910" s="2">
        <v>4.8958333333333328E-3</v>
      </c>
      <c r="N1910" s="1" t="s">
        <v>26</v>
      </c>
      <c r="O1910" s="1" t="s">
        <v>27</v>
      </c>
      <c r="P1910" s="2">
        <v>5.0000000000000001E-3</v>
      </c>
      <c r="Q1910" s="1" t="s">
        <v>1395</v>
      </c>
      <c r="R1910" s="1">
        <v>0</v>
      </c>
      <c r="S1910" s="1" t="str">
        <f>""</f>
        <v/>
      </c>
      <c r="T1910" s="1" t="s">
        <v>29</v>
      </c>
      <c r="U1910" s="1" t="s">
        <v>30</v>
      </c>
      <c r="V1910" s="1">
        <v>0</v>
      </c>
    </row>
    <row r="1911" spans="2:22" x14ac:dyDescent="0.15">
      <c r="B1911" s="1" t="str">
        <f>"187****1756"</f>
        <v>187****1756</v>
      </c>
      <c r="C1911" s="1" t="s">
        <v>1087</v>
      </c>
      <c r="D1911" s="1" t="str">
        <f t="shared" si="191"/>
        <v>89177328</v>
      </c>
      <c r="E1911" s="1" t="s">
        <v>24</v>
      </c>
      <c r="F1911" s="1" t="str">
        <f t="shared" si="192"/>
        <v>0010</v>
      </c>
      <c r="G1911" s="1" t="str">
        <f>""</f>
        <v/>
      </c>
      <c r="H1911" s="1" t="str">
        <f>"0033"</f>
        <v>0033</v>
      </c>
      <c r="I1911" s="1" t="s">
        <v>106</v>
      </c>
      <c r="J1911" s="1" t="str">
        <f>"01043977567"</f>
        <v>01043977567</v>
      </c>
      <c r="K1911" s="1" t="str">
        <f>"2017-03-27 13:33:02"</f>
        <v>2017-03-27 13:33:02</v>
      </c>
      <c r="L1911" s="1" t="str">
        <f>"2017-03-27 13:33:10"</f>
        <v>2017-03-27 13:33:10</v>
      </c>
      <c r="M1911" s="2">
        <v>6.6203703703703702E-3</v>
      </c>
      <c r="N1911" s="1" t="s">
        <v>26</v>
      </c>
      <c r="O1911" s="1" t="s">
        <v>27</v>
      </c>
      <c r="P1911" s="2">
        <v>6.7129629629629622E-3</v>
      </c>
      <c r="Q1911" s="1" t="s">
        <v>1396</v>
      </c>
      <c r="R1911" s="1">
        <v>0</v>
      </c>
      <c r="S1911" s="1" t="str">
        <f>""</f>
        <v/>
      </c>
      <c r="T1911" s="1" t="s">
        <v>29</v>
      </c>
      <c r="U1911" s="1" t="s">
        <v>30</v>
      </c>
      <c r="V1911" s="1">
        <v>0</v>
      </c>
    </row>
    <row r="1912" spans="2:22" x14ac:dyDescent="0.15">
      <c r="B1912" s="1" t="str">
        <f>"136****9284"</f>
        <v>136****9284</v>
      </c>
      <c r="C1912" s="1" t="s">
        <v>23</v>
      </c>
      <c r="D1912" s="1" t="str">
        <f t="shared" si="191"/>
        <v>89177328</v>
      </c>
      <c r="E1912" s="1" t="s">
        <v>24</v>
      </c>
      <c r="F1912" s="1" t="str">
        <f t="shared" si="192"/>
        <v>0010</v>
      </c>
      <c r="G1912" s="1" t="str">
        <f>""</f>
        <v/>
      </c>
      <c r="H1912" s="1" t="str">
        <f>"0017"</f>
        <v>0017</v>
      </c>
      <c r="I1912" s="1" t="s">
        <v>135</v>
      </c>
      <c r="J1912" s="1" t="str">
        <f>"01043989717"</f>
        <v>01043989717</v>
      </c>
      <c r="K1912" s="1" t="str">
        <f>"2017-03-27 12:42:17"</f>
        <v>2017-03-27 12:42:17</v>
      </c>
      <c r="L1912" s="1" t="str">
        <f>"-"</f>
        <v>-</v>
      </c>
      <c r="M1912" s="2">
        <v>0</v>
      </c>
      <c r="N1912" s="1" t="s">
        <v>33</v>
      </c>
      <c r="O1912" s="1" t="s">
        <v>34</v>
      </c>
      <c r="P1912" s="2">
        <v>2.3148148148148147E-5</v>
      </c>
      <c r="Q1912" s="1" t="str">
        <f>""</f>
        <v/>
      </c>
      <c r="R1912" s="1">
        <v>0</v>
      </c>
      <c r="S1912" s="1" t="str">
        <f>""</f>
        <v/>
      </c>
      <c r="T1912" s="1" t="s">
        <v>29</v>
      </c>
      <c r="U1912" s="1" t="s">
        <v>30</v>
      </c>
      <c r="V1912" s="1">
        <v>0</v>
      </c>
    </row>
    <row r="1913" spans="2:22" x14ac:dyDescent="0.15">
      <c r="B1913" s="1" t="str">
        <f>"188****7867"</f>
        <v>188****7867</v>
      </c>
      <c r="C1913" s="1" t="s">
        <v>23</v>
      </c>
      <c r="D1913" s="1" t="str">
        <f t="shared" si="191"/>
        <v>89177328</v>
      </c>
      <c r="E1913" s="1" t="s">
        <v>24</v>
      </c>
      <c r="F1913" s="1" t="str">
        <f t="shared" si="192"/>
        <v>0010</v>
      </c>
      <c r="G1913" s="1" t="str">
        <f>""</f>
        <v/>
      </c>
      <c r="H1913" s="1" t="str">
        <f>"0017"</f>
        <v>0017</v>
      </c>
      <c r="I1913" s="1" t="s">
        <v>135</v>
      </c>
      <c r="J1913" s="1" t="str">
        <f>"01043989717"</f>
        <v>01043989717</v>
      </c>
      <c r="K1913" s="1" t="str">
        <f>"2017-03-27 12:30:31"</f>
        <v>2017-03-27 12:30:31</v>
      </c>
      <c r="L1913" s="1" t="str">
        <f>"-"</f>
        <v>-</v>
      </c>
      <c r="M1913" s="2">
        <v>0</v>
      </c>
      <c r="N1913" s="1" t="s">
        <v>33</v>
      </c>
      <c r="O1913" s="1" t="s">
        <v>34</v>
      </c>
      <c r="P1913" s="2">
        <v>1.1574074074074073E-5</v>
      </c>
      <c r="Q1913" s="1" t="str">
        <f>""</f>
        <v/>
      </c>
      <c r="R1913" s="1">
        <v>0</v>
      </c>
      <c r="S1913" s="1" t="str">
        <f>""</f>
        <v/>
      </c>
      <c r="T1913" s="1" t="s">
        <v>29</v>
      </c>
      <c r="U1913" s="1" t="s">
        <v>30</v>
      </c>
      <c r="V1913" s="1">
        <v>0</v>
      </c>
    </row>
    <row r="1914" spans="2:22" x14ac:dyDescent="0.15">
      <c r="B1914" s="1" t="str">
        <f>"188****7867"</f>
        <v>188****7867</v>
      </c>
      <c r="C1914" s="1" t="s">
        <v>23</v>
      </c>
      <c r="D1914" s="1" t="str">
        <f t="shared" si="191"/>
        <v>89177328</v>
      </c>
      <c r="E1914" s="1" t="s">
        <v>24</v>
      </c>
      <c r="F1914" s="1" t="str">
        <f t="shared" si="192"/>
        <v>0010</v>
      </c>
      <c r="G1914" s="1" t="str">
        <f>""</f>
        <v/>
      </c>
      <c r="H1914" s="1" t="str">
        <f>"0018"</f>
        <v>0018</v>
      </c>
      <c r="I1914" s="1" t="s">
        <v>36</v>
      </c>
      <c r="J1914" s="1" t="str">
        <f>"01043989718"</f>
        <v>01043989718</v>
      </c>
      <c r="K1914" s="1" t="str">
        <f>"2017-03-27 12:27:36"</f>
        <v>2017-03-27 12:27:36</v>
      </c>
      <c r="L1914" s="1" t="str">
        <f>"-"</f>
        <v>-</v>
      </c>
      <c r="M1914" s="2">
        <v>0</v>
      </c>
      <c r="N1914" s="1" t="s">
        <v>33</v>
      </c>
      <c r="O1914" s="1" t="s">
        <v>34</v>
      </c>
      <c r="P1914" s="2">
        <v>1.1574074074074073E-4</v>
      </c>
      <c r="Q1914" s="1" t="str">
        <f>""</f>
        <v/>
      </c>
      <c r="R1914" s="1">
        <v>0</v>
      </c>
      <c r="S1914" s="1" t="str">
        <f>""</f>
        <v/>
      </c>
      <c r="T1914" s="1" t="s">
        <v>29</v>
      </c>
      <c r="U1914" s="1" t="s">
        <v>30</v>
      </c>
      <c r="V1914" s="1">
        <v>0</v>
      </c>
    </row>
    <row r="1915" spans="2:22" x14ac:dyDescent="0.15">
      <c r="B1915" s="1" t="str">
        <f>"183****4280"</f>
        <v>183****4280</v>
      </c>
      <c r="C1915" s="1" t="s">
        <v>23</v>
      </c>
      <c r="D1915" s="1" t="str">
        <f t="shared" si="191"/>
        <v>89177328</v>
      </c>
      <c r="E1915" s="1" t="s">
        <v>24</v>
      </c>
      <c r="F1915" s="1" t="str">
        <f t="shared" si="192"/>
        <v>0010</v>
      </c>
      <c r="G1915" s="1" t="str">
        <f>""</f>
        <v/>
      </c>
      <c r="H1915" s="1" t="str">
        <f>"0018"</f>
        <v>0018</v>
      </c>
      <c r="I1915" s="1" t="s">
        <v>36</v>
      </c>
      <c r="J1915" s="1" t="str">
        <f>"01043989718"</f>
        <v>01043989718</v>
      </c>
      <c r="K1915" s="1" t="str">
        <f>"2017-03-27 12:25:14"</f>
        <v>2017-03-27 12:25:14</v>
      </c>
      <c r="L1915" s="1" t="str">
        <f>"-"</f>
        <v>-</v>
      </c>
      <c r="M1915" s="2">
        <v>0</v>
      </c>
      <c r="N1915" s="1" t="s">
        <v>33</v>
      </c>
      <c r="O1915" s="1" t="s">
        <v>34</v>
      </c>
      <c r="P1915" s="2">
        <v>5.7870370370370366E-5</v>
      </c>
      <c r="Q1915" s="1" t="str">
        <f>""</f>
        <v/>
      </c>
      <c r="R1915" s="1">
        <v>0</v>
      </c>
      <c r="S1915" s="1" t="str">
        <f>""</f>
        <v/>
      </c>
      <c r="T1915" s="1" t="s">
        <v>29</v>
      </c>
      <c r="U1915" s="1" t="s">
        <v>30</v>
      </c>
      <c r="V1915" s="1">
        <v>0</v>
      </c>
    </row>
    <row r="1916" spans="2:22" x14ac:dyDescent="0.15">
      <c r="B1916" s="1" t="str">
        <f>"183****4280"</f>
        <v>183****4280</v>
      </c>
      <c r="C1916" s="1" t="s">
        <v>23</v>
      </c>
      <c r="D1916" s="1" t="str">
        <f t="shared" si="191"/>
        <v>89177328</v>
      </c>
      <c r="E1916" s="1" t="s">
        <v>24</v>
      </c>
      <c r="F1916" s="1" t="str">
        <f t="shared" si="192"/>
        <v>0010</v>
      </c>
      <c r="G1916" s="1" t="str">
        <f>""</f>
        <v/>
      </c>
      <c r="H1916" s="1" t="str">
        <f>"0018"</f>
        <v>0018</v>
      </c>
      <c r="I1916" s="1" t="s">
        <v>36</v>
      </c>
      <c r="J1916" s="1" t="str">
        <f>"01043989718"</f>
        <v>01043989718</v>
      </c>
      <c r="K1916" s="1" t="str">
        <f>"2017-03-27 12:22:41"</f>
        <v>2017-03-27 12:22:41</v>
      </c>
      <c r="L1916" s="1" t="str">
        <f>"-"</f>
        <v>-</v>
      </c>
      <c r="M1916" s="2">
        <v>0</v>
      </c>
      <c r="N1916" s="1" t="s">
        <v>33</v>
      </c>
      <c r="O1916" s="1" t="s">
        <v>34</v>
      </c>
      <c r="P1916" s="2">
        <v>8.1018518518518516E-5</v>
      </c>
      <c r="Q1916" s="1" t="str">
        <f>""</f>
        <v/>
      </c>
      <c r="R1916" s="1">
        <v>0</v>
      </c>
      <c r="S1916" s="1" t="str">
        <f>""</f>
        <v/>
      </c>
      <c r="T1916" s="1" t="s">
        <v>29</v>
      </c>
      <c r="U1916" s="1" t="s">
        <v>30</v>
      </c>
      <c r="V1916" s="1">
        <v>0</v>
      </c>
    </row>
    <row r="1917" spans="2:22" x14ac:dyDescent="0.15">
      <c r="B1917" s="1" t="str">
        <f>"010****0920"</f>
        <v>010****0920</v>
      </c>
      <c r="C1917" s="1" t="s">
        <v>23</v>
      </c>
      <c r="D1917" s="1" t="str">
        <f t="shared" si="191"/>
        <v>89177328</v>
      </c>
      <c r="E1917" s="1" t="s">
        <v>24</v>
      </c>
      <c r="F1917" s="1" t="str">
        <f t="shared" si="192"/>
        <v>0010</v>
      </c>
      <c r="G1917" s="1" t="str">
        <f>""</f>
        <v/>
      </c>
      <c r="H1917" s="1" t="str">
        <f>"0031"</f>
        <v>0031</v>
      </c>
      <c r="I1917" s="1" t="s">
        <v>95</v>
      </c>
      <c r="J1917" s="1" t="str">
        <f>"01043977565"</f>
        <v>01043977565</v>
      </c>
      <c r="K1917" s="1" t="str">
        <f>"2017-03-27 12:19:46"</f>
        <v>2017-03-27 12:19:46</v>
      </c>
      <c r="L1917" s="1" t="str">
        <f>"2017-03-27 12:19:52"</f>
        <v>2017-03-27 12:19:52</v>
      </c>
      <c r="M1917" s="2">
        <v>1.7546296296296296E-2</v>
      </c>
      <c r="N1917" s="1" t="s">
        <v>26</v>
      </c>
      <c r="O1917" s="1" t="s">
        <v>27</v>
      </c>
      <c r="P1917" s="2">
        <v>1.7615740740740741E-2</v>
      </c>
      <c r="Q1917" s="1" t="s">
        <v>1397</v>
      </c>
      <c r="R1917" s="1">
        <v>0</v>
      </c>
      <c r="S1917" s="1" t="str">
        <f>""</f>
        <v/>
      </c>
      <c r="T1917" s="1" t="s">
        <v>29</v>
      </c>
      <c r="U1917" s="1" t="s">
        <v>30</v>
      </c>
      <c r="V1917" s="1">
        <v>0</v>
      </c>
    </row>
    <row r="1918" spans="2:22" x14ac:dyDescent="0.15">
      <c r="B1918" s="1" t="str">
        <f>"188****7867"</f>
        <v>188****7867</v>
      </c>
      <c r="C1918" s="1" t="s">
        <v>23</v>
      </c>
      <c r="D1918" s="1" t="str">
        <f t="shared" si="191"/>
        <v>89177328</v>
      </c>
      <c r="E1918" s="1" t="s">
        <v>24</v>
      </c>
      <c r="F1918" s="1" t="str">
        <f t="shared" si="192"/>
        <v>0010</v>
      </c>
      <c r="G1918" s="1" t="str">
        <f>""</f>
        <v/>
      </c>
      <c r="H1918" s="1" t="str">
        <f>"0033"</f>
        <v>0033</v>
      </c>
      <c r="I1918" s="1" t="s">
        <v>106</v>
      </c>
      <c r="J1918" s="1" t="str">
        <f>"01043977567"</f>
        <v>01043977567</v>
      </c>
      <c r="K1918" s="1" t="str">
        <f>"2017-03-27 12:18:20"</f>
        <v>2017-03-27 12:18:20</v>
      </c>
      <c r="L1918" s="1" t="str">
        <f>"-"</f>
        <v>-</v>
      </c>
      <c r="M1918" s="2">
        <v>0</v>
      </c>
      <c r="N1918" s="1" t="s">
        <v>33</v>
      </c>
      <c r="O1918" s="1" t="s">
        <v>34</v>
      </c>
      <c r="P1918" s="2">
        <v>9.2592592592592588E-5</v>
      </c>
      <c r="Q1918" s="1" t="str">
        <f>""</f>
        <v/>
      </c>
      <c r="R1918" s="1">
        <v>0</v>
      </c>
      <c r="S1918" s="1" t="str">
        <f>""</f>
        <v/>
      </c>
      <c r="T1918" s="1" t="s">
        <v>29</v>
      </c>
      <c r="U1918" s="1" t="s">
        <v>30</v>
      </c>
      <c r="V1918" s="1">
        <v>0</v>
      </c>
    </row>
    <row r="1919" spans="2:22" x14ac:dyDescent="0.15">
      <c r="B1919" s="1" t="str">
        <f>"157****4678"</f>
        <v>157****4678</v>
      </c>
      <c r="C1919" s="1" t="s">
        <v>23</v>
      </c>
      <c r="D1919" s="1" t="str">
        <f t="shared" si="191"/>
        <v>89177328</v>
      </c>
      <c r="E1919" s="1" t="str">
        <f>""</f>
        <v/>
      </c>
      <c r="F1919" s="1" t="str">
        <f>""</f>
        <v/>
      </c>
      <c r="G1919" s="1" t="str">
        <f>""</f>
        <v/>
      </c>
      <c r="H1919" s="1" t="str">
        <f>""</f>
        <v/>
      </c>
      <c r="I1919" s="1" t="str">
        <f>""</f>
        <v/>
      </c>
      <c r="J1919" s="1" t="str">
        <f>""</f>
        <v/>
      </c>
      <c r="K1919" s="1" t="str">
        <f>"2017-03-27 12:17:41"</f>
        <v>2017-03-27 12:17:41</v>
      </c>
      <c r="L1919" s="1" t="str">
        <f>"-"</f>
        <v>-</v>
      </c>
      <c r="M1919" s="2">
        <v>0</v>
      </c>
      <c r="N1919" s="1" t="s">
        <v>393</v>
      </c>
      <c r="O1919" s="1" t="s">
        <v>34</v>
      </c>
      <c r="P1919" s="2">
        <v>1.1574074074074073E-5</v>
      </c>
      <c r="Q1919" s="1" t="str">
        <f>""</f>
        <v/>
      </c>
      <c r="R1919" s="1">
        <v>0</v>
      </c>
      <c r="S1919" s="1" t="str">
        <f>""</f>
        <v/>
      </c>
      <c r="T1919" s="1" t="s">
        <v>29</v>
      </c>
      <c r="U1919" s="1" t="s">
        <v>30</v>
      </c>
      <c r="V1919" s="1">
        <v>0</v>
      </c>
    </row>
    <row r="1920" spans="2:22" x14ac:dyDescent="0.15">
      <c r="B1920" s="1" t="str">
        <f>"151****4868"</f>
        <v>151****4868</v>
      </c>
      <c r="C1920" s="1" t="s">
        <v>170</v>
      </c>
      <c r="D1920" s="1" t="str">
        <f t="shared" si="191"/>
        <v>89177328</v>
      </c>
      <c r="E1920" s="1" t="s">
        <v>24</v>
      </c>
      <c r="F1920" s="1" t="str">
        <f t="shared" ref="F1920:F1971" si="193">"0010"</f>
        <v>0010</v>
      </c>
      <c r="G1920" s="1" t="str">
        <f>""</f>
        <v/>
      </c>
      <c r="H1920" s="1" t="str">
        <f>"0012"</f>
        <v>0012</v>
      </c>
      <c r="I1920" s="1" t="s">
        <v>612</v>
      </c>
      <c r="J1920" s="1" t="str">
        <f>"01043989720"</f>
        <v>01043989720</v>
      </c>
      <c r="K1920" s="1" t="str">
        <f>"2017-03-27 12:17:37"</f>
        <v>2017-03-27 12:17:37</v>
      </c>
      <c r="L1920" s="1" t="str">
        <f>"2017-03-27 12:17:54"</f>
        <v>2017-03-27 12:17:54</v>
      </c>
      <c r="M1920" s="2">
        <v>1.503472222222222E-2</v>
      </c>
      <c r="N1920" s="1" t="s">
        <v>26</v>
      </c>
      <c r="O1920" s="1" t="s">
        <v>34</v>
      </c>
      <c r="P1920" s="2">
        <v>1.5231481481481483E-2</v>
      </c>
      <c r="Q1920" s="1" t="s">
        <v>1398</v>
      </c>
      <c r="R1920" s="1">
        <v>0</v>
      </c>
      <c r="S1920" s="1" t="str">
        <f>""</f>
        <v/>
      </c>
      <c r="T1920" s="1" t="s">
        <v>29</v>
      </c>
      <c r="U1920" s="1" t="s">
        <v>30</v>
      </c>
      <c r="V1920" s="1">
        <v>0</v>
      </c>
    </row>
    <row r="1921" spans="2:22" x14ac:dyDescent="0.15">
      <c r="B1921" s="1" t="str">
        <f>"133****9597"</f>
        <v>133****9597</v>
      </c>
      <c r="C1921" s="1" t="s">
        <v>23</v>
      </c>
      <c r="D1921" s="1" t="str">
        <f t="shared" si="191"/>
        <v>89177328</v>
      </c>
      <c r="E1921" s="1" t="s">
        <v>24</v>
      </c>
      <c r="F1921" s="1" t="str">
        <f t="shared" si="193"/>
        <v>0010</v>
      </c>
      <c r="G1921" s="1" t="str">
        <f>""</f>
        <v/>
      </c>
      <c r="H1921" s="1" t="str">
        <f>"0033"</f>
        <v>0033</v>
      </c>
      <c r="I1921" s="1" t="s">
        <v>106</v>
      </c>
      <c r="J1921" s="1" t="str">
        <f>"01043977567"</f>
        <v>01043977567</v>
      </c>
      <c r="K1921" s="1" t="str">
        <f>"2017-03-27 12:16:44"</f>
        <v>2017-03-27 12:16:44</v>
      </c>
      <c r="L1921" s="1" t="str">
        <f t="shared" ref="L1921:L1936" si="194">"-"</f>
        <v>-</v>
      </c>
      <c r="M1921" s="2">
        <v>0</v>
      </c>
      <c r="N1921" s="1" t="s">
        <v>33</v>
      </c>
      <c r="O1921" s="1" t="s">
        <v>34</v>
      </c>
      <c r="P1921" s="2">
        <v>8.1018518518518516E-5</v>
      </c>
      <c r="Q1921" s="1" t="str">
        <f>""</f>
        <v/>
      </c>
      <c r="R1921" s="1">
        <v>0</v>
      </c>
      <c r="S1921" s="1" t="str">
        <f>""</f>
        <v/>
      </c>
      <c r="T1921" s="1" t="s">
        <v>29</v>
      </c>
      <c r="U1921" s="1" t="s">
        <v>30</v>
      </c>
      <c r="V1921" s="1">
        <v>0</v>
      </c>
    </row>
    <row r="1922" spans="2:22" x14ac:dyDescent="0.15">
      <c r="B1922" s="1" t="str">
        <f>"186****0604"</f>
        <v>186****0604</v>
      </c>
      <c r="C1922" s="1" t="s">
        <v>23</v>
      </c>
      <c r="D1922" s="1" t="str">
        <f t="shared" si="191"/>
        <v>89177328</v>
      </c>
      <c r="E1922" s="1" t="s">
        <v>24</v>
      </c>
      <c r="F1922" s="1" t="str">
        <f t="shared" si="193"/>
        <v>0010</v>
      </c>
      <c r="G1922" s="1" t="str">
        <f>""</f>
        <v/>
      </c>
      <c r="H1922" s="1" t="str">
        <f>"0033"</f>
        <v>0033</v>
      </c>
      <c r="I1922" s="1" t="s">
        <v>106</v>
      </c>
      <c r="J1922" s="1" t="str">
        <f>"01043977567"</f>
        <v>01043977567</v>
      </c>
      <c r="K1922" s="1" t="str">
        <f>"2017-03-27 12:15:16"</f>
        <v>2017-03-27 12:15:16</v>
      </c>
      <c r="L1922" s="1" t="str">
        <f t="shared" si="194"/>
        <v>-</v>
      </c>
      <c r="M1922" s="2">
        <v>0</v>
      </c>
      <c r="N1922" s="1" t="s">
        <v>33</v>
      </c>
      <c r="O1922" s="1" t="s">
        <v>34</v>
      </c>
      <c r="P1922" s="2">
        <v>8.1018518518518516E-5</v>
      </c>
      <c r="Q1922" s="1" t="str">
        <f>""</f>
        <v/>
      </c>
      <c r="R1922" s="1">
        <v>0</v>
      </c>
      <c r="S1922" s="1" t="str">
        <f>""</f>
        <v/>
      </c>
      <c r="T1922" s="1" t="s">
        <v>29</v>
      </c>
      <c r="U1922" s="1" t="s">
        <v>30</v>
      </c>
      <c r="V1922" s="1">
        <v>0</v>
      </c>
    </row>
    <row r="1923" spans="2:22" x14ac:dyDescent="0.15">
      <c r="B1923" s="1" t="str">
        <f>"157****4678"</f>
        <v>157****4678</v>
      </c>
      <c r="C1923" s="1" t="s">
        <v>23</v>
      </c>
      <c r="D1923" s="1" t="str">
        <f t="shared" si="191"/>
        <v>89177328</v>
      </c>
      <c r="E1923" s="1" t="s">
        <v>24</v>
      </c>
      <c r="F1923" s="1" t="str">
        <f t="shared" si="193"/>
        <v>0010</v>
      </c>
      <c r="G1923" s="1" t="str">
        <f>""</f>
        <v/>
      </c>
      <c r="H1923" s="1" t="str">
        <f>"0033"</f>
        <v>0033</v>
      </c>
      <c r="I1923" s="1" t="s">
        <v>106</v>
      </c>
      <c r="J1923" s="1" t="str">
        <f>"01043977567"</f>
        <v>01043977567</v>
      </c>
      <c r="K1923" s="1" t="str">
        <f>"2017-03-27 12:13:26"</f>
        <v>2017-03-27 12:13:26</v>
      </c>
      <c r="L1923" s="1" t="str">
        <f t="shared" si="194"/>
        <v>-</v>
      </c>
      <c r="M1923" s="2">
        <v>0</v>
      </c>
      <c r="N1923" s="1" t="s">
        <v>33</v>
      </c>
      <c r="O1923" s="1" t="s">
        <v>34</v>
      </c>
      <c r="P1923" s="2">
        <v>5.7870370370370366E-5</v>
      </c>
      <c r="Q1923" s="1" t="str">
        <f>""</f>
        <v/>
      </c>
      <c r="R1923" s="1">
        <v>0</v>
      </c>
      <c r="S1923" s="1" t="str">
        <f>""</f>
        <v/>
      </c>
      <c r="T1923" s="1" t="s">
        <v>29</v>
      </c>
      <c r="U1923" s="1" t="s">
        <v>30</v>
      </c>
      <c r="V1923" s="1">
        <v>0</v>
      </c>
    </row>
    <row r="1924" spans="2:22" x14ac:dyDescent="0.15">
      <c r="B1924" s="1" t="str">
        <f>"133****9597"</f>
        <v>133****9597</v>
      </c>
      <c r="C1924" s="1" t="s">
        <v>23</v>
      </c>
      <c r="D1924" s="1" t="str">
        <f t="shared" si="191"/>
        <v>89177328</v>
      </c>
      <c r="E1924" s="1" t="s">
        <v>24</v>
      </c>
      <c r="F1924" s="1" t="str">
        <f t="shared" si="193"/>
        <v>0010</v>
      </c>
      <c r="G1924" s="1" t="str">
        <f>""</f>
        <v/>
      </c>
      <c r="H1924" s="1" t="str">
        <f>"0033"</f>
        <v>0033</v>
      </c>
      <c r="I1924" s="1" t="s">
        <v>106</v>
      </c>
      <c r="J1924" s="1" t="str">
        <f>"01043977567"</f>
        <v>01043977567</v>
      </c>
      <c r="K1924" s="1" t="str">
        <f>"2017-03-27 12:12:54"</f>
        <v>2017-03-27 12:12:54</v>
      </c>
      <c r="L1924" s="1" t="str">
        <f t="shared" si="194"/>
        <v>-</v>
      </c>
      <c r="M1924" s="2">
        <v>0</v>
      </c>
      <c r="N1924" s="1" t="s">
        <v>33</v>
      </c>
      <c r="O1924" s="1" t="s">
        <v>34</v>
      </c>
      <c r="P1924" s="2">
        <v>6.9444444444444444E-5</v>
      </c>
      <c r="Q1924" s="1" t="str">
        <f>""</f>
        <v/>
      </c>
      <c r="R1924" s="1">
        <v>0</v>
      </c>
      <c r="S1924" s="1" t="str">
        <f>""</f>
        <v/>
      </c>
      <c r="T1924" s="1" t="s">
        <v>29</v>
      </c>
      <c r="U1924" s="1" t="s">
        <v>30</v>
      </c>
      <c r="V1924" s="1">
        <v>0</v>
      </c>
    </row>
    <row r="1925" spans="2:22" x14ac:dyDescent="0.15">
      <c r="B1925" s="1" t="str">
        <f>"130****5656"</f>
        <v>130****5656</v>
      </c>
      <c r="C1925" s="1" t="s">
        <v>112</v>
      </c>
      <c r="D1925" s="1" t="str">
        <f t="shared" si="191"/>
        <v>89177328</v>
      </c>
      <c r="E1925" s="1" t="s">
        <v>24</v>
      </c>
      <c r="F1925" s="1" t="str">
        <f t="shared" si="193"/>
        <v>0010</v>
      </c>
      <c r="G1925" s="1" t="str">
        <f>""</f>
        <v/>
      </c>
      <c r="H1925" s="1" t="str">
        <f>"0033"</f>
        <v>0033</v>
      </c>
      <c r="I1925" s="1" t="s">
        <v>106</v>
      </c>
      <c r="J1925" s="1" t="str">
        <f>"01043977567"</f>
        <v>01043977567</v>
      </c>
      <c r="K1925" s="1" t="str">
        <f>"2017-03-27 12:12:01"</f>
        <v>2017-03-27 12:12:01</v>
      </c>
      <c r="L1925" s="1" t="str">
        <f t="shared" si="194"/>
        <v>-</v>
      </c>
      <c r="M1925" s="2">
        <v>0</v>
      </c>
      <c r="N1925" s="1" t="s">
        <v>33</v>
      </c>
      <c r="O1925" s="1" t="s">
        <v>34</v>
      </c>
      <c r="P1925" s="2">
        <v>5.7870370370370366E-5</v>
      </c>
      <c r="Q1925" s="1" t="str">
        <f>""</f>
        <v/>
      </c>
      <c r="R1925" s="1">
        <v>0</v>
      </c>
      <c r="S1925" s="1" t="str">
        <f>""</f>
        <v/>
      </c>
      <c r="T1925" s="1" t="s">
        <v>29</v>
      </c>
      <c r="U1925" s="1" t="s">
        <v>30</v>
      </c>
      <c r="V1925" s="1">
        <v>0</v>
      </c>
    </row>
    <row r="1926" spans="2:22" x14ac:dyDescent="0.15">
      <c r="B1926" s="1" t="str">
        <f>"186****0604"</f>
        <v>186****0604</v>
      </c>
      <c r="C1926" s="1" t="s">
        <v>23</v>
      </c>
      <c r="D1926" s="1" t="str">
        <f t="shared" si="191"/>
        <v>89177328</v>
      </c>
      <c r="E1926" s="1" t="s">
        <v>24</v>
      </c>
      <c r="F1926" s="1" t="str">
        <f t="shared" si="193"/>
        <v>0010</v>
      </c>
      <c r="G1926" s="1" t="str">
        <f>""</f>
        <v/>
      </c>
      <c r="H1926" s="1" t="str">
        <f>"0012"</f>
        <v>0012</v>
      </c>
      <c r="I1926" s="1" t="s">
        <v>612</v>
      </c>
      <c r="J1926" s="1" t="str">
        <f>"01043989720"</f>
        <v>01043989720</v>
      </c>
      <c r="K1926" s="1" t="str">
        <f>"2017-03-27 12:11:39"</f>
        <v>2017-03-27 12:11:39</v>
      </c>
      <c r="L1926" s="1" t="str">
        <f t="shared" si="194"/>
        <v>-</v>
      </c>
      <c r="M1926" s="2">
        <v>0</v>
      </c>
      <c r="N1926" s="1" t="s">
        <v>33</v>
      </c>
      <c r="O1926" s="1" t="s">
        <v>34</v>
      </c>
      <c r="P1926" s="2">
        <v>6.9444444444444444E-5</v>
      </c>
      <c r="Q1926" s="1" t="str">
        <f>""</f>
        <v/>
      </c>
      <c r="R1926" s="1">
        <v>0</v>
      </c>
      <c r="S1926" s="1" t="str">
        <f>""</f>
        <v/>
      </c>
      <c r="T1926" s="1" t="s">
        <v>29</v>
      </c>
      <c r="U1926" s="1" t="s">
        <v>30</v>
      </c>
      <c r="V1926" s="1">
        <v>0</v>
      </c>
    </row>
    <row r="1927" spans="2:22" x14ac:dyDescent="0.15">
      <c r="B1927" s="1" t="str">
        <f>"133****9597"</f>
        <v>133****9597</v>
      </c>
      <c r="C1927" s="1" t="s">
        <v>23</v>
      </c>
      <c r="D1927" s="1" t="str">
        <f t="shared" si="191"/>
        <v>89177328</v>
      </c>
      <c r="E1927" s="1" t="s">
        <v>24</v>
      </c>
      <c r="F1927" s="1" t="str">
        <f t="shared" si="193"/>
        <v>0010</v>
      </c>
      <c r="G1927" s="1" t="str">
        <f>""</f>
        <v/>
      </c>
      <c r="H1927" s="1" t="str">
        <f>"0012"</f>
        <v>0012</v>
      </c>
      <c r="I1927" s="1" t="s">
        <v>612</v>
      </c>
      <c r="J1927" s="1" t="str">
        <f>"01043989720"</f>
        <v>01043989720</v>
      </c>
      <c r="K1927" s="1" t="str">
        <f>"2017-03-27 12:10:34"</f>
        <v>2017-03-27 12:10:34</v>
      </c>
      <c r="L1927" s="1" t="str">
        <f t="shared" si="194"/>
        <v>-</v>
      </c>
      <c r="M1927" s="2">
        <v>0</v>
      </c>
      <c r="N1927" s="1" t="s">
        <v>33</v>
      </c>
      <c r="O1927" s="1" t="s">
        <v>34</v>
      </c>
      <c r="P1927" s="2">
        <v>5.7870370370370366E-5</v>
      </c>
      <c r="Q1927" s="1" t="str">
        <f>""</f>
        <v/>
      </c>
      <c r="R1927" s="1">
        <v>0</v>
      </c>
      <c r="S1927" s="1" t="str">
        <f>""</f>
        <v/>
      </c>
      <c r="T1927" s="1" t="s">
        <v>29</v>
      </c>
      <c r="U1927" s="1" t="s">
        <v>30</v>
      </c>
      <c r="V1927" s="1">
        <v>0</v>
      </c>
    </row>
    <row r="1928" spans="2:22" x14ac:dyDescent="0.15">
      <c r="B1928" s="1" t="str">
        <f>"157****4678"</f>
        <v>157****4678</v>
      </c>
      <c r="C1928" s="1" t="s">
        <v>23</v>
      </c>
      <c r="D1928" s="1" t="str">
        <f t="shared" si="191"/>
        <v>89177328</v>
      </c>
      <c r="E1928" s="1" t="s">
        <v>24</v>
      </c>
      <c r="F1928" s="1" t="str">
        <f t="shared" si="193"/>
        <v>0010</v>
      </c>
      <c r="G1928" s="1" t="str">
        <f>""</f>
        <v/>
      </c>
      <c r="H1928" s="1" t="str">
        <f>"0033"</f>
        <v>0033</v>
      </c>
      <c r="I1928" s="1" t="s">
        <v>106</v>
      </c>
      <c r="J1928" s="1" t="str">
        <f>"01043977567"</f>
        <v>01043977567</v>
      </c>
      <c r="K1928" s="1" t="str">
        <f>"2017-03-27 12:10:27"</f>
        <v>2017-03-27 12:10:27</v>
      </c>
      <c r="L1928" s="1" t="str">
        <f t="shared" si="194"/>
        <v>-</v>
      </c>
      <c r="M1928" s="2">
        <v>0</v>
      </c>
      <c r="N1928" s="1" t="s">
        <v>33</v>
      </c>
      <c r="O1928" s="1" t="s">
        <v>34</v>
      </c>
      <c r="P1928" s="2">
        <v>9.2592592592592588E-5</v>
      </c>
      <c r="Q1928" s="1" t="str">
        <f>""</f>
        <v/>
      </c>
      <c r="R1928" s="1">
        <v>0</v>
      </c>
      <c r="S1928" s="1" t="str">
        <f>""</f>
        <v/>
      </c>
      <c r="T1928" s="1" t="s">
        <v>29</v>
      </c>
      <c r="U1928" s="1" t="s">
        <v>30</v>
      </c>
      <c r="V1928" s="1">
        <v>0</v>
      </c>
    </row>
    <row r="1929" spans="2:22" x14ac:dyDescent="0.15">
      <c r="B1929" s="1" t="str">
        <f>"130****5656"</f>
        <v>130****5656</v>
      </c>
      <c r="C1929" s="1" t="s">
        <v>112</v>
      </c>
      <c r="D1929" s="1" t="str">
        <f t="shared" si="191"/>
        <v>89177328</v>
      </c>
      <c r="E1929" s="1" t="s">
        <v>24</v>
      </c>
      <c r="F1929" s="1" t="str">
        <f t="shared" si="193"/>
        <v>0010</v>
      </c>
      <c r="G1929" s="1" t="str">
        <f>""</f>
        <v/>
      </c>
      <c r="H1929" s="1" t="str">
        <f>"0033"</f>
        <v>0033</v>
      </c>
      <c r="I1929" s="1" t="s">
        <v>106</v>
      </c>
      <c r="J1929" s="1" t="str">
        <f>"01043977567"</f>
        <v>01043977567</v>
      </c>
      <c r="K1929" s="1" t="str">
        <f>"2017-03-27 12:09:27"</f>
        <v>2017-03-27 12:09:27</v>
      </c>
      <c r="L1929" s="1" t="str">
        <f t="shared" si="194"/>
        <v>-</v>
      </c>
      <c r="M1929" s="2">
        <v>0</v>
      </c>
      <c r="N1929" s="1" t="s">
        <v>33</v>
      </c>
      <c r="O1929" s="1" t="s">
        <v>34</v>
      </c>
      <c r="P1929" s="2">
        <v>4.6296296296296294E-5</v>
      </c>
      <c r="Q1929" s="1" t="str">
        <f>""</f>
        <v/>
      </c>
      <c r="R1929" s="1">
        <v>0</v>
      </c>
      <c r="S1929" s="1" t="str">
        <f>""</f>
        <v/>
      </c>
      <c r="T1929" s="1" t="s">
        <v>29</v>
      </c>
      <c r="U1929" s="1" t="s">
        <v>30</v>
      </c>
      <c r="V1929" s="1">
        <v>0</v>
      </c>
    </row>
    <row r="1930" spans="2:22" x14ac:dyDescent="0.15">
      <c r="B1930" s="1" t="str">
        <f>"133****9597"</f>
        <v>133****9597</v>
      </c>
      <c r="C1930" s="1" t="s">
        <v>23</v>
      </c>
      <c r="D1930" s="1" t="str">
        <f t="shared" si="191"/>
        <v>89177328</v>
      </c>
      <c r="E1930" s="1" t="s">
        <v>24</v>
      </c>
      <c r="F1930" s="1" t="str">
        <f t="shared" si="193"/>
        <v>0010</v>
      </c>
      <c r="G1930" s="1" t="str">
        <f>""</f>
        <v/>
      </c>
      <c r="H1930" s="1" t="str">
        <f>"0012"</f>
        <v>0012</v>
      </c>
      <c r="I1930" s="1" t="s">
        <v>612</v>
      </c>
      <c r="J1930" s="1" t="str">
        <f>"01043989720"</f>
        <v>01043989720</v>
      </c>
      <c r="K1930" s="1" t="str">
        <f>"2017-03-27 12:07:51"</f>
        <v>2017-03-27 12:07:51</v>
      </c>
      <c r="L1930" s="1" t="str">
        <f t="shared" si="194"/>
        <v>-</v>
      </c>
      <c r="M1930" s="2">
        <v>0</v>
      </c>
      <c r="N1930" s="1" t="s">
        <v>33</v>
      </c>
      <c r="O1930" s="1" t="s">
        <v>34</v>
      </c>
      <c r="P1930" s="2">
        <v>6.9444444444444444E-5</v>
      </c>
      <c r="Q1930" s="1" t="str">
        <f>""</f>
        <v/>
      </c>
      <c r="R1930" s="1">
        <v>0</v>
      </c>
      <c r="S1930" s="1" t="str">
        <f>""</f>
        <v/>
      </c>
      <c r="T1930" s="1" t="s">
        <v>29</v>
      </c>
      <c r="U1930" s="1" t="s">
        <v>30</v>
      </c>
      <c r="V1930" s="1">
        <v>0</v>
      </c>
    </row>
    <row r="1931" spans="2:22" x14ac:dyDescent="0.15">
      <c r="B1931" s="1" t="str">
        <f>"157****4678"</f>
        <v>157****4678</v>
      </c>
      <c r="C1931" s="1" t="s">
        <v>23</v>
      </c>
      <c r="D1931" s="1" t="str">
        <f t="shared" si="191"/>
        <v>89177328</v>
      </c>
      <c r="E1931" s="1" t="s">
        <v>24</v>
      </c>
      <c r="F1931" s="1" t="str">
        <f t="shared" si="193"/>
        <v>0010</v>
      </c>
      <c r="G1931" s="1" t="str">
        <f>""</f>
        <v/>
      </c>
      <c r="H1931" s="1" t="str">
        <f>"0033"</f>
        <v>0033</v>
      </c>
      <c r="I1931" s="1" t="s">
        <v>106</v>
      </c>
      <c r="J1931" s="1" t="str">
        <f>"01043977567"</f>
        <v>01043977567</v>
      </c>
      <c r="K1931" s="1" t="str">
        <f>"2017-03-27 12:07:17"</f>
        <v>2017-03-27 12:07:17</v>
      </c>
      <c r="L1931" s="1" t="str">
        <f t="shared" si="194"/>
        <v>-</v>
      </c>
      <c r="M1931" s="2">
        <v>0</v>
      </c>
      <c r="N1931" s="1" t="s">
        <v>33</v>
      </c>
      <c r="O1931" s="1" t="s">
        <v>34</v>
      </c>
      <c r="P1931" s="2">
        <v>8.1018518518518516E-5</v>
      </c>
      <c r="Q1931" s="1" t="str">
        <f>""</f>
        <v/>
      </c>
      <c r="R1931" s="1">
        <v>0</v>
      </c>
      <c r="S1931" s="1" t="str">
        <f>""</f>
        <v/>
      </c>
      <c r="T1931" s="1" t="s">
        <v>29</v>
      </c>
      <c r="U1931" s="1" t="s">
        <v>30</v>
      </c>
      <c r="V1931" s="1">
        <v>0</v>
      </c>
    </row>
    <row r="1932" spans="2:22" x14ac:dyDescent="0.15">
      <c r="B1932" s="1" t="str">
        <f>"130****5656"</f>
        <v>130****5656</v>
      </c>
      <c r="C1932" s="1" t="s">
        <v>112</v>
      </c>
      <c r="D1932" s="1" t="str">
        <f t="shared" si="191"/>
        <v>89177328</v>
      </c>
      <c r="E1932" s="1" t="s">
        <v>24</v>
      </c>
      <c r="F1932" s="1" t="str">
        <f t="shared" si="193"/>
        <v>0010</v>
      </c>
      <c r="G1932" s="1" t="str">
        <f>""</f>
        <v/>
      </c>
      <c r="H1932" s="1" t="str">
        <f>"0033"</f>
        <v>0033</v>
      </c>
      <c r="I1932" s="1" t="s">
        <v>106</v>
      </c>
      <c r="J1932" s="1" t="str">
        <f>"01043977567"</f>
        <v>01043977567</v>
      </c>
      <c r="K1932" s="1" t="str">
        <f>"2017-03-27 12:07:03"</f>
        <v>2017-03-27 12:07:03</v>
      </c>
      <c r="L1932" s="1" t="str">
        <f t="shared" si="194"/>
        <v>-</v>
      </c>
      <c r="M1932" s="2">
        <v>0</v>
      </c>
      <c r="N1932" s="1" t="s">
        <v>33</v>
      </c>
      <c r="O1932" s="1" t="s">
        <v>34</v>
      </c>
      <c r="P1932" s="2">
        <v>5.7870370370370366E-5</v>
      </c>
      <c r="Q1932" s="1" t="str">
        <f>""</f>
        <v/>
      </c>
      <c r="R1932" s="1">
        <v>0</v>
      </c>
      <c r="S1932" s="1" t="str">
        <f>""</f>
        <v/>
      </c>
      <c r="T1932" s="1" t="s">
        <v>29</v>
      </c>
      <c r="U1932" s="1" t="s">
        <v>30</v>
      </c>
      <c r="V1932" s="1">
        <v>0</v>
      </c>
    </row>
    <row r="1933" spans="2:22" x14ac:dyDescent="0.15">
      <c r="B1933" s="1" t="str">
        <f>"186****0604"</f>
        <v>186****0604</v>
      </c>
      <c r="C1933" s="1" t="s">
        <v>23</v>
      </c>
      <c r="D1933" s="1" t="str">
        <f t="shared" si="191"/>
        <v>89177328</v>
      </c>
      <c r="E1933" s="1" t="s">
        <v>24</v>
      </c>
      <c r="F1933" s="1" t="str">
        <f t="shared" si="193"/>
        <v>0010</v>
      </c>
      <c r="G1933" s="1" t="str">
        <f>""</f>
        <v/>
      </c>
      <c r="H1933" s="1" t="str">
        <f>"0033"</f>
        <v>0033</v>
      </c>
      <c r="I1933" s="1" t="s">
        <v>106</v>
      </c>
      <c r="J1933" s="1" t="str">
        <f>"01043977567"</f>
        <v>01043977567</v>
      </c>
      <c r="K1933" s="1" t="str">
        <f>"2017-03-27 12:06:39"</f>
        <v>2017-03-27 12:06:39</v>
      </c>
      <c r="L1933" s="1" t="str">
        <f t="shared" si="194"/>
        <v>-</v>
      </c>
      <c r="M1933" s="2">
        <v>0</v>
      </c>
      <c r="N1933" s="1" t="s">
        <v>33</v>
      </c>
      <c r="O1933" s="1" t="s">
        <v>34</v>
      </c>
      <c r="P1933" s="2">
        <v>9.2592592592592588E-5</v>
      </c>
      <c r="Q1933" s="1" t="str">
        <f>""</f>
        <v/>
      </c>
      <c r="R1933" s="1">
        <v>0</v>
      </c>
      <c r="S1933" s="1" t="str">
        <f>""</f>
        <v/>
      </c>
      <c r="T1933" s="1" t="s">
        <v>29</v>
      </c>
      <c r="U1933" s="1" t="s">
        <v>30</v>
      </c>
      <c r="V1933" s="1">
        <v>0</v>
      </c>
    </row>
    <row r="1934" spans="2:22" x14ac:dyDescent="0.15">
      <c r="B1934" s="1" t="str">
        <f>"133****9597"</f>
        <v>133****9597</v>
      </c>
      <c r="C1934" s="1" t="s">
        <v>23</v>
      </c>
      <c r="D1934" s="1" t="str">
        <f t="shared" si="191"/>
        <v>89177328</v>
      </c>
      <c r="E1934" s="1" t="s">
        <v>24</v>
      </c>
      <c r="F1934" s="1" t="str">
        <f t="shared" si="193"/>
        <v>0010</v>
      </c>
      <c r="G1934" s="1" t="str">
        <f>""</f>
        <v/>
      </c>
      <c r="H1934" s="1" t="str">
        <f>"0017"</f>
        <v>0017</v>
      </c>
      <c r="I1934" s="1" t="s">
        <v>135</v>
      </c>
      <c r="J1934" s="1" t="str">
        <f>"01043989717"</f>
        <v>01043989717</v>
      </c>
      <c r="K1934" s="1" t="str">
        <f>"2017-03-27 12:05:07"</f>
        <v>2017-03-27 12:05:07</v>
      </c>
      <c r="L1934" s="1" t="str">
        <f t="shared" si="194"/>
        <v>-</v>
      </c>
      <c r="M1934" s="2">
        <v>0</v>
      </c>
      <c r="N1934" s="1" t="s">
        <v>33</v>
      </c>
      <c r="O1934" s="1" t="s">
        <v>34</v>
      </c>
      <c r="P1934" s="2">
        <v>5.7870370370370366E-5</v>
      </c>
      <c r="Q1934" s="1" t="str">
        <f>""</f>
        <v/>
      </c>
      <c r="R1934" s="1">
        <v>0</v>
      </c>
      <c r="S1934" s="1" t="str">
        <f>""</f>
        <v/>
      </c>
      <c r="T1934" s="1" t="s">
        <v>29</v>
      </c>
      <c r="U1934" s="1" t="s">
        <v>30</v>
      </c>
      <c r="V1934" s="1">
        <v>0</v>
      </c>
    </row>
    <row r="1935" spans="2:22" x14ac:dyDescent="0.15">
      <c r="B1935" s="1" t="str">
        <f>"130****5656"</f>
        <v>130****5656</v>
      </c>
      <c r="C1935" s="1" t="s">
        <v>112</v>
      </c>
      <c r="D1935" s="1" t="str">
        <f t="shared" si="191"/>
        <v>89177328</v>
      </c>
      <c r="E1935" s="1" t="s">
        <v>24</v>
      </c>
      <c r="F1935" s="1" t="str">
        <f t="shared" si="193"/>
        <v>0010</v>
      </c>
      <c r="G1935" s="1" t="str">
        <f>""</f>
        <v/>
      </c>
      <c r="H1935" s="1" t="str">
        <f>"0017"</f>
        <v>0017</v>
      </c>
      <c r="I1935" s="1" t="s">
        <v>135</v>
      </c>
      <c r="J1935" s="1" t="str">
        <f>"01043989717"</f>
        <v>01043989717</v>
      </c>
      <c r="K1935" s="1" t="str">
        <f>"2017-03-27 12:04:15"</f>
        <v>2017-03-27 12:04:15</v>
      </c>
      <c r="L1935" s="1" t="str">
        <f t="shared" si="194"/>
        <v>-</v>
      </c>
      <c r="M1935" s="2">
        <v>0</v>
      </c>
      <c r="N1935" s="1" t="s">
        <v>33</v>
      </c>
      <c r="O1935" s="1" t="s">
        <v>34</v>
      </c>
      <c r="P1935" s="2">
        <v>5.7870370370370366E-5</v>
      </c>
      <c r="Q1935" s="1" t="str">
        <f>""</f>
        <v/>
      </c>
      <c r="R1935" s="1">
        <v>0</v>
      </c>
      <c r="S1935" s="1" t="str">
        <f>""</f>
        <v/>
      </c>
      <c r="T1935" s="1" t="s">
        <v>29</v>
      </c>
      <c r="U1935" s="1" t="s">
        <v>30</v>
      </c>
      <c r="V1935" s="1">
        <v>0</v>
      </c>
    </row>
    <row r="1936" spans="2:22" x14ac:dyDescent="0.15">
      <c r="B1936" s="1" t="str">
        <f>"157****4678"</f>
        <v>157****4678</v>
      </c>
      <c r="C1936" s="1" t="s">
        <v>23</v>
      </c>
      <c r="D1936" s="1" t="str">
        <f t="shared" si="191"/>
        <v>89177328</v>
      </c>
      <c r="E1936" s="1" t="s">
        <v>24</v>
      </c>
      <c r="F1936" s="1" t="str">
        <f t="shared" si="193"/>
        <v>0010</v>
      </c>
      <c r="G1936" s="1" t="str">
        <f>""</f>
        <v/>
      </c>
      <c r="H1936" s="1" t="str">
        <f>"0017"</f>
        <v>0017</v>
      </c>
      <c r="I1936" s="1" t="s">
        <v>135</v>
      </c>
      <c r="J1936" s="1" t="str">
        <f>"01043989717"</f>
        <v>01043989717</v>
      </c>
      <c r="K1936" s="1" t="str">
        <f>"2017-03-27 12:04:04"</f>
        <v>2017-03-27 12:04:04</v>
      </c>
      <c r="L1936" s="1" t="str">
        <f t="shared" si="194"/>
        <v>-</v>
      </c>
      <c r="M1936" s="2">
        <v>0</v>
      </c>
      <c r="N1936" s="1" t="s">
        <v>33</v>
      </c>
      <c r="O1936" s="1" t="s">
        <v>34</v>
      </c>
      <c r="P1936" s="2">
        <v>2.3148148148148147E-5</v>
      </c>
      <c r="Q1936" s="1" t="str">
        <f>""</f>
        <v/>
      </c>
      <c r="R1936" s="1">
        <v>0</v>
      </c>
      <c r="S1936" s="1" t="str">
        <f>""</f>
        <v/>
      </c>
      <c r="T1936" s="1" t="s">
        <v>29</v>
      </c>
      <c r="U1936" s="1" t="s">
        <v>30</v>
      </c>
      <c r="V1936" s="1">
        <v>0</v>
      </c>
    </row>
    <row r="1937" spans="2:22" x14ac:dyDescent="0.15">
      <c r="B1937" s="1" t="str">
        <f>"159****1376"</f>
        <v>159****1376</v>
      </c>
      <c r="C1937" s="1" t="s">
        <v>23</v>
      </c>
      <c r="D1937" s="1" t="str">
        <f t="shared" si="191"/>
        <v>89177328</v>
      </c>
      <c r="E1937" s="1" t="s">
        <v>24</v>
      </c>
      <c r="F1937" s="1" t="str">
        <f t="shared" si="193"/>
        <v>0010</v>
      </c>
      <c r="G1937" s="1" t="str">
        <f>""</f>
        <v/>
      </c>
      <c r="H1937" s="1" t="str">
        <f>"0035"</f>
        <v>0035</v>
      </c>
      <c r="I1937" s="1" t="s">
        <v>25</v>
      </c>
      <c r="J1937" s="1" t="str">
        <f>"01043977569"</f>
        <v>01043977569</v>
      </c>
      <c r="K1937" s="1" t="str">
        <f>"2017-03-27 12:03:53"</f>
        <v>2017-03-27 12:03:53</v>
      </c>
      <c r="L1937" s="1" t="str">
        <f>"2017-03-27 12:04:08"</f>
        <v>2017-03-27 12:04:08</v>
      </c>
      <c r="M1937" s="2">
        <v>4.0393518518518521E-3</v>
      </c>
      <c r="N1937" s="1" t="s">
        <v>26</v>
      </c>
      <c r="O1937" s="1" t="s">
        <v>27</v>
      </c>
      <c r="P1937" s="2">
        <v>4.2129629629629626E-3</v>
      </c>
      <c r="Q1937" s="1" t="s">
        <v>1399</v>
      </c>
      <c r="R1937" s="1">
        <v>0</v>
      </c>
      <c r="S1937" s="1" t="str">
        <f>""</f>
        <v/>
      </c>
      <c r="T1937" s="1" t="s">
        <v>29</v>
      </c>
      <c r="U1937" s="1" t="s">
        <v>30</v>
      </c>
      <c r="V1937" s="1">
        <v>0</v>
      </c>
    </row>
    <row r="1938" spans="2:22" x14ac:dyDescent="0.15">
      <c r="B1938" s="1" t="str">
        <f>"186****0604"</f>
        <v>186****0604</v>
      </c>
      <c r="C1938" s="1" t="s">
        <v>23</v>
      </c>
      <c r="D1938" s="1" t="str">
        <f t="shared" si="191"/>
        <v>89177328</v>
      </c>
      <c r="E1938" s="1" t="s">
        <v>24</v>
      </c>
      <c r="F1938" s="1" t="str">
        <f t="shared" si="193"/>
        <v>0010</v>
      </c>
      <c r="G1938" s="1" t="str">
        <f>""</f>
        <v/>
      </c>
      <c r="H1938" s="1" t="str">
        <f>"0035"</f>
        <v>0035</v>
      </c>
      <c r="I1938" s="1" t="s">
        <v>25</v>
      </c>
      <c r="J1938" s="1" t="str">
        <f>"01043977569"</f>
        <v>01043977569</v>
      </c>
      <c r="K1938" s="1" t="str">
        <f>"2017-03-27 12:03:11"</f>
        <v>2017-03-27 12:03:11</v>
      </c>
      <c r="L1938" s="1" t="str">
        <f>"-"</f>
        <v>-</v>
      </c>
      <c r="M1938" s="2">
        <v>0</v>
      </c>
      <c r="N1938" s="1" t="s">
        <v>33</v>
      </c>
      <c r="O1938" s="1" t="s">
        <v>34</v>
      </c>
      <c r="P1938" s="2">
        <v>1.0416666666666667E-4</v>
      </c>
      <c r="Q1938" s="1" t="str">
        <f>""</f>
        <v/>
      </c>
      <c r="R1938" s="1">
        <v>0</v>
      </c>
      <c r="S1938" s="1" t="str">
        <f>""</f>
        <v/>
      </c>
      <c r="T1938" s="1" t="s">
        <v>29</v>
      </c>
      <c r="U1938" s="1" t="s">
        <v>30</v>
      </c>
      <c r="V1938" s="1">
        <v>0</v>
      </c>
    </row>
    <row r="1939" spans="2:22" x14ac:dyDescent="0.15">
      <c r="B1939" s="1" t="str">
        <f>"183****4280"</f>
        <v>183****4280</v>
      </c>
      <c r="C1939" s="1" t="s">
        <v>23</v>
      </c>
      <c r="D1939" s="1" t="str">
        <f t="shared" si="191"/>
        <v>89177328</v>
      </c>
      <c r="E1939" s="1" t="s">
        <v>24</v>
      </c>
      <c r="F1939" s="1" t="str">
        <f t="shared" si="193"/>
        <v>0010</v>
      </c>
      <c r="G1939" s="1" t="str">
        <f>""</f>
        <v/>
      </c>
      <c r="H1939" s="1" t="str">
        <f>"0018"</f>
        <v>0018</v>
      </c>
      <c r="I1939" s="1" t="s">
        <v>36</v>
      </c>
      <c r="J1939" s="1" t="str">
        <f>"01043989718"</f>
        <v>01043989718</v>
      </c>
      <c r="K1939" s="1" t="str">
        <f>"2017-03-27 12:02:34"</f>
        <v>2017-03-27 12:02:34</v>
      </c>
      <c r="L1939" s="1" t="str">
        <f>"-"</f>
        <v>-</v>
      </c>
      <c r="M1939" s="2">
        <v>0</v>
      </c>
      <c r="N1939" s="1" t="s">
        <v>33</v>
      </c>
      <c r="O1939" s="1" t="s">
        <v>34</v>
      </c>
      <c r="P1939" s="2">
        <v>9.2592592592592588E-5</v>
      </c>
      <c r="Q1939" s="1" t="str">
        <f>""</f>
        <v/>
      </c>
      <c r="R1939" s="1">
        <v>0</v>
      </c>
      <c r="S1939" s="1" t="str">
        <f>""</f>
        <v/>
      </c>
      <c r="T1939" s="1" t="s">
        <v>29</v>
      </c>
      <c r="U1939" s="1" t="s">
        <v>30</v>
      </c>
      <c r="V1939" s="1">
        <v>0</v>
      </c>
    </row>
    <row r="1940" spans="2:22" x14ac:dyDescent="0.15">
      <c r="B1940" s="1" t="str">
        <f>"188****7867"</f>
        <v>188****7867</v>
      </c>
      <c r="C1940" s="1" t="s">
        <v>23</v>
      </c>
      <c r="D1940" s="1" t="str">
        <f t="shared" si="191"/>
        <v>89177328</v>
      </c>
      <c r="E1940" s="1" t="s">
        <v>24</v>
      </c>
      <c r="F1940" s="1" t="str">
        <f t="shared" si="193"/>
        <v>0010</v>
      </c>
      <c r="G1940" s="1" t="str">
        <f>""</f>
        <v/>
      </c>
      <c r="H1940" s="1" t="str">
        <f>"0017"</f>
        <v>0017</v>
      </c>
      <c r="I1940" s="1" t="s">
        <v>135</v>
      </c>
      <c r="J1940" s="1" t="str">
        <f>"01043989717"</f>
        <v>01043989717</v>
      </c>
      <c r="K1940" s="1" t="str">
        <f>"2017-03-27 12:02:01"</f>
        <v>2017-03-27 12:02:01</v>
      </c>
      <c r="L1940" s="1" t="str">
        <f>"-"</f>
        <v>-</v>
      </c>
      <c r="M1940" s="2">
        <v>0</v>
      </c>
      <c r="N1940" s="1" t="s">
        <v>33</v>
      </c>
      <c r="O1940" s="1" t="s">
        <v>34</v>
      </c>
      <c r="P1940" s="2">
        <v>8.1018518518518516E-5</v>
      </c>
      <c r="Q1940" s="1" t="str">
        <f>""</f>
        <v/>
      </c>
      <c r="R1940" s="1">
        <v>0</v>
      </c>
      <c r="S1940" s="1" t="str">
        <f>""</f>
        <v/>
      </c>
      <c r="T1940" s="1" t="s">
        <v>29</v>
      </c>
      <c r="U1940" s="1" t="s">
        <v>30</v>
      </c>
      <c r="V1940" s="1">
        <v>0</v>
      </c>
    </row>
    <row r="1941" spans="2:22" x14ac:dyDescent="0.15">
      <c r="B1941" s="1" t="str">
        <f>"130****5656"</f>
        <v>130****5656</v>
      </c>
      <c r="C1941" s="1" t="s">
        <v>112</v>
      </c>
      <c r="D1941" s="1" t="str">
        <f t="shared" si="191"/>
        <v>89177328</v>
      </c>
      <c r="E1941" s="1" t="s">
        <v>24</v>
      </c>
      <c r="F1941" s="1" t="str">
        <f t="shared" si="193"/>
        <v>0010</v>
      </c>
      <c r="G1941" s="1" t="str">
        <f>""</f>
        <v/>
      </c>
      <c r="H1941" s="1" t="str">
        <f>"0035"</f>
        <v>0035</v>
      </c>
      <c r="I1941" s="1" t="s">
        <v>25</v>
      </c>
      <c r="J1941" s="1" t="str">
        <f>"01043977569"</f>
        <v>01043977569</v>
      </c>
      <c r="K1941" s="1" t="str">
        <f>"2017-03-27 12:01:29"</f>
        <v>2017-03-27 12:01:29</v>
      </c>
      <c r="L1941" s="1" t="str">
        <f>"-"</f>
        <v>-</v>
      </c>
      <c r="M1941" s="2">
        <v>0</v>
      </c>
      <c r="N1941" s="1" t="s">
        <v>33</v>
      </c>
      <c r="O1941" s="1" t="s">
        <v>34</v>
      </c>
      <c r="P1941" s="2">
        <v>5.7870370370370366E-5</v>
      </c>
      <c r="Q1941" s="1" t="str">
        <f>""</f>
        <v/>
      </c>
      <c r="R1941" s="1">
        <v>0</v>
      </c>
      <c r="S1941" s="1" t="str">
        <f>""</f>
        <v/>
      </c>
      <c r="T1941" s="1" t="s">
        <v>29</v>
      </c>
      <c r="U1941" s="1" t="s">
        <v>30</v>
      </c>
      <c r="V1941" s="1">
        <v>0</v>
      </c>
    </row>
    <row r="1942" spans="2:22" x14ac:dyDescent="0.15">
      <c r="B1942" s="1" t="str">
        <f>"150****2189"</f>
        <v>150****2189</v>
      </c>
      <c r="C1942" s="1" t="s">
        <v>23</v>
      </c>
      <c r="D1942" s="1" t="str">
        <f t="shared" si="191"/>
        <v>89177328</v>
      </c>
      <c r="E1942" s="1" t="s">
        <v>24</v>
      </c>
      <c r="F1942" s="1" t="str">
        <f t="shared" si="193"/>
        <v>0010</v>
      </c>
      <c r="G1942" s="1" t="str">
        <f>""</f>
        <v/>
      </c>
      <c r="H1942" s="1" t="str">
        <f>"0031"</f>
        <v>0031</v>
      </c>
      <c r="I1942" s="1" t="s">
        <v>95</v>
      </c>
      <c r="J1942" s="1" t="str">
        <f>"01043977565"</f>
        <v>01043977565</v>
      </c>
      <c r="K1942" s="1" t="str">
        <f>"2017-03-27 11:27:09"</f>
        <v>2017-03-27 11:27:09</v>
      </c>
      <c r="L1942" s="1" t="str">
        <f>"2017-03-27 11:27:15"</f>
        <v>2017-03-27 11:27:15</v>
      </c>
      <c r="M1942" s="2">
        <v>4.2708333333333339E-3</v>
      </c>
      <c r="N1942" s="1" t="s">
        <v>26</v>
      </c>
      <c r="O1942" s="1" t="s">
        <v>27</v>
      </c>
      <c r="P1942" s="2">
        <v>4.340277777777778E-3</v>
      </c>
      <c r="Q1942" s="1" t="s">
        <v>1400</v>
      </c>
      <c r="R1942" s="1">
        <v>0</v>
      </c>
      <c r="S1942" s="1" t="str">
        <f>""</f>
        <v/>
      </c>
      <c r="T1942" s="1" t="s">
        <v>29</v>
      </c>
      <c r="U1942" s="1" t="s">
        <v>30</v>
      </c>
      <c r="V1942" s="1">
        <v>0</v>
      </c>
    </row>
    <row r="1943" spans="2:22" x14ac:dyDescent="0.15">
      <c r="B1943" s="1" t="str">
        <f>"139****7668"</f>
        <v>139****7668</v>
      </c>
      <c r="C1943" s="1" t="s">
        <v>23</v>
      </c>
      <c r="D1943" s="1" t="str">
        <f t="shared" si="191"/>
        <v>89177328</v>
      </c>
      <c r="E1943" s="1" t="s">
        <v>24</v>
      </c>
      <c r="F1943" s="1" t="str">
        <f t="shared" si="193"/>
        <v>0010</v>
      </c>
      <c r="G1943" s="1" t="str">
        <f>""</f>
        <v/>
      </c>
      <c r="H1943" s="1" t="str">
        <f>"0012"</f>
        <v>0012</v>
      </c>
      <c r="I1943" s="1" t="s">
        <v>612</v>
      </c>
      <c r="J1943" s="1" t="str">
        <f>"01043989720"</f>
        <v>01043989720</v>
      </c>
      <c r="K1943" s="1" t="str">
        <f>"2017-03-27 11:25:51"</f>
        <v>2017-03-27 11:25:51</v>
      </c>
      <c r="L1943" s="1" t="str">
        <f>"2017-03-27 11:26:04"</f>
        <v>2017-03-27 11:26:04</v>
      </c>
      <c r="M1943" s="2">
        <v>9.1898148148148139E-3</v>
      </c>
      <c r="N1943" s="1" t="s">
        <v>26</v>
      </c>
      <c r="O1943" s="1" t="s">
        <v>27</v>
      </c>
      <c r="P1943" s="2">
        <v>9.3402777777777772E-3</v>
      </c>
      <c r="Q1943" s="1" t="s">
        <v>1401</v>
      </c>
      <c r="R1943" s="1">
        <v>0</v>
      </c>
      <c r="S1943" s="1" t="str">
        <f>""</f>
        <v/>
      </c>
      <c r="T1943" s="1" t="s">
        <v>29</v>
      </c>
      <c r="U1943" s="1" t="s">
        <v>30</v>
      </c>
      <c r="V1943" s="1">
        <v>0</v>
      </c>
    </row>
    <row r="1944" spans="2:22" x14ac:dyDescent="0.15">
      <c r="B1944" s="1" t="str">
        <f>"010****3505"</f>
        <v>010****3505</v>
      </c>
      <c r="C1944" s="1" t="s">
        <v>23</v>
      </c>
      <c r="D1944" s="1" t="str">
        <f t="shared" si="191"/>
        <v>89177328</v>
      </c>
      <c r="E1944" s="1" t="s">
        <v>24</v>
      </c>
      <c r="F1944" s="1" t="str">
        <f t="shared" si="193"/>
        <v>0010</v>
      </c>
      <c r="G1944" s="1" t="str">
        <f>""</f>
        <v/>
      </c>
      <c r="H1944" s="1" t="str">
        <f>"0033"</f>
        <v>0033</v>
      </c>
      <c r="I1944" s="1" t="s">
        <v>106</v>
      </c>
      <c r="J1944" s="1" t="str">
        <f>"01043977567"</f>
        <v>01043977567</v>
      </c>
      <c r="K1944" s="1" t="str">
        <f>"2017-03-27 11:22:23"</f>
        <v>2017-03-27 11:22:23</v>
      </c>
      <c r="L1944" s="1" t="str">
        <f>"2017-03-27 11:22:32"</f>
        <v>2017-03-27 11:22:32</v>
      </c>
      <c r="M1944" s="2">
        <v>4.6180555555555558E-3</v>
      </c>
      <c r="N1944" s="1" t="s">
        <v>26</v>
      </c>
      <c r="O1944" s="1" t="s">
        <v>27</v>
      </c>
      <c r="P1944" s="2">
        <v>4.7222222222222223E-3</v>
      </c>
      <c r="Q1944" s="1" t="s">
        <v>1402</v>
      </c>
      <c r="R1944" s="1">
        <v>0</v>
      </c>
      <c r="S1944" s="1" t="str">
        <f>""</f>
        <v/>
      </c>
      <c r="T1944" s="1" t="s">
        <v>29</v>
      </c>
      <c r="U1944" s="1" t="s">
        <v>30</v>
      </c>
      <c r="V1944" s="1">
        <v>0</v>
      </c>
    </row>
    <row r="1945" spans="2:22" x14ac:dyDescent="0.15">
      <c r="B1945" s="1" t="str">
        <f>"010****4332"</f>
        <v>010****4332</v>
      </c>
      <c r="C1945" s="1" t="s">
        <v>23</v>
      </c>
      <c r="D1945" s="1" t="str">
        <f t="shared" si="191"/>
        <v>89177328</v>
      </c>
      <c r="E1945" s="1" t="s">
        <v>24</v>
      </c>
      <c r="F1945" s="1" t="str">
        <f t="shared" si="193"/>
        <v>0010</v>
      </c>
      <c r="G1945" s="1" t="str">
        <f>""</f>
        <v/>
      </c>
      <c r="H1945" s="1" t="str">
        <f>"0018"</f>
        <v>0018</v>
      </c>
      <c r="I1945" s="1" t="s">
        <v>36</v>
      </c>
      <c r="J1945" s="1" t="str">
        <f>"01043989718"</f>
        <v>01043989718</v>
      </c>
      <c r="K1945" s="1" t="str">
        <f>"2017-03-27 11:17:30"</f>
        <v>2017-03-27 11:17:30</v>
      </c>
      <c r="L1945" s="1" t="str">
        <f>"2017-03-27 11:17:38"</f>
        <v>2017-03-27 11:17:38</v>
      </c>
      <c r="M1945" s="2">
        <v>8.6226851851851846E-3</v>
      </c>
      <c r="N1945" s="1" t="s">
        <v>26</v>
      </c>
      <c r="O1945" s="1" t="s">
        <v>34</v>
      </c>
      <c r="P1945" s="2">
        <v>8.7152777777777784E-3</v>
      </c>
      <c r="Q1945" s="1" t="s">
        <v>1403</v>
      </c>
      <c r="R1945" s="1">
        <v>0</v>
      </c>
      <c r="S1945" s="1" t="str">
        <f>""</f>
        <v/>
      </c>
      <c r="T1945" s="1" t="s">
        <v>29</v>
      </c>
      <c r="U1945" s="1" t="s">
        <v>30</v>
      </c>
      <c r="V1945" s="1">
        <v>0</v>
      </c>
    </row>
    <row r="1946" spans="2:22" x14ac:dyDescent="0.15">
      <c r="B1946" s="1" t="str">
        <f>"134****6729"</f>
        <v>134****6729</v>
      </c>
      <c r="C1946" s="1" t="s">
        <v>23</v>
      </c>
      <c r="D1946" s="1" t="str">
        <f t="shared" si="191"/>
        <v>89177328</v>
      </c>
      <c r="E1946" s="1" t="s">
        <v>24</v>
      </c>
      <c r="F1946" s="1" t="str">
        <f t="shared" si="193"/>
        <v>0010</v>
      </c>
      <c r="G1946" s="1" t="str">
        <f>""</f>
        <v/>
      </c>
      <c r="H1946" s="1" t="str">
        <f>"0017"</f>
        <v>0017</v>
      </c>
      <c r="I1946" s="1" t="s">
        <v>135</v>
      </c>
      <c r="J1946" s="1" t="str">
        <f>"01043989717"</f>
        <v>01043989717</v>
      </c>
      <c r="K1946" s="1" t="str">
        <f>"2017-03-27 11:14:58"</f>
        <v>2017-03-27 11:14:58</v>
      </c>
      <c r="L1946" s="1" t="str">
        <f>"2017-03-27 11:15:05"</f>
        <v>2017-03-27 11:15:05</v>
      </c>
      <c r="M1946" s="2">
        <v>3.3912037037037036E-3</v>
      </c>
      <c r="N1946" s="1" t="s">
        <v>26</v>
      </c>
      <c r="O1946" s="1" t="s">
        <v>27</v>
      </c>
      <c r="P1946" s="2">
        <v>3.472222222222222E-3</v>
      </c>
      <c r="Q1946" s="1" t="s">
        <v>1404</v>
      </c>
      <c r="R1946" s="1">
        <v>0</v>
      </c>
      <c r="S1946" s="1" t="str">
        <f>""</f>
        <v/>
      </c>
      <c r="T1946" s="1" t="s">
        <v>29</v>
      </c>
      <c r="U1946" s="1" t="s">
        <v>30</v>
      </c>
      <c r="V1946" s="1">
        <v>0</v>
      </c>
    </row>
    <row r="1947" spans="2:22" x14ac:dyDescent="0.15">
      <c r="B1947" s="1" t="str">
        <f>"031****2099"</f>
        <v>031****2099</v>
      </c>
      <c r="C1947" s="1" t="s">
        <v>99</v>
      </c>
      <c r="D1947" s="1" t="str">
        <f t="shared" si="191"/>
        <v>89177328</v>
      </c>
      <c r="E1947" s="1" t="s">
        <v>24</v>
      </c>
      <c r="F1947" s="1" t="str">
        <f t="shared" si="193"/>
        <v>0010</v>
      </c>
      <c r="G1947" s="1" t="str">
        <f>""</f>
        <v/>
      </c>
      <c r="H1947" s="1" t="str">
        <f>"0012"</f>
        <v>0012</v>
      </c>
      <c r="I1947" s="1" t="s">
        <v>612</v>
      </c>
      <c r="J1947" s="1" t="str">
        <f>"01043989720"</f>
        <v>01043989720</v>
      </c>
      <c r="K1947" s="1" t="str">
        <f>"2017-03-27 11:14:22"</f>
        <v>2017-03-27 11:14:22</v>
      </c>
      <c r="L1947" s="1" t="str">
        <f>"2017-03-27 11:14:33"</f>
        <v>2017-03-27 11:14:33</v>
      </c>
      <c r="M1947" s="2">
        <v>6.0879629629629643E-3</v>
      </c>
      <c r="N1947" s="1" t="s">
        <v>26</v>
      </c>
      <c r="O1947" s="1" t="s">
        <v>27</v>
      </c>
      <c r="P1947" s="2">
        <v>6.215277777777777E-3</v>
      </c>
      <c r="Q1947" s="1" t="s">
        <v>1405</v>
      </c>
      <c r="R1947" s="1">
        <v>0</v>
      </c>
      <c r="S1947" s="1" t="str">
        <f>""</f>
        <v/>
      </c>
      <c r="T1947" s="1" t="s">
        <v>29</v>
      </c>
      <c r="U1947" s="1" t="s">
        <v>30</v>
      </c>
      <c r="V1947" s="1">
        <v>0</v>
      </c>
    </row>
    <row r="1948" spans="2:22" x14ac:dyDescent="0.15">
      <c r="B1948" s="1" t="str">
        <f>"151****4077"</f>
        <v>151****4077</v>
      </c>
      <c r="C1948" s="1" t="s">
        <v>99</v>
      </c>
      <c r="D1948" s="1" t="str">
        <f t="shared" si="191"/>
        <v>89177328</v>
      </c>
      <c r="E1948" s="1" t="s">
        <v>24</v>
      </c>
      <c r="F1948" s="1" t="str">
        <f t="shared" si="193"/>
        <v>0010</v>
      </c>
      <c r="G1948" s="1" t="str">
        <f>""</f>
        <v/>
      </c>
      <c r="H1948" s="1" t="str">
        <f>"0031"</f>
        <v>0031</v>
      </c>
      <c r="I1948" s="1" t="s">
        <v>95</v>
      </c>
      <c r="J1948" s="1" t="str">
        <f>"01043977565"</f>
        <v>01043977565</v>
      </c>
      <c r="K1948" s="1" t="str">
        <f>"2017-03-27 11:05:57"</f>
        <v>2017-03-27 11:05:57</v>
      </c>
      <c r="L1948" s="1" t="str">
        <f>"2017-03-27 11:06:06"</f>
        <v>2017-03-27 11:06:06</v>
      </c>
      <c r="M1948" s="2">
        <v>7.9282407407407409E-3</v>
      </c>
      <c r="N1948" s="1" t="s">
        <v>26</v>
      </c>
      <c r="O1948" s="1" t="s">
        <v>27</v>
      </c>
      <c r="P1948" s="2">
        <v>8.0324074074074065E-3</v>
      </c>
      <c r="Q1948" s="1" t="s">
        <v>1406</v>
      </c>
      <c r="R1948" s="1">
        <v>0</v>
      </c>
      <c r="S1948" s="1" t="str">
        <f>""</f>
        <v/>
      </c>
      <c r="T1948" s="1" t="s">
        <v>29</v>
      </c>
      <c r="U1948" s="1" t="s">
        <v>30</v>
      </c>
      <c r="V1948" s="1">
        <v>0</v>
      </c>
    </row>
    <row r="1949" spans="2:22" x14ac:dyDescent="0.15">
      <c r="B1949" s="1" t="str">
        <f>"114"</f>
        <v>114</v>
      </c>
      <c r="C1949" s="1" t="s">
        <v>159</v>
      </c>
      <c r="D1949" s="1" t="str">
        <f t="shared" si="191"/>
        <v>89177328</v>
      </c>
      <c r="E1949" s="1" t="s">
        <v>24</v>
      </c>
      <c r="F1949" s="1" t="str">
        <f t="shared" si="193"/>
        <v>0010</v>
      </c>
      <c r="G1949" s="1" t="str">
        <f>""</f>
        <v/>
      </c>
      <c r="H1949" s="1" t="str">
        <f>"0033"</f>
        <v>0033</v>
      </c>
      <c r="I1949" s="1" t="s">
        <v>106</v>
      </c>
      <c r="J1949" s="1" t="str">
        <f>"01043977567"</f>
        <v>01043977567</v>
      </c>
      <c r="K1949" s="1" t="str">
        <f>"2017-03-27 11:04:25"</f>
        <v>2017-03-27 11:04:25</v>
      </c>
      <c r="L1949" s="1" t="str">
        <f>"2017-03-27 11:04:33"</f>
        <v>2017-03-27 11:04:33</v>
      </c>
      <c r="M1949" s="2">
        <v>2.7083333333333334E-3</v>
      </c>
      <c r="N1949" s="1" t="s">
        <v>26</v>
      </c>
      <c r="O1949" s="1" t="s">
        <v>27</v>
      </c>
      <c r="P1949" s="2">
        <v>2.8009259259259259E-3</v>
      </c>
      <c r="Q1949" s="1" t="s">
        <v>1407</v>
      </c>
      <c r="R1949" s="1">
        <v>0</v>
      </c>
      <c r="S1949" s="1" t="str">
        <f>""</f>
        <v/>
      </c>
      <c r="T1949" s="1" t="s">
        <v>29</v>
      </c>
      <c r="U1949" s="1" t="s">
        <v>30</v>
      </c>
      <c r="V1949" s="1">
        <v>0</v>
      </c>
    </row>
    <row r="1950" spans="2:22" x14ac:dyDescent="0.15">
      <c r="B1950" s="1" t="str">
        <f>"157****6426"</f>
        <v>157****6426</v>
      </c>
      <c r="C1950" s="1" t="s">
        <v>23</v>
      </c>
      <c r="D1950" s="1" t="str">
        <f t="shared" si="191"/>
        <v>89177328</v>
      </c>
      <c r="E1950" s="1" t="s">
        <v>24</v>
      </c>
      <c r="F1950" s="1" t="str">
        <f t="shared" si="193"/>
        <v>0010</v>
      </c>
      <c r="G1950" s="1" t="str">
        <f>""</f>
        <v/>
      </c>
      <c r="H1950" s="1" t="str">
        <f>"0031"</f>
        <v>0031</v>
      </c>
      <c r="I1950" s="1" t="s">
        <v>95</v>
      </c>
      <c r="J1950" s="1" t="str">
        <f>"01043977565"</f>
        <v>01043977565</v>
      </c>
      <c r="K1950" s="1" t="str">
        <f>"2017-03-27 10:46:13"</f>
        <v>2017-03-27 10:46:13</v>
      </c>
      <c r="L1950" s="1" t="str">
        <f>"2017-03-27 10:46:40"</f>
        <v>2017-03-27 10:46:40</v>
      </c>
      <c r="M1950" s="2">
        <v>2.3148148148148147E-5</v>
      </c>
      <c r="N1950" s="1" t="s">
        <v>26</v>
      </c>
      <c r="O1950" s="1" t="s">
        <v>34</v>
      </c>
      <c r="P1950" s="2">
        <v>3.3564814814814812E-4</v>
      </c>
      <c r="Q1950" s="1" t="str">
        <f>""</f>
        <v/>
      </c>
      <c r="R1950" s="1">
        <v>0</v>
      </c>
      <c r="S1950" s="1" t="str">
        <f>""</f>
        <v/>
      </c>
      <c r="T1950" s="1" t="s">
        <v>29</v>
      </c>
      <c r="U1950" s="1" t="s">
        <v>30</v>
      </c>
      <c r="V1950" s="1">
        <v>0</v>
      </c>
    </row>
    <row r="1951" spans="2:22" x14ac:dyDescent="0.15">
      <c r="B1951" s="1" t="str">
        <f>"133****9803"</f>
        <v>133****9803</v>
      </c>
      <c r="C1951" s="1" t="s">
        <v>23</v>
      </c>
      <c r="D1951" s="1" t="str">
        <f t="shared" si="191"/>
        <v>89177328</v>
      </c>
      <c r="E1951" s="1" t="s">
        <v>24</v>
      </c>
      <c r="F1951" s="1" t="str">
        <f t="shared" si="193"/>
        <v>0010</v>
      </c>
      <c r="G1951" s="1" t="str">
        <f>""</f>
        <v/>
      </c>
      <c r="H1951" s="1" t="str">
        <f>"0033"</f>
        <v>0033</v>
      </c>
      <c r="I1951" s="1" t="s">
        <v>106</v>
      </c>
      <c r="J1951" s="1" t="str">
        <f>"01043977567"</f>
        <v>01043977567</v>
      </c>
      <c r="K1951" s="1" t="str">
        <f>"2017-03-27 10:44:55"</f>
        <v>2017-03-27 10:44:55</v>
      </c>
      <c r="L1951" s="1" t="str">
        <f>"2017-03-27 10:46:03"</f>
        <v>2017-03-27 10:46:03</v>
      </c>
      <c r="M1951" s="2">
        <v>9.5601851851851855E-3</v>
      </c>
      <c r="N1951" s="1" t="s">
        <v>26</v>
      </c>
      <c r="O1951" s="1" t="s">
        <v>27</v>
      </c>
      <c r="P1951" s="2">
        <v>1.0347222222222223E-2</v>
      </c>
      <c r="Q1951" s="1" t="s">
        <v>1408</v>
      </c>
      <c r="R1951" s="1">
        <v>0</v>
      </c>
      <c r="S1951" s="1" t="str">
        <f>""</f>
        <v/>
      </c>
      <c r="T1951" s="1" t="s">
        <v>29</v>
      </c>
      <c r="U1951" s="1" t="s">
        <v>30</v>
      </c>
      <c r="V1951" s="1">
        <v>0</v>
      </c>
    </row>
    <row r="1952" spans="2:22" x14ac:dyDescent="0.15">
      <c r="B1952" s="1" t="str">
        <f>"186****1504"</f>
        <v>186****1504</v>
      </c>
      <c r="C1952" s="1" t="s">
        <v>23</v>
      </c>
      <c r="D1952" s="1" t="str">
        <f t="shared" si="191"/>
        <v>89177328</v>
      </c>
      <c r="E1952" s="1" t="s">
        <v>24</v>
      </c>
      <c r="F1952" s="1" t="str">
        <f t="shared" si="193"/>
        <v>0010</v>
      </c>
      <c r="G1952" s="1" t="str">
        <f>""</f>
        <v/>
      </c>
      <c r="H1952" s="1" t="str">
        <f>"0018"</f>
        <v>0018</v>
      </c>
      <c r="I1952" s="1" t="s">
        <v>36</v>
      </c>
      <c r="J1952" s="1" t="str">
        <f>"01043989718"</f>
        <v>01043989718</v>
      </c>
      <c r="K1952" s="1" t="str">
        <f>"2017-03-27 10:42:58"</f>
        <v>2017-03-27 10:42:58</v>
      </c>
      <c r="L1952" s="1" t="str">
        <f>"2017-03-27 10:43:44"</f>
        <v>2017-03-27 10:43:44</v>
      </c>
      <c r="M1952" s="2">
        <v>1.2546296296296297E-2</v>
      </c>
      <c r="N1952" s="1" t="s">
        <v>26</v>
      </c>
      <c r="O1952" s="1" t="s">
        <v>34</v>
      </c>
      <c r="P1952" s="2">
        <v>1.3078703703703703E-2</v>
      </c>
      <c r="Q1952" s="1" t="s">
        <v>1409</v>
      </c>
      <c r="R1952" s="1">
        <v>0</v>
      </c>
      <c r="S1952" s="1" t="str">
        <f>""</f>
        <v/>
      </c>
      <c r="T1952" s="1" t="s">
        <v>29</v>
      </c>
      <c r="U1952" s="1" t="s">
        <v>30</v>
      </c>
      <c r="V1952" s="1">
        <v>0</v>
      </c>
    </row>
    <row r="1953" spans="2:22" x14ac:dyDescent="0.15">
      <c r="B1953" s="1" t="str">
        <f>"138****8857"</f>
        <v>138****8857</v>
      </c>
      <c r="C1953" s="1" t="s">
        <v>23</v>
      </c>
      <c r="D1953" s="1" t="str">
        <f t="shared" si="191"/>
        <v>89177328</v>
      </c>
      <c r="E1953" s="1" t="s">
        <v>24</v>
      </c>
      <c r="F1953" s="1" t="str">
        <f t="shared" si="193"/>
        <v>0010</v>
      </c>
      <c r="G1953" s="1" t="str">
        <f>""</f>
        <v/>
      </c>
      <c r="H1953" s="1" t="str">
        <f>"0017"</f>
        <v>0017</v>
      </c>
      <c r="I1953" s="1" t="s">
        <v>135</v>
      </c>
      <c r="J1953" s="1" t="str">
        <f>"01043989717"</f>
        <v>01043989717</v>
      </c>
      <c r="K1953" s="1" t="str">
        <f>"2017-03-27 10:42:16"</f>
        <v>2017-03-27 10:42:16</v>
      </c>
      <c r="L1953" s="1" t="str">
        <f>"2017-03-27 10:42:22"</f>
        <v>2017-03-27 10:42:22</v>
      </c>
      <c r="M1953" s="2">
        <v>5.138888888888889E-3</v>
      </c>
      <c r="N1953" s="1" t="s">
        <v>26</v>
      </c>
      <c r="O1953" s="1" t="s">
        <v>34</v>
      </c>
      <c r="P1953" s="2">
        <v>5.208333333333333E-3</v>
      </c>
      <c r="Q1953" s="1" t="s">
        <v>1410</v>
      </c>
      <c r="R1953" s="1">
        <v>0</v>
      </c>
      <c r="S1953" s="1" t="str">
        <f>""</f>
        <v/>
      </c>
      <c r="T1953" s="1" t="s">
        <v>29</v>
      </c>
      <c r="U1953" s="1" t="s">
        <v>30</v>
      </c>
      <c r="V1953" s="1">
        <v>0</v>
      </c>
    </row>
    <row r="1954" spans="2:22" x14ac:dyDescent="0.15">
      <c r="B1954" s="1" t="str">
        <f>"186****1414"</f>
        <v>186****1414</v>
      </c>
      <c r="C1954" s="1" t="s">
        <v>23</v>
      </c>
      <c r="D1954" s="1" t="str">
        <f t="shared" si="191"/>
        <v>89177328</v>
      </c>
      <c r="E1954" s="1" t="s">
        <v>24</v>
      </c>
      <c r="F1954" s="1" t="str">
        <f t="shared" si="193"/>
        <v>0010</v>
      </c>
      <c r="G1954" s="1" t="str">
        <f>""</f>
        <v/>
      </c>
      <c r="H1954" s="1" t="str">
        <f>"0018"</f>
        <v>0018</v>
      </c>
      <c r="I1954" s="1" t="s">
        <v>36</v>
      </c>
      <c r="J1954" s="1" t="str">
        <f>"01043989718"</f>
        <v>01043989718</v>
      </c>
      <c r="K1954" s="1" t="str">
        <f>"2017-03-27 10:42:12"</f>
        <v>2017-03-27 10:42:12</v>
      </c>
      <c r="L1954" s="1" t="str">
        <f>"2017-03-27 10:42:21"</f>
        <v>2017-03-27 10:42:21</v>
      </c>
      <c r="M1954" s="2">
        <v>7.7546296296296304E-4</v>
      </c>
      <c r="N1954" s="1" t="s">
        <v>26</v>
      </c>
      <c r="O1954" s="1" t="s">
        <v>34</v>
      </c>
      <c r="P1954" s="2">
        <v>8.7962962962962962E-4</v>
      </c>
      <c r="Q1954" s="1" t="s">
        <v>1411</v>
      </c>
      <c r="R1954" s="1">
        <v>0</v>
      </c>
      <c r="S1954" s="1" t="str">
        <f>""</f>
        <v/>
      </c>
      <c r="T1954" s="1" t="s">
        <v>29</v>
      </c>
      <c r="U1954" s="1" t="s">
        <v>30</v>
      </c>
      <c r="V1954" s="1">
        <v>0</v>
      </c>
    </row>
    <row r="1955" spans="2:22" x14ac:dyDescent="0.15">
      <c r="B1955" s="1" t="str">
        <f>"131****9991"</f>
        <v>131****9991</v>
      </c>
      <c r="C1955" s="1" t="s">
        <v>23</v>
      </c>
      <c r="D1955" s="1" t="str">
        <f t="shared" si="191"/>
        <v>89177328</v>
      </c>
      <c r="E1955" s="1" t="s">
        <v>24</v>
      </c>
      <c r="F1955" s="1" t="str">
        <f t="shared" si="193"/>
        <v>0010</v>
      </c>
      <c r="G1955" s="1" t="str">
        <f>""</f>
        <v/>
      </c>
      <c r="H1955" s="1" t="str">
        <f>"0017"</f>
        <v>0017</v>
      </c>
      <c r="I1955" s="1" t="s">
        <v>135</v>
      </c>
      <c r="J1955" s="1" t="str">
        <f>"01043989717"</f>
        <v>01043989717</v>
      </c>
      <c r="K1955" s="1" t="str">
        <f>"2017-03-27 10:41:30"</f>
        <v>2017-03-27 10:41:30</v>
      </c>
      <c r="L1955" s="1" t="str">
        <f>"2017-03-27 10:41:36"</f>
        <v>2017-03-27 10:41:36</v>
      </c>
      <c r="M1955" s="2">
        <v>4.6296296296296293E-4</v>
      </c>
      <c r="N1955" s="1" t="s">
        <v>26</v>
      </c>
      <c r="O1955" s="1" t="s">
        <v>27</v>
      </c>
      <c r="P1955" s="2">
        <v>5.3240740740740744E-4</v>
      </c>
      <c r="Q1955" s="1" t="s">
        <v>1412</v>
      </c>
      <c r="R1955" s="1">
        <v>0</v>
      </c>
      <c r="S1955" s="1" t="str">
        <f>""</f>
        <v/>
      </c>
      <c r="T1955" s="1" t="s">
        <v>29</v>
      </c>
      <c r="U1955" s="1" t="s">
        <v>30</v>
      </c>
      <c r="V1955" s="1">
        <v>0</v>
      </c>
    </row>
    <row r="1956" spans="2:22" x14ac:dyDescent="0.15">
      <c r="B1956" s="1" t="str">
        <f>"135****4491"</f>
        <v>135****4491</v>
      </c>
      <c r="C1956" s="1" t="s">
        <v>23</v>
      </c>
      <c r="D1956" s="1" t="str">
        <f t="shared" si="191"/>
        <v>89177328</v>
      </c>
      <c r="E1956" s="1" t="s">
        <v>24</v>
      </c>
      <c r="F1956" s="1" t="str">
        <f t="shared" si="193"/>
        <v>0010</v>
      </c>
      <c r="G1956" s="1" t="str">
        <f>""</f>
        <v/>
      </c>
      <c r="H1956" s="1" t="str">
        <f>"0031"</f>
        <v>0031</v>
      </c>
      <c r="I1956" s="1" t="s">
        <v>95</v>
      </c>
      <c r="J1956" s="1" t="str">
        <f>"01043977565"</f>
        <v>01043977565</v>
      </c>
      <c r="K1956" s="1" t="str">
        <f>"2017-03-27 10:40:37"</f>
        <v>2017-03-27 10:40:37</v>
      </c>
      <c r="L1956" s="1" t="str">
        <f>"2017-03-27 10:40:45"</f>
        <v>2017-03-27 10:40:45</v>
      </c>
      <c r="M1956" s="2">
        <v>3.9120370370370368E-3</v>
      </c>
      <c r="N1956" s="1" t="s">
        <v>26</v>
      </c>
      <c r="O1956" s="1" t="s">
        <v>27</v>
      </c>
      <c r="P1956" s="2">
        <v>4.0046296296296297E-3</v>
      </c>
      <c r="Q1956" s="1" t="s">
        <v>1413</v>
      </c>
      <c r="R1956" s="1">
        <v>0</v>
      </c>
      <c r="S1956" s="1" t="str">
        <f>""</f>
        <v/>
      </c>
      <c r="T1956" s="1" t="s">
        <v>29</v>
      </c>
      <c r="U1956" s="1" t="s">
        <v>30</v>
      </c>
      <c r="V1956" s="1">
        <v>0</v>
      </c>
    </row>
    <row r="1957" spans="2:22" x14ac:dyDescent="0.15">
      <c r="B1957" s="1" t="str">
        <f>"010****8199"</f>
        <v>010****8199</v>
      </c>
      <c r="C1957" s="1" t="s">
        <v>23</v>
      </c>
      <c r="D1957" s="1" t="str">
        <f t="shared" si="191"/>
        <v>89177328</v>
      </c>
      <c r="E1957" s="1" t="s">
        <v>24</v>
      </c>
      <c r="F1957" s="1" t="str">
        <f t="shared" si="193"/>
        <v>0010</v>
      </c>
      <c r="G1957" s="1" t="str">
        <f>""</f>
        <v/>
      </c>
      <c r="H1957" s="1" t="str">
        <f>"0017"</f>
        <v>0017</v>
      </c>
      <c r="I1957" s="1" t="s">
        <v>135</v>
      </c>
      <c r="J1957" s="1" t="str">
        <f>"01043989717"</f>
        <v>01043989717</v>
      </c>
      <c r="K1957" s="1" t="str">
        <f>"2017-03-27 10:36:04"</f>
        <v>2017-03-27 10:36:04</v>
      </c>
      <c r="L1957" s="1" t="str">
        <f>"2017-03-27 10:36:12"</f>
        <v>2017-03-27 10:36:12</v>
      </c>
      <c r="M1957" s="2">
        <v>4.5138888888888892E-4</v>
      </c>
      <c r="N1957" s="1" t="s">
        <v>26</v>
      </c>
      <c r="O1957" s="1" t="s">
        <v>27</v>
      </c>
      <c r="P1957" s="2">
        <v>5.4398148148148144E-4</v>
      </c>
      <c r="Q1957" s="1" t="s">
        <v>1414</v>
      </c>
      <c r="R1957" s="1">
        <v>0</v>
      </c>
      <c r="S1957" s="1" t="str">
        <f>""</f>
        <v/>
      </c>
      <c r="T1957" s="1" t="s">
        <v>29</v>
      </c>
      <c r="U1957" s="1" t="s">
        <v>30</v>
      </c>
      <c r="V1957" s="1">
        <v>0</v>
      </c>
    </row>
    <row r="1958" spans="2:22" x14ac:dyDescent="0.15">
      <c r="B1958" s="1" t="str">
        <f>"186****0101"</f>
        <v>186****0101</v>
      </c>
      <c r="C1958" s="1" t="s">
        <v>1090</v>
      </c>
      <c r="D1958" s="1" t="str">
        <f t="shared" si="191"/>
        <v>89177328</v>
      </c>
      <c r="E1958" s="1" t="s">
        <v>24</v>
      </c>
      <c r="F1958" s="1" t="str">
        <f t="shared" si="193"/>
        <v>0010</v>
      </c>
      <c r="G1958" s="1" t="str">
        <f>""</f>
        <v/>
      </c>
      <c r="H1958" s="1" t="str">
        <f>"0035"</f>
        <v>0035</v>
      </c>
      <c r="I1958" s="1" t="s">
        <v>25</v>
      </c>
      <c r="J1958" s="1" t="str">
        <f>"01043977569"</f>
        <v>01043977569</v>
      </c>
      <c r="K1958" s="1" t="str">
        <f>"2017-03-27 10:35:17"</f>
        <v>2017-03-27 10:35:17</v>
      </c>
      <c r="L1958" s="1" t="str">
        <f>"2017-03-27 10:35:25"</f>
        <v>2017-03-27 10:35:25</v>
      </c>
      <c r="M1958" s="2">
        <v>1.9884259259259258E-2</v>
      </c>
      <c r="N1958" s="1" t="s">
        <v>26</v>
      </c>
      <c r="O1958" s="1" t="s">
        <v>34</v>
      </c>
      <c r="P1958" s="2">
        <v>1.9976851851851853E-2</v>
      </c>
      <c r="Q1958" s="1" t="s">
        <v>1415</v>
      </c>
      <c r="R1958" s="1">
        <v>0</v>
      </c>
      <c r="S1958" s="1" t="str">
        <f>""</f>
        <v/>
      </c>
      <c r="T1958" s="1" t="s">
        <v>29</v>
      </c>
      <c r="U1958" s="1" t="s">
        <v>30</v>
      </c>
      <c r="V1958" s="1">
        <v>0</v>
      </c>
    </row>
    <row r="1959" spans="2:22" x14ac:dyDescent="0.15">
      <c r="B1959" s="1" t="str">
        <f>"133****1116"</f>
        <v>133****1116</v>
      </c>
      <c r="C1959" s="1" t="s">
        <v>23</v>
      </c>
      <c r="D1959" s="1" t="str">
        <f t="shared" si="191"/>
        <v>89177328</v>
      </c>
      <c r="E1959" s="1" t="s">
        <v>24</v>
      </c>
      <c r="F1959" s="1" t="str">
        <f t="shared" si="193"/>
        <v>0010</v>
      </c>
      <c r="G1959" s="1" t="str">
        <f>""</f>
        <v/>
      </c>
      <c r="H1959" s="1" t="str">
        <f>"0031"</f>
        <v>0031</v>
      </c>
      <c r="I1959" s="1" t="s">
        <v>95</v>
      </c>
      <c r="J1959" s="1" t="str">
        <f>"01043977565"</f>
        <v>01043977565</v>
      </c>
      <c r="K1959" s="1" t="str">
        <f>"2017-03-27 10:33:57"</f>
        <v>2017-03-27 10:33:57</v>
      </c>
      <c r="L1959" s="1" t="str">
        <f>"2017-03-27 10:34:06"</f>
        <v>2017-03-27 10:34:06</v>
      </c>
      <c r="M1959" s="2">
        <v>2.9629629629629628E-3</v>
      </c>
      <c r="N1959" s="1" t="s">
        <v>26</v>
      </c>
      <c r="O1959" s="1" t="s">
        <v>34</v>
      </c>
      <c r="P1959" s="2">
        <v>3.0671296296296297E-3</v>
      </c>
      <c r="Q1959" s="1" t="s">
        <v>1416</v>
      </c>
      <c r="R1959" s="1">
        <v>0</v>
      </c>
      <c r="S1959" s="1" t="str">
        <f>""</f>
        <v/>
      </c>
      <c r="T1959" s="1" t="s">
        <v>29</v>
      </c>
      <c r="U1959" s="1" t="s">
        <v>30</v>
      </c>
      <c r="V1959" s="1">
        <v>0</v>
      </c>
    </row>
    <row r="1960" spans="2:22" x14ac:dyDescent="0.15">
      <c r="B1960" s="1" t="str">
        <f>"187****6366"</f>
        <v>187****6366</v>
      </c>
      <c r="C1960" s="1" t="s">
        <v>338</v>
      </c>
      <c r="D1960" s="1" t="str">
        <f t="shared" si="191"/>
        <v>89177328</v>
      </c>
      <c r="E1960" s="1" t="s">
        <v>24</v>
      </c>
      <c r="F1960" s="1" t="str">
        <f t="shared" si="193"/>
        <v>0010</v>
      </c>
      <c r="G1960" s="1" t="str">
        <f>""</f>
        <v/>
      </c>
      <c r="H1960" s="1" t="str">
        <f>"0018"</f>
        <v>0018</v>
      </c>
      <c r="I1960" s="1" t="s">
        <v>36</v>
      </c>
      <c r="J1960" s="1" t="str">
        <f>"01043989718"</f>
        <v>01043989718</v>
      </c>
      <c r="K1960" s="1" t="str">
        <f>"2017-03-27 10:14:36"</f>
        <v>2017-03-27 10:14:36</v>
      </c>
      <c r="L1960" s="1" t="str">
        <f>"2017-03-27 10:14:45"</f>
        <v>2017-03-27 10:14:45</v>
      </c>
      <c r="M1960" s="2">
        <v>2.2685185185185182E-3</v>
      </c>
      <c r="N1960" s="1" t="s">
        <v>26</v>
      </c>
      <c r="O1960" s="1" t="s">
        <v>34</v>
      </c>
      <c r="P1960" s="2">
        <v>2.3726851851851851E-3</v>
      </c>
      <c r="Q1960" s="1" t="s">
        <v>1417</v>
      </c>
      <c r="R1960" s="1">
        <v>0</v>
      </c>
      <c r="S1960" s="1" t="str">
        <f>""</f>
        <v/>
      </c>
      <c r="T1960" s="1" t="s">
        <v>29</v>
      </c>
      <c r="U1960" s="1" t="s">
        <v>30</v>
      </c>
      <c r="V1960" s="1">
        <v>0</v>
      </c>
    </row>
    <row r="1961" spans="2:22" x14ac:dyDescent="0.15">
      <c r="B1961" s="1" t="str">
        <f>"153****9997"</f>
        <v>153****9997</v>
      </c>
      <c r="C1961" s="1" t="s">
        <v>1306</v>
      </c>
      <c r="D1961" s="1" t="str">
        <f t="shared" si="191"/>
        <v>89177328</v>
      </c>
      <c r="E1961" s="1" t="s">
        <v>24</v>
      </c>
      <c r="F1961" s="1" t="str">
        <f t="shared" si="193"/>
        <v>0010</v>
      </c>
      <c r="G1961" s="1" t="str">
        <f>""</f>
        <v/>
      </c>
      <c r="H1961" s="1" t="str">
        <f>"0035"</f>
        <v>0035</v>
      </c>
      <c r="I1961" s="1" t="s">
        <v>25</v>
      </c>
      <c r="J1961" s="1" t="str">
        <f>"01043977569"</f>
        <v>01043977569</v>
      </c>
      <c r="K1961" s="1" t="str">
        <f>"2017-03-27 10:13:05"</f>
        <v>2017-03-27 10:13:05</v>
      </c>
      <c r="L1961" s="1" t="str">
        <f>"2017-03-27 10:13:15"</f>
        <v>2017-03-27 10:13:15</v>
      </c>
      <c r="M1961" s="2">
        <v>8.7152777777777784E-3</v>
      </c>
      <c r="N1961" s="1" t="s">
        <v>26</v>
      </c>
      <c r="O1961" s="1" t="s">
        <v>27</v>
      </c>
      <c r="P1961" s="2">
        <v>8.8310185185185176E-3</v>
      </c>
      <c r="Q1961" s="1" t="s">
        <v>1418</v>
      </c>
      <c r="R1961" s="1">
        <v>0</v>
      </c>
      <c r="S1961" s="1" t="str">
        <f>""</f>
        <v/>
      </c>
      <c r="T1961" s="1" t="s">
        <v>29</v>
      </c>
      <c r="U1961" s="1" t="s">
        <v>30</v>
      </c>
      <c r="V1961" s="1">
        <v>0</v>
      </c>
    </row>
    <row r="1962" spans="2:22" x14ac:dyDescent="0.15">
      <c r="B1962" s="1" t="str">
        <f>"138****2613"</f>
        <v>138****2613</v>
      </c>
      <c r="C1962" s="1" t="s">
        <v>23</v>
      </c>
      <c r="D1962" s="1" t="str">
        <f t="shared" si="191"/>
        <v>89177328</v>
      </c>
      <c r="E1962" s="1" t="s">
        <v>24</v>
      </c>
      <c r="F1962" s="1" t="str">
        <f t="shared" si="193"/>
        <v>0010</v>
      </c>
      <c r="G1962" s="1" t="str">
        <f>""</f>
        <v/>
      </c>
      <c r="H1962" s="1" t="str">
        <f>"0031"</f>
        <v>0031</v>
      </c>
      <c r="I1962" s="1" t="s">
        <v>95</v>
      </c>
      <c r="J1962" s="1" t="str">
        <f>"01043977565"</f>
        <v>01043977565</v>
      </c>
      <c r="K1962" s="1" t="str">
        <f>"2017-03-27 10:13:01"</f>
        <v>2017-03-27 10:13:01</v>
      </c>
      <c r="L1962" s="1" t="str">
        <f>"2017-03-27 10:13:07"</f>
        <v>2017-03-27 10:13:07</v>
      </c>
      <c r="M1962" s="2">
        <v>3.8194444444444443E-3</v>
      </c>
      <c r="N1962" s="1" t="s">
        <v>26</v>
      </c>
      <c r="O1962" s="1" t="s">
        <v>27</v>
      </c>
      <c r="P1962" s="2">
        <v>3.8888888888888883E-3</v>
      </c>
      <c r="Q1962" s="1" t="s">
        <v>1419</v>
      </c>
      <c r="R1962" s="1">
        <v>0</v>
      </c>
      <c r="S1962" s="1" t="str">
        <f>""</f>
        <v/>
      </c>
      <c r="T1962" s="1" t="s">
        <v>29</v>
      </c>
      <c r="U1962" s="1" t="s">
        <v>30</v>
      </c>
      <c r="V1962" s="1">
        <v>0</v>
      </c>
    </row>
    <row r="1963" spans="2:22" x14ac:dyDescent="0.15">
      <c r="B1963" s="1" t="str">
        <f>"138****6098"</f>
        <v>138****6098</v>
      </c>
      <c r="C1963" s="1" t="s">
        <v>1420</v>
      </c>
      <c r="D1963" s="1" t="str">
        <f t="shared" si="191"/>
        <v>89177328</v>
      </c>
      <c r="E1963" s="1" t="s">
        <v>24</v>
      </c>
      <c r="F1963" s="1" t="str">
        <f t="shared" si="193"/>
        <v>0010</v>
      </c>
      <c r="G1963" s="1" t="str">
        <f>""</f>
        <v/>
      </c>
      <c r="H1963" s="1" t="str">
        <f>"0012"</f>
        <v>0012</v>
      </c>
      <c r="I1963" s="1" t="s">
        <v>612</v>
      </c>
      <c r="J1963" s="1" t="str">
        <f>"01043989720"</f>
        <v>01043989720</v>
      </c>
      <c r="K1963" s="1" t="str">
        <f>"2017-03-27 10:04:53"</f>
        <v>2017-03-27 10:04:53</v>
      </c>
      <c r="L1963" s="1" t="str">
        <f>"2017-03-27 10:05:06"</f>
        <v>2017-03-27 10:05:06</v>
      </c>
      <c r="M1963" s="2">
        <v>9.3287037037037036E-3</v>
      </c>
      <c r="N1963" s="1" t="s">
        <v>26</v>
      </c>
      <c r="O1963" s="1" t="s">
        <v>27</v>
      </c>
      <c r="P1963" s="2">
        <v>9.479166666666667E-3</v>
      </c>
      <c r="Q1963" s="1" t="s">
        <v>1421</v>
      </c>
      <c r="R1963" s="1">
        <v>0</v>
      </c>
      <c r="S1963" s="1" t="str">
        <f>""</f>
        <v/>
      </c>
      <c r="T1963" s="1" t="s">
        <v>29</v>
      </c>
      <c r="U1963" s="1" t="s">
        <v>30</v>
      </c>
      <c r="V1963" s="1">
        <v>0</v>
      </c>
    </row>
    <row r="1964" spans="2:22" x14ac:dyDescent="0.15">
      <c r="B1964" s="1" t="str">
        <f>"0432****8583"</f>
        <v>0432****8583</v>
      </c>
      <c r="C1964" s="1" t="s">
        <v>249</v>
      </c>
      <c r="D1964" s="1" t="str">
        <f t="shared" si="191"/>
        <v>89177328</v>
      </c>
      <c r="E1964" s="1" t="s">
        <v>24</v>
      </c>
      <c r="F1964" s="1" t="str">
        <f t="shared" si="193"/>
        <v>0010</v>
      </c>
      <c r="G1964" s="1" t="str">
        <f>""</f>
        <v/>
      </c>
      <c r="H1964" s="1" t="str">
        <f>"0033"</f>
        <v>0033</v>
      </c>
      <c r="I1964" s="1" t="s">
        <v>106</v>
      </c>
      <c r="J1964" s="1" t="str">
        <f>"01043977567"</f>
        <v>01043977567</v>
      </c>
      <c r="K1964" s="1" t="str">
        <f>"2017-03-27 09:53:59"</f>
        <v>2017-03-27 09:53:59</v>
      </c>
      <c r="L1964" s="1" t="str">
        <f>"2017-03-27 09:54:07"</f>
        <v>2017-03-27 09:54:07</v>
      </c>
      <c r="M1964" s="2">
        <v>9.8842592592592576E-3</v>
      </c>
      <c r="N1964" s="1" t="s">
        <v>26</v>
      </c>
      <c r="O1964" s="1" t="s">
        <v>27</v>
      </c>
      <c r="P1964" s="2">
        <v>9.9768518518518531E-3</v>
      </c>
      <c r="Q1964" s="1" t="s">
        <v>1422</v>
      </c>
      <c r="R1964" s="1">
        <v>0</v>
      </c>
      <c r="S1964" s="1" t="str">
        <f>""</f>
        <v/>
      </c>
      <c r="T1964" s="1" t="s">
        <v>29</v>
      </c>
      <c r="U1964" s="1" t="s">
        <v>30</v>
      </c>
      <c r="V1964" s="1">
        <v>0</v>
      </c>
    </row>
    <row r="1965" spans="2:22" x14ac:dyDescent="0.15">
      <c r="B1965" s="1" t="str">
        <f>"139****2180"</f>
        <v>139****2180</v>
      </c>
      <c r="C1965" s="1" t="s">
        <v>51</v>
      </c>
      <c r="D1965" s="1" t="str">
        <f t="shared" si="191"/>
        <v>89177328</v>
      </c>
      <c r="E1965" s="1" t="s">
        <v>24</v>
      </c>
      <c r="F1965" s="1" t="str">
        <f t="shared" si="193"/>
        <v>0010</v>
      </c>
      <c r="G1965" s="1" t="str">
        <f>""</f>
        <v/>
      </c>
      <c r="H1965" s="1" t="str">
        <f>"0033"</f>
        <v>0033</v>
      </c>
      <c r="I1965" s="1" t="s">
        <v>106</v>
      </c>
      <c r="J1965" s="1" t="str">
        <f>"01043977567"</f>
        <v>01043977567</v>
      </c>
      <c r="K1965" s="1" t="str">
        <f>"2017-03-27 09:46:48"</f>
        <v>2017-03-27 09:46:48</v>
      </c>
      <c r="L1965" s="1" t="str">
        <f>"2017-03-27 09:46:56"</f>
        <v>2017-03-27 09:46:56</v>
      </c>
      <c r="M1965" s="2">
        <v>3.4027777777777784E-3</v>
      </c>
      <c r="N1965" s="1" t="s">
        <v>26</v>
      </c>
      <c r="O1965" s="1" t="s">
        <v>27</v>
      </c>
      <c r="P1965" s="2">
        <v>3.4953703703703705E-3</v>
      </c>
      <c r="Q1965" s="1" t="s">
        <v>1423</v>
      </c>
      <c r="R1965" s="1">
        <v>0</v>
      </c>
      <c r="S1965" s="1" t="str">
        <f>""</f>
        <v/>
      </c>
      <c r="T1965" s="1" t="s">
        <v>29</v>
      </c>
      <c r="U1965" s="1" t="s">
        <v>30</v>
      </c>
      <c r="V1965" s="1">
        <v>0</v>
      </c>
    </row>
    <row r="1966" spans="2:22" x14ac:dyDescent="0.15">
      <c r="B1966" s="1" t="str">
        <f>"186****0582"</f>
        <v>186****0582</v>
      </c>
      <c r="C1966" s="1" t="s">
        <v>35</v>
      </c>
      <c r="D1966" s="1" t="str">
        <f t="shared" si="191"/>
        <v>89177328</v>
      </c>
      <c r="E1966" s="1" t="s">
        <v>24</v>
      </c>
      <c r="F1966" s="1" t="str">
        <f t="shared" si="193"/>
        <v>0010</v>
      </c>
      <c r="G1966" s="1" t="str">
        <f>""</f>
        <v/>
      </c>
      <c r="H1966" s="1" t="str">
        <f>"0031"</f>
        <v>0031</v>
      </c>
      <c r="I1966" s="1" t="s">
        <v>95</v>
      </c>
      <c r="J1966" s="1" t="str">
        <f>"01043977565"</f>
        <v>01043977565</v>
      </c>
      <c r="K1966" s="1" t="str">
        <f>"2017-03-27 09:38:04"</f>
        <v>2017-03-27 09:38:04</v>
      </c>
      <c r="L1966" s="1" t="str">
        <f>"2017-03-27 09:38:10"</f>
        <v>2017-03-27 09:38:10</v>
      </c>
      <c r="M1966" s="2">
        <v>5.208333333333333E-3</v>
      </c>
      <c r="N1966" s="1" t="s">
        <v>26</v>
      </c>
      <c r="O1966" s="1" t="s">
        <v>27</v>
      </c>
      <c r="P1966" s="2">
        <v>5.2777777777777771E-3</v>
      </c>
      <c r="Q1966" s="1" t="s">
        <v>1424</v>
      </c>
      <c r="R1966" s="1">
        <v>0</v>
      </c>
      <c r="S1966" s="1" t="str">
        <f>""</f>
        <v/>
      </c>
      <c r="T1966" s="1" t="s">
        <v>29</v>
      </c>
      <c r="U1966" s="1" t="s">
        <v>30</v>
      </c>
      <c r="V1966" s="1">
        <v>0</v>
      </c>
    </row>
    <row r="1967" spans="2:22" x14ac:dyDescent="0.15">
      <c r="B1967" s="1" t="str">
        <f>"170****0732"</f>
        <v>170****0732</v>
      </c>
      <c r="C1967" s="1" t="s">
        <v>23</v>
      </c>
      <c r="D1967" s="1" t="str">
        <f t="shared" si="191"/>
        <v>89177328</v>
      </c>
      <c r="E1967" s="1" t="s">
        <v>24</v>
      </c>
      <c r="F1967" s="1" t="str">
        <f t="shared" si="193"/>
        <v>0010</v>
      </c>
      <c r="G1967" s="1" t="str">
        <f>""</f>
        <v/>
      </c>
      <c r="H1967" s="1" t="str">
        <f>"0018"</f>
        <v>0018</v>
      </c>
      <c r="I1967" s="1" t="s">
        <v>36</v>
      </c>
      <c r="J1967" s="1" t="str">
        <f>"01043989718"</f>
        <v>01043989718</v>
      </c>
      <c r="K1967" s="1" t="str">
        <f>"2017-03-27 09:25:03"</f>
        <v>2017-03-27 09:25:03</v>
      </c>
      <c r="L1967" s="1" t="str">
        <f>"2017-03-27 09:25:10"</f>
        <v>2017-03-27 09:25:10</v>
      </c>
      <c r="M1967" s="2">
        <v>7.9282407407407409E-3</v>
      </c>
      <c r="N1967" s="1" t="s">
        <v>26</v>
      </c>
      <c r="O1967" s="1" t="s">
        <v>34</v>
      </c>
      <c r="P1967" s="2">
        <v>8.0092592592592594E-3</v>
      </c>
      <c r="Q1967" s="1" t="s">
        <v>1425</v>
      </c>
      <c r="R1967" s="1">
        <v>0</v>
      </c>
      <c r="S1967" s="1" t="str">
        <f>""</f>
        <v/>
      </c>
      <c r="T1967" s="1" t="s">
        <v>29</v>
      </c>
      <c r="U1967" s="1" t="s">
        <v>30</v>
      </c>
      <c r="V1967" s="1">
        <v>0</v>
      </c>
    </row>
    <row r="1968" spans="2:22" x14ac:dyDescent="0.15">
      <c r="B1968" s="1" t="str">
        <f>"138****2633"</f>
        <v>138****2633</v>
      </c>
      <c r="C1968" s="1" t="s">
        <v>304</v>
      </c>
      <c r="D1968" s="1" t="str">
        <f t="shared" si="191"/>
        <v>89177328</v>
      </c>
      <c r="E1968" s="1" t="s">
        <v>24</v>
      </c>
      <c r="F1968" s="1" t="str">
        <f t="shared" si="193"/>
        <v>0010</v>
      </c>
      <c r="G1968" s="1" t="str">
        <f>""</f>
        <v/>
      </c>
      <c r="H1968" s="1" t="str">
        <f>"0012"</f>
        <v>0012</v>
      </c>
      <c r="I1968" s="1" t="s">
        <v>612</v>
      </c>
      <c r="J1968" s="1" t="str">
        <f>"01043989720"</f>
        <v>01043989720</v>
      </c>
      <c r="K1968" s="1" t="str">
        <f>"2017-03-27 09:24:30"</f>
        <v>2017-03-27 09:24:30</v>
      </c>
      <c r="L1968" s="1" t="str">
        <f>"2017-03-27 09:24:46"</f>
        <v>2017-03-27 09:24:46</v>
      </c>
      <c r="M1968" s="2">
        <v>2.7662037037037034E-3</v>
      </c>
      <c r="N1968" s="1" t="s">
        <v>26</v>
      </c>
      <c r="O1968" s="1" t="s">
        <v>34</v>
      </c>
      <c r="P1968" s="2">
        <v>2.9513888888888888E-3</v>
      </c>
      <c r="Q1968" s="1" t="s">
        <v>1426</v>
      </c>
      <c r="R1968" s="1">
        <v>0</v>
      </c>
      <c r="S1968" s="1" t="str">
        <f>""</f>
        <v/>
      </c>
      <c r="T1968" s="1" t="s">
        <v>29</v>
      </c>
      <c r="U1968" s="1" t="s">
        <v>30</v>
      </c>
      <c r="V1968" s="1">
        <v>0</v>
      </c>
    </row>
    <row r="1969" spans="2:22" x14ac:dyDescent="0.15">
      <c r="B1969" s="1" t="str">
        <f>"0316013261338387"</f>
        <v>0316013261338387</v>
      </c>
      <c r="C1969" s="1" t="s">
        <v>51</v>
      </c>
      <c r="D1969" s="1" t="str">
        <f t="shared" si="191"/>
        <v>89177328</v>
      </c>
      <c r="E1969" s="1" t="s">
        <v>24</v>
      </c>
      <c r="F1969" s="1" t="str">
        <f t="shared" si="193"/>
        <v>0010</v>
      </c>
      <c r="G1969" s="1" t="str">
        <f>""</f>
        <v/>
      </c>
      <c r="H1969" s="1" t="str">
        <f>"0033"</f>
        <v>0033</v>
      </c>
      <c r="I1969" s="1" t="s">
        <v>106</v>
      </c>
      <c r="J1969" s="1" t="str">
        <f>"01043977567"</f>
        <v>01043977567</v>
      </c>
      <c r="K1969" s="1" t="str">
        <f>"2017-03-27 09:11:24"</f>
        <v>2017-03-27 09:11:24</v>
      </c>
      <c r="L1969" s="1" t="str">
        <f>"2017-03-27 09:11:35"</f>
        <v>2017-03-27 09:11:35</v>
      </c>
      <c r="M1969" s="2">
        <v>1.2268518518518518E-3</v>
      </c>
      <c r="N1969" s="1" t="s">
        <v>26</v>
      </c>
      <c r="O1969" s="1" t="s">
        <v>27</v>
      </c>
      <c r="P1969" s="2">
        <v>1.3541666666666667E-3</v>
      </c>
      <c r="Q1969" s="1" t="s">
        <v>1427</v>
      </c>
      <c r="R1969" s="1">
        <v>0</v>
      </c>
      <c r="S1969" s="1" t="str">
        <f>""</f>
        <v/>
      </c>
      <c r="T1969" s="1" t="s">
        <v>29</v>
      </c>
      <c r="U1969" s="1" t="s">
        <v>30</v>
      </c>
      <c r="V1969" s="1">
        <v>0</v>
      </c>
    </row>
    <row r="1970" spans="2:22" x14ac:dyDescent="0.15">
      <c r="B1970" s="1" t="str">
        <f>"157****3688"</f>
        <v>157****3688</v>
      </c>
      <c r="C1970" s="1" t="s">
        <v>291</v>
      </c>
      <c r="D1970" s="1" t="str">
        <f t="shared" si="191"/>
        <v>89177328</v>
      </c>
      <c r="E1970" s="1" t="s">
        <v>24</v>
      </c>
      <c r="F1970" s="1" t="str">
        <f t="shared" si="193"/>
        <v>0010</v>
      </c>
      <c r="G1970" s="1" t="str">
        <f>""</f>
        <v/>
      </c>
      <c r="H1970" s="1" t="str">
        <f>"0033"</f>
        <v>0033</v>
      </c>
      <c r="I1970" s="1" t="s">
        <v>106</v>
      </c>
      <c r="J1970" s="1" t="str">
        <f>"01043977567"</f>
        <v>01043977567</v>
      </c>
      <c r="K1970" s="1" t="str">
        <f>"2017-03-27 09:03:20"</f>
        <v>2017-03-27 09:03:20</v>
      </c>
      <c r="L1970" s="1" t="str">
        <f>"2017-03-27 09:03:30"</f>
        <v>2017-03-27 09:03:30</v>
      </c>
      <c r="M1970" s="2">
        <v>2.7777777777777778E-4</v>
      </c>
      <c r="N1970" s="1" t="s">
        <v>26</v>
      </c>
      <c r="O1970" s="1" t="s">
        <v>27</v>
      </c>
      <c r="P1970" s="2">
        <v>3.9351851851851852E-4</v>
      </c>
      <c r="Q1970" s="1" t="s">
        <v>1428</v>
      </c>
      <c r="R1970" s="1">
        <v>0</v>
      </c>
      <c r="S1970" s="1" t="str">
        <f>""</f>
        <v/>
      </c>
      <c r="T1970" s="1" t="s">
        <v>29</v>
      </c>
      <c r="U1970" s="1" t="s">
        <v>30</v>
      </c>
      <c r="V1970" s="1">
        <v>0</v>
      </c>
    </row>
    <row r="1971" spans="2:22" x14ac:dyDescent="0.15">
      <c r="B1971" s="1" t="str">
        <f>"138****8954"</f>
        <v>138****8954</v>
      </c>
      <c r="C1971" s="1" t="s">
        <v>23</v>
      </c>
      <c r="D1971" s="1" t="str">
        <f t="shared" ref="D1971" si="195">"89177328"</f>
        <v>89177328</v>
      </c>
      <c r="E1971" s="1" t="s">
        <v>24</v>
      </c>
      <c r="F1971" s="1" t="str">
        <f t="shared" si="193"/>
        <v>0010</v>
      </c>
      <c r="G1971" s="1" t="str">
        <f>""</f>
        <v/>
      </c>
      <c r="H1971" s="1" t="str">
        <f>"0033"</f>
        <v>0033</v>
      </c>
      <c r="I1971" s="1" t="s">
        <v>106</v>
      </c>
      <c r="J1971" s="1" t="str">
        <f>"01043977567"</f>
        <v>01043977567</v>
      </c>
      <c r="K1971" s="1" t="str">
        <f>"2017-03-27 08:54:45"</f>
        <v>2017-03-27 08:54:45</v>
      </c>
      <c r="L1971" s="1" t="str">
        <f>"2017-03-27 08:54:55"</f>
        <v>2017-03-27 08:54:55</v>
      </c>
      <c r="M1971" s="2">
        <v>3.5069444444444445E-3</v>
      </c>
      <c r="N1971" s="1" t="s">
        <v>26</v>
      </c>
      <c r="O1971" s="1" t="s">
        <v>34</v>
      </c>
      <c r="P1971" s="2">
        <v>3.6226851851851854E-3</v>
      </c>
      <c r="Q1971" s="1" t="s">
        <v>1429</v>
      </c>
      <c r="R1971" s="1">
        <v>0</v>
      </c>
      <c r="S1971" s="1" t="str">
        <f>""</f>
        <v/>
      </c>
      <c r="T1971" s="1" t="s">
        <v>29</v>
      </c>
      <c r="U1971" s="1" t="s">
        <v>30</v>
      </c>
      <c r="V1971" s="1">
        <v>0</v>
      </c>
    </row>
    <row r="1972" spans="2:22" x14ac:dyDescent="0.15">
      <c r="B1972" s="1" t="str">
        <f>"133****7859"</f>
        <v>133****7859</v>
      </c>
      <c r="C1972" s="1" t="s">
        <v>831</v>
      </c>
      <c r="D1972" s="1" t="str">
        <f>"4000108333"</f>
        <v>4000108333</v>
      </c>
      <c r="E1972" s="1" t="s">
        <v>53</v>
      </c>
      <c r="F1972" s="1" t="str">
        <f>"0000"</f>
        <v>0000</v>
      </c>
      <c r="G1972" s="1" t="str">
        <f>""</f>
        <v/>
      </c>
      <c r="H1972" s="1" t="str">
        <f>"1010"</f>
        <v>1010</v>
      </c>
      <c r="I1972" s="1" t="s">
        <v>148</v>
      </c>
      <c r="J1972" s="1" t="str">
        <f>"13718091869"</f>
        <v>13718091869</v>
      </c>
      <c r="K1972" s="1" t="str">
        <f>"2017-03-27 08:53:04"</f>
        <v>2017-03-27 08:53:04</v>
      </c>
      <c r="L1972" s="1" t="str">
        <f>"2017-03-27 08:53:43"</f>
        <v>2017-03-27 08:53:43</v>
      </c>
      <c r="M1972" s="2">
        <v>1.8900462962962963E-2</v>
      </c>
      <c r="N1972" s="1" t="s">
        <v>26</v>
      </c>
      <c r="O1972" s="1" t="s">
        <v>27</v>
      </c>
      <c r="P1972" s="2">
        <v>1.9351851851851853E-2</v>
      </c>
      <c r="Q1972" s="1" t="s">
        <v>1430</v>
      </c>
      <c r="R1972" s="1">
        <v>3.36</v>
      </c>
      <c r="S1972" s="1" t="str">
        <f>""</f>
        <v/>
      </c>
      <c r="T1972" s="1" t="s">
        <v>29</v>
      </c>
      <c r="U1972" s="1" t="s">
        <v>30</v>
      </c>
      <c r="V1972" s="1">
        <v>0</v>
      </c>
    </row>
    <row r="1973" spans="2:22" x14ac:dyDescent="0.15">
      <c r="B1973" s="1" t="str">
        <f>"133****9390"</f>
        <v>133****9390</v>
      </c>
      <c r="C1973" s="1" t="s">
        <v>81</v>
      </c>
      <c r="D1973" s="1" t="str">
        <f t="shared" ref="D1973:D1991" si="196">"89177328"</f>
        <v>89177328</v>
      </c>
      <c r="E1973" s="1" t="s">
        <v>24</v>
      </c>
      <c r="F1973" s="1" t="str">
        <f t="shared" ref="F1973:F1991" si="197">"0010"</f>
        <v>0010</v>
      </c>
      <c r="G1973" s="1" t="str">
        <f>""</f>
        <v/>
      </c>
      <c r="H1973" s="1" t="str">
        <f>"0012"</f>
        <v>0012</v>
      </c>
      <c r="I1973" s="1" t="s">
        <v>612</v>
      </c>
      <c r="J1973" s="1" t="str">
        <f>"01043989720"</f>
        <v>01043989720</v>
      </c>
      <c r="K1973" s="1" t="str">
        <f>"2017-03-27 08:50:28"</f>
        <v>2017-03-27 08:50:28</v>
      </c>
      <c r="L1973" s="1" t="str">
        <f>"2017-03-27 08:50:40"</f>
        <v>2017-03-27 08:50:40</v>
      </c>
      <c r="M1973" s="2">
        <v>3.1249999999999997E-3</v>
      </c>
      <c r="N1973" s="1" t="s">
        <v>26</v>
      </c>
      <c r="O1973" s="1" t="s">
        <v>27</v>
      </c>
      <c r="P1973" s="2">
        <v>3.2638888888888891E-3</v>
      </c>
      <c r="Q1973" s="1" t="s">
        <v>1431</v>
      </c>
      <c r="R1973" s="1">
        <v>0</v>
      </c>
      <c r="S1973" s="1" t="str">
        <f>""</f>
        <v/>
      </c>
      <c r="T1973" s="1" t="s">
        <v>29</v>
      </c>
      <c r="U1973" s="1" t="s">
        <v>30</v>
      </c>
      <c r="V1973" s="1">
        <v>0</v>
      </c>
    </row>
    <row r="1974" spans="2:22" x14ac:dyDescent="0.15">
      <c r="B1974" s="1" t="str">
        <f>"010****7900"</f>
        <v>010****7900</v>
      </c>
      <c r="C1974" s="1" t="s">
        <v>23</v>
      </c>
      <c r="D1974" s="1" t="str">
        <f t="shared" si="196"/>
        <v>89177328</v>
      </c>
      <c r="E1974" s="1" t="s">
        <v>24</v>
      </c>
      <c r="F1974" s="1" t="str">
        <f t="shared" si="197"/>
        <v>0010</v>
      </c>
      <c r="G1974" s="1" t="str">
        <f>""</f>
        <v/>
      </c>
      <c r="H1974" s="1" t="str">
        <f>"0017"</f>
        <v>0017</v>
      </c>
      <c r="I1974" s="1" t="s">
        <v>135</v>
      </c>
      <c r="J1974" s="1" t="str">
        <f>"01043989717"</f>
        <v>01043989717</v>
      </c>
      <c r="K1974" s="1" t="str">
        <f>"2017-03-27 08:45:13"</f>
        <v>2017-03-27 08:45:13</v>
      </c>
      <c r="L1974" s="1" t="str">
        <f>"2017-03-27 08:45:18"</f>
        <v>2017-03-27 08:45:18</v>
      </c>
      <c r="M1974" s="2">
        <v>2.3263888888888887E-3</v>
      </c>
      <c r="N1974" s="1" t="s">
        <v>26</v>
      </c>
      <c r="O1974" s="1" t="s">
        <v>27</v>
      </c>
      <c r="P1974" s="2">
        <v>2.3842592592592591E-3</v>
      </c>
      <c r="Q1974" s="1" t="s">
        <v>1432</v>
      </c>
      <c r="R1974" s="1">
        <v>0</v>
      </c>
      <c r="S1974" s="1" t="str">
        <f>""</f>
        <v/>
      </c>
      <c r="T1974" s="1" t="s">
        <v>29</v>
      </c>
      <c r="U1974" s="1" t="s">
        <v>30</v>
      </c>
      <c r="V1974" s="1">
        <v>0</v>
      </c>
    </row>
    <row r="1975" spans="2:22" x14ac:dyDescent="0.15">
      <c r="B1975" s="1" t="str">
        <f>"136****5682"</f>
        <v>136****5682</v>
      </c>
      <c r="C1975" s="1" t="s">
        <v>23</v>
      </c>
      <c r="D1975" s="1" t="str">
        <f t="shared" si="196"/>
        <v>89177328</v>
      </c>
      <c r="E1975" s="1" t="s">
        <v>24</v>
      </c>
      <c r="F1975" s="1" t="str">
        <f t="shared" si="197"/>
        <v>0010</v>
      </c>
      <c r="G1975" s="1" t="str">
        <f>""</f>
        <v/>
      </c>
      <c r="H1975" s="1" t="str">
        <f>"0032"</f>
        <v>0032</v>
      </c>
      <c r="I1975" s="1" t="s">
        <v>119</v>
      </c>
      <c r="J1975" s="1" t="str">
        <f>"01043977566"</f>
        <v>01043977566</v>
      </c>
      <c r="K1975" s="1" t="str">
        <f>"2017-03-27 08:38:39"</f>
        <v>2017-03-27 08:38:39</v>
      </c>
      <c r="L1975" s="1" t="str">
        <f>"2017-03-27 08:38:53"</f>
        <v>2017-03-27 08:38:53</v>
      </c>
      <c r="M1975" s="2">
        <v>4.7453703703703703E-3</v>
      </c>
      <c r="N1975" s="1" t="s">
        <v>26</v>
      </c>
      <c r="O1975" s="1" t="s">
        <v>34</v>
      </c>
      <c r="P1975" s="2">
        <v>4.9074074074074072E-3</v>
      </c>
      <c r="Q1975" s="1" t="s">
        <v>1433</v>
      </c>
      <c r="R1975" s="1">
        <v>0</v>
      </c>
      <c r="S1975" s="1" t="str">
        <f>""</f>
        <v/>
      </c>
      <c r="T1975" s="1" t="s">
        <v>29</v>
      </c>
      <c r="U1975" s="1" t="s">
        <v>30</v>
      </c>
      <c r="V1975" s="1">
        <v>0</v>
      </c>
    </row>
    <row r="1976" spans="2:22" x14ac:dyDescent="0.15">
      <c r="B1976" s="1" t="str">
        <f>"0311180****8967"</f>
        <v>0311180****8967</v>
      </c>
      <c r="C1976" s="1" t="s">
        <v>81</v>
      </c>
      <c r="D1976" s="1" t="str">
        <f t="shared" si="196"/>
        <v>89177328</v>
      </c>
      <c r="E1976" s="1" t="s">
        <v>24</v>
      </c>
      <c r="F1976" s="1" t="str">
        <f t="shared" si="197"/>
        <v>0010</v>
      </c>
      <c r="G1976" s="1" t="str">
        <f>""</f>
        <v/>
      </c>
      <c r="H1976" s="1" t="str">
        <f>"0031"</f>
        <v>0031</v>
      </c>
      <c r="I1976" s="1" t="s">
        <v>95</v>
      </c>
      <c r="J1976" s="1" t="str">
        <f>"01043977565"</f>
        <v>01043977565</v>
      </c>
      <c r="K1976" s="1" t="str">
        <f>"2017-03-27 08:12:56"</f>
        <v>2017-03-27 08:12:56</v>
      </c>
      <c r="L1976" s="1" t="str">
        <f>"2017-03-27 08:13:03"</f>
        <v>2017-03-27 08:13:03</v>
      </c>
      <c r="M1976" s="2">
        <v>9.7453703703703713E-3</v>
      </c>
      <c r="N1976" s="1" t="s">
        <v>26</v>
      </c>
      <c r="O1976" s="1" t="s">
        <v>27</v>
      </c>
      <c r="P1976" s="2">
        <v>9.8263888888888897E-3</v>
      </c>
      <c r="Q1976" s="1" t="s">
        <v>1434</v>
      </c>
      <c r="R1976" s="1">
        <v>0</v>
      </c>
      <c r="S1976" s="1" t="str">
        <f>""</f>
        <v/>
      </c>
      <c r="T1976" s="1" t="s">
        <v>29</v>
      </c>
      <c r="U1976" s="1" t="s">
        <v>30</v>
      </c>
      <c r="V1976" s="1">
        <v>0</v>
      </c>
    </row>
    <row r="1977" spans="2:22" x14ac:dyDescent="0.15">
      <c r="B1977" s="1" t="str">
        <f>"188****0216"</f>
        <v>188****0216</v>
      </c>
      <c r="C1977" s="1" t="s">
        <v>23</v>
      </c>
      <c r="D1977" s="1" t="str">
        <f t="shared" si="196"/>
        <v>89177328</v>
      </c>
      <c r="E1977" s="1" t="s">
        <v>24</v>
      </c>
      <c r="F1977" s="1" t="str">
        <f t="shared" si="197"/>
        <v>0010</v>
      </c>
      <c r="G1977" s="1" t="str">
        <f>""</f>
        <v/>
      </c>
      <c r="H1977" s="1" t="str">
        <f>"0012"</f>
        <v>0012</v>
      </c>
      <c r="I1977" s="1" t="s">
        <v>612</v>
      </c>
      <c r="J1977" s="1" t="str">
        <f>"01043989720"</f>
        <v>01043989720</v>
      </c>
      <c r="K1977" s="1" t="str">
        <f>"2017-03-27 08:11:07"</f>
        <v>2017-03-27 08:11:07</v>
      </c>
      <c r="L1977" s="1" t="str">
        <f>"2017-03-27 08:11:25"</f>
        <v>2017-03-27 08:11:25</v>
      </c>
      <c r="M1977" s="2">
        <v>4.9074074074074072E-3</v>
      </c>
      <c r="N1977" s="1" t="s">
        <v>26</v>
      </c>
      <c r="O1977" s="1" t="s">
        <v>27</v>
      </c>
      <c r="P1977" s="2">
        <v>5.115740740740741E-3</v>
      </c>
      <c r="Q1977" s="1" t="s">
        <v>1435</v>
      </c>
      <c r="R1977" s="1">
        <v>0</v>
      </c>
      <c r="S1977" s="1" t="str">
        <f>""</f>
        <v/>
      </c>
      <c r="T1977" s="1" t="s">
        <v>29</v>
      </c>
      <c r="U1977" s="1" t="s">
        <v>30</v>
      </c>
      <c r="V1977" s="1">
        <v>0</v>
      </c>
    </row>
    <row r="1978" spans="2:22" x14ac:dyDescent="0.15">
      <c r="B1978" s="1" t="str">
        <f>"135****8160"</f>
        <v>135****8160</v>
      </c>
      <c r="C1978" s="1" t="s">
        <v>23</v>
      </c>
      <c r="D1978" s="1" t="str">
        <f t="shared" si="196"/>
        <v>89177328</v>
      </c>
      <c r="E1978" s="1" t="s">
        <v>24</v>
      </c>
      <c r="F1978" s="1" t="str">
        <f t="shared" si="197"/>
        <v>0010</v>
      </c>
      <c r="G1978" s="1" t="str">
        <f>""</f>
        <v/>
      </c>
      <c r="H1978" s="1" t="str">
        <f>"0018"</f>
        <v>0018</v>
      </c>
      <c r="I1978" s="1" t="s">
        <v>36</v>
      </c>
      <c r="J1978" s="1" t="str">
        <f>"01043989718"</f>
        <v>01043989718</v>
      </c>
      <c r="K1978" s="1" t="str">
        <f>"2017-03-26 20:36:12"</f>
        <v>2017-03-26 20:36:12</v>
      </c>
      <c r="L1978" s="1" t="str">
        <f>"2017-03-26 20:39:12"</f>
        <v>2017-03-26 20:39:12</v>
      </c>
      <c r="M1978" s="2">
        <v>1.8287037037037036E-2</v>
      </c>
      <c r="N1978" s="1" t="s">
        <v>26</v>
      </c>
      <c r="O1978" s="1" t="s">
        <v>34</v>
      </c>
      <c r="P1978" s="2">
        <v>2.0370370370370369E-2</v>
      </c>
      <c r="Q1978" s="1" t="s">
        <v>1436</v>
      </c>
      <c r="R1978" s="1">
        <v>0</v>
      </c>
      <c r="S1978" s="1" t="str">
        <f>""</f>
        <v/>
      </c>
      <c r="T1978" s="1" t="s">
        <v>29</v>
      </c>
      <c r="U1978" s="1" t="s">
        <v>30</v>
      </c>
      <c r="V1978" s="1">
        <v>0</v>
      </c>
    </row>
    <row r="1979" spans="2:22" x14ac:dyDescent="0.15">
      <c r="B1979" s="1" t="str">
        <f>"151****6339"</f>
        <v>151****6339</v>
      </c>
      <c r="C1979" s="1" t="s">
        <v>99</v>
      </c>
      <c r="D1979" s="1" t="str">
        <f t="shared" si="196"/>
        <v>89177328</v>
      </c>
      <c r="E1979" s="1" t="s">
        <v>24</v>
      </c>
      <c r="F1979" s="1" t="str">
        <f t="shared" si="197"/>
        <v>0010</v>
      </c>
      <c r="G1979" s="1" t="str">
        <f>""</f>
        <v/>
      </c>
      <c r="H1979" s="1" t="str">
        <f>""</f>
        <v/>
      </c>
      <c r="I1979" s="1" t="str">
        <f>""</f>
        <v/>
      </c>
      <c r="J1979" s="1" t="str">
        <f>""</f>
        <v/>
      </c>
      <c r="K1979" s="1" t="str">
        <f>"2017-03-26 20:36:10"</f>
        <v>2017-03-26 20:36:10</v>
      </c>
      <c r="L1979" s="1" t="str">
        <f>"-"</f>
        <v>-</v>
      </c>
      <c r="M1979" s="2">
        <v>0</v>
      </c>
      <c r="N1979" s="1" t="s">
        <v>55</v>
      </c>
      <c r="O1979" s="1" t="s">
        <v>34</v>
      </c>
      <c r="P1979" s="2">
        <v>4.5138888888888892E-4</v>
      </c>
      <c r="Q1979" s="1" t="str">
        <f>""</f>
        <v/>
      </c>
      <c r="R1979" s="1">
        <v>0</v>
      </c>
      <c r="S1979" s="1" t="str">
        <f>""</f>
        <v/>
      </c>
      <c r="T1979" s="1" t="s">
        <v>29</v>
      </c>
      <c r="U1979" s="1" t="s">
        <v>30</v>
      </c>
      <c r="V1979" s="1">
        <v>0</v>
      </c>
    </row>
    <row r="1980" spans="2:22" x14ac:dyDescent="0.15">
      <c r="B1980" s="1" t="str">
        <f>"132****3186"</f>
        <v>132****3186</v>
      </c>
      <c r="C1980" s="1" t="s">
        <v>23</v>
      </c>
      <c r="D1980" s="1" t="str">
        <f t="shared" si="196"/>
        <v>89177328</v>
      </c>
      <c r="E1980" s="1" t="s">
        <v>24</v>
      </c>
      <c r="F1980" s="1" t="str">
        <f t="shared" si="197"/>
        <v>0010</v>
      </c>
      <c r="G1980" s="1" t="str">
        <f>""</f>
        <v/>
      </c>
      <c r="H1980" s="1" t="str">
        <f>"0035"</f>
        <v>0035</v>
      </c>
      <c r="I1980" s="1" t="s">
        <v>25</v>
      </c>
      <c r="J1980" s="1" t="str">
        <f>"01043977569"</f>
        <v>01043977569</v>
      </c>
      <c r="K1980" s="1" t="str">
        <f>"2017-03-26 20:35:09"</f>
        <v>2017-03-26 20:35:09</v>
      </c>
      <c r="L1980" s="1" t="str">
        <f>"2017-03-26 20:35:20"</f>
        <v>2017-03-26 20:35:20</v>
      </c>
      <c r="M1980" s="2">
        <v>6.1111111111111114E-3</v>
      </c>
      <c r="N1980" s="1" t="s">
        <v>26</v>
      </c>
      <c r="O1980" s="1" t="s">
        <v>27</v>
      </c>
      <c r="P1980" s="2">
        <v>6.238425925925925E-3</v>
      </c>
      <c r="Q1980" s="1" t="s">
        <v>1437</v>
      </c>
      <c r="R1980" s="1">
        <v>0</v>
      </c>
      <c r="S1980" s="1" t="str">
        <f>""</f>
        <v/>
      </c>
      <c r="T1980" s="1" t="s">
        <v>29</v>
      </c>
      <c r="U1980" s="1" t="s">
        <v>30</v>
      </c>
      <c r="V1980" s="1">
        <v>0</v>
      </c>
    </row>
    <row r="1981" spans="2:22" x14ac:dyDescent="0.15">
      <c r="B1981" s="1" t="str">
        <f>"132****7355"</f>
        <v>132****7355</v>
      </c>
      <c r="C1981" s="1" t="s">
        <v>782</v>
      </c>
      <c r="D1981" s="1" t="str">
        <f t="shared" si="196"/>
        <v>89177328</v>
      </c>
      <c r="E1981" s="1" t="s">
        <v>24</v>
      </c>
      <c r="F1981" s="1" t="str">
        <f t="shared" si="197"/>
        <v>0010</v>
      </c>
      <c r="G1981" s="1" t="str">
        <f>""</f>
        <v/>
      </c>
      <c r="H1981" s="1" t="str">
        <f>"0017"</f>
        <v>0017</v>
      </c>
      <c r="I1981" s="1" t="s">
        <v>135</v>
      </c>
      <c r="J1981" s="1" t="str">
        <f>"01043989717"</f>
        <v>01043989717</v>
      </c>
      <c r="K1981" s="1" t="str">
        <f>"2017-03-26 20:23:54"</f>
        <v>2017-03-26 20:23:54</v>
      </c>
      <c r="L1981" s="1" t="str">
        <f>"2017-03-26 20:24:02"</f>
        <v>2017-03-26 20:24:02</v>
      </c>
      <c r="M1981" s="2">
        <v>1.9664351851851853E-2</v>
      </c>
      <c r="N1981" s="1" t="s">
        <v>26</v>
      </c>
      <c r="O1981" s="1" t="s">
        <v>27</v>
      </c>
      <c r="P1981" s="2">
        <v>1.9756944444444445E-2</v>
      </c>
      <c r="Q1981" s="1" t="s">
        <v>1438</v>
      </c>
      <c r="R1981" s="1">
        <v>0</v>
      </c>
      <c r="S1981" s="1" t="str">
        <f>""</f>
        <v/>
      </c>
      <c r="T1981" s="1" t="s">
        <v>29</v>
      </c>
      <c r="U1981" s="1" t="s">
        <v>30</v>
      </c>
      <c r="V1981" s="1">
        <v>0</v>
      </c>
    </row>
    <row r="1982" spans="2:22" x14ac:dyDescent="0.15">
      <c r="B1982" s="1" t="str">
        <f>"150****6153"</f>
        <v>150****6153</v>
      </c>
      <c r="C1982" s="1" t="s">
        <v>1439</v>
      </c>
      <c r="D1982" s="1" t="str">
        <f t="shared" si="196"/>
        <v>89177328</v>
      </c>
      <c r="E1982" s="1" t="s">
        <v>24</v>
      </c>
      <c r="F1982" s="1" t="str">
        <f t="shared" si="197"/>
        <v>0010</v>
      </c>
      <c r="G1982" s="1" t="str">
        <f>""</f>
        <v/>
      </c>
      <c r="H1982" s="1" t="str">
        <f>"0017"</f>
        <v>0017</v>
      </c>
      <c r="I1982" s="1" t="s">
        <v>135</v>
      </c>
      <c r="J1982" s="1" t="str">
        <f>"01043989717"</f>
        <v>01043989717</v>
      </c>
      <c r="K1982" s="1" t="str">
        <f>"2017-03-26 20:19:46"</f>
        <v>2017-03-26 20:19:46</v>
      </c>
      <c r="L1982" s="1" t="str">
        <f>"-"</f>
        <v>-</v>
      </c>
      <c r="M1982" s="2">
        <v>0</v>
      </c>
      <c r="N1982" s="1" t="s">
        <v>33</v>
      </c>
      <c r="O1982" s="1" t="s">
        <v>34</v>
      </c>
      <c r="P1982" s="2">
        <v>2.3148148148148147E-5</v>
      </c>
      <c r="Q1982" s="1" t="str">
        <f>""</f>
        <v/>
      </c>
      <c r="R1982" s="1">
        <v>0</v>
      </c>
      <c r="S1982" s="1" t="str">
        <f>""</f>
        <v/>
      </c>
      <c r="T1982" s="1" t="s">
        <v>29</v>
      </c>
      <c r="U1982" s="1" t="s">
        <v>30</v>
      </c>
      <c r="V1982" s="1">
        <v>0</v>
      </c>
    </row>
    <row r="1983" spans="2:22" x14ac:dyDescent="0.15">
      <c r="B1983" s="1" t="str">
        <f>"136****5936"</f>
        <v>136****5936</v>
      </c>
      <c r="C1983" s="1" t="s">
        <v>23</v>
      </c>
      <c r="D1983" s="1" t="str">
        <f t="shared" si="196"/>
        <v>89177328</v>
      </c>
      <c r="E1983" s="1" t="s">
        <v>24</v>
      </c>
      <c r="F1983" s="1" t="str">
        <f t="shared" si="197"/>
        <v>0010</v>
      </c>
      <c r="G1983" s="1" t="str">
        <f>""</f>
        <v/>
      </c>
      <c r="H1983" s="1" t="str">
        <f>"0035"</f>
        <v>0035</v>
      </c>
      <c r="I1983" s="1" t="s">
        <v>25</v>
      </c>
      <c r="J1983" s="1" t="str">
        <f>"01043977569"</f>
        <v>01043977569</v>
      </c>
      <c r="K1983" s="1" t="str">
        <f>"2017-03-26 20:04:17"</f>
        <v>2017-03-26 20:04:17</v>
      </c>
      <c r="L1983" s="1" t="str">
        <f>"2017-03-26 20:04:26"</f>
        <v>2017-03-26 20:04:26</v>
      </c>
      <c r="M1983" s="2">
        <v>2.9629629629629628E-3</v>
      </c>
      <c r="N1983" s="1" t="s">
        <v>26</v>
      </c>
      <c r="O1983" s="1" t="s">
        <v>27</v>
      </c>
      <c r="P1983" s="2">
        <v>3.0671296296296297E-3</v>
      </c>
      <c r="Q1983" s="1" t="s">
        <v>1440</v>
      </c>
      <c r="R1983" s="1">
        <v>0</v>
      </c>
      <c r="S1983" s="1" t="str">
        <f>""</f>
        <v/>
      </c>
      <c r="T1983" s="1" t="s">
        <v>29</v>
      </c>
      <c r="U1983" s="1" t="s">
        <v>30</v>
      </c>
      <c r="V1983" s="1">
        <v>0</v>
      </c>
    </row>
    <row r="1984" spans="2:22" x14ac:dyDescent="0.15">
      <c r="B1984" s="1" t="str">
        <f>"182****7777"</f>
        <v>182****7777</v>
      </c>
      <c r="C1984" s="1" t="s">
        <v>338</v>
      </c>
      <c r="D1984" s="1" t="str">
        <f t="shared" si="196"/>
        <v>89177328</v>
      </c>
      <c r="E1984" s="1" t="s">
        <v>24</v>
      </c>
      <c r="F1984" s="1" t="str">
        <f t="shared" si="197"/>
        <v>0010</v>
      </c>
      <c r="G1984" s="1" t="str">
        <f>""</f>
        <v/>
      </c>
      <c r="H1984" s="1" t="str">
        <f>"0035"</f>
        <v>0035</v>
      </c>
      <c r="I1984" s="1" t="s">
        <v>25</v>
      </c>
      <c r="J1984" s="1" t="str">
        <f>"01043977569"</f>
        <v>01043977569</v>
      </c>
      <c r="K1984" s="1" t="str">
        <f>"2017-03-26 19:40:12"</f>
        <v>2017-03-26 19:40:12</v>
      </c>
      <c r="L1984" s="1" t="str">
        <f>"2017-03-26 19:40:22"</f>
        <v>2017-03-26 19:40:22</v>
      </c>
      <c r="M1984" s="2">
        <v>3.9930555555555561E-3</v>
      </c>
      <c r="N1984" s="1" t="s">
        <v>26</v>
      </c>
      <c r="O1984" s="1" t="s">
        <v>27</v>
      </c>
      <c r="P1984" s="2">
        <v>4.108796296296297E-3</v>
      </c>
      <c r="Q1984" s="1" t="s">
        <v>1441</v>
      </c>
      <c r="R1984" s="1">
        <v>0</v>
      </c>
      <c r="S1984" s="1" t="str">
        <f>""</f>
        <v/>
      </c>
      <c r="T1984" s="1" t="s">
        <v>29</v>
      </c>
      <c r="U1984" s="1" t="s">
        <v>30</v>
      </c>
      <c r="V1984" s="1">
        <v>0</v>
      </c>
    </row>
    <row r="1985" spans="2:22" x14ac:dyDescent="0.15">
      <c r="B1985" s="1" t="str">
        <f>"156****1717"</f>
        <v>156****1717</v>
      </c>
      <c r="C1985" s="1" t="s">
        <v>23</v>
      </c>
      <c r="D1985" s="1" t="str">
        <f t="shared" si="196"/>
        <v>89177328</v>
      </c>
      <c r="E1985" s="1" t="s">
        <v>24</v>
      </c>
      <c r="F1985" s="1" t="str">
        <f t="shared" si="197"/>
        <v>0010</v>
      </c>
      <c r="G1985" s="1" t="str">
        <f>""</f>
        <v/>
      </c>
      <c r="H1985" s="1" t="str">
        <f>"0035"</f>
        <v>0035</v>
      </c>
      <c r="I1985" s="1" t="s">
        <v>25</v>
      </c>
      <c r="J1985" s="1" t="str">
        <f>"01043977569"</f>
        <v>01043977569</v>
      </c>
      <c r="K1985" s="1" t="str">
        <f>"2017-03-26 19:27:52"</f>
        <v>2017-03-26 19:27:52</v>
      </c>
      <c r="L1985" s="1" t="str">
        <f>"2017-03-26 19:28:03"</f>
        <v>2017-03-26 19:28:03</v>
      </c>
      <c r="M1985" s="2">
        <v>5.4398148148148144E-4</v>
      </c>
      <c r="N1985" s="1" t="s">
        <v>26</v>
      </c>
      <c r="O1985" s="1" t="s">
        <v>27</v>
      </c>
      <c r="P1985" s="2">
        <v>6.7129629629629625E-4</v>
      </c>
      <c r="Q1985" s="1" t="s">
        <v>1442</v>
      </c>
      <c r="R1985" s="1">
        <v>0</v>
      </c>
      <c r="S1985" s="1" t="str">
        <f>""</f>
        <v/>
      </c>
      <c r="T1985" s="1" t="s">
        <v>29</v>
      </c>
      <c r="U1985" s="1" t="s">
        <v>30</v>
      </c>
      <c r="V1985" s="1">
        <v>0</v>
      </c>
    </row>
    <row r="1986" spans="2:22" x14ac:dyDescent="0.15">
      <c r="B1986" s="1" t="str">
        <f>"153****0006"</f>
        <v>153****0006</v>
      </c>
      <c r="C1986" s="1" t="s">
        <v>188</v>
      </c>
      <c r="D1986" s="1" t="str">
        <f t="shared" si="196"/>
        <v>89177328</v>
      </c>
      <c r="E1986" s="1" t="s">
        <v>24</v>
      </c>
      <c r="F1986" s="1" t="str">
        <f t="shared" si="197"/>
        <v>0010</v>
      </c>
      <c r="G1986" s="1" t="str">
        <f>""</f>
        <v/>
      </c>
      <c r="H1986" s="1" t="str">
        <f>"0018"</f>
        <v>0018</v>
      </c>
      <c r="I1986" s="1" t="s">
        <v>36</v>
      </c>
      <c r="J1986" s="1" t="str">
        <f>"01043989718"</f>
        <v>01043989718</v>
      </c>
      <c r="K1986" s="1" t="str">
        <f>"2017-03-26 19:18:15"</f>
        <v>2017-03-26 19:18:15</v>
      </c>
      <c r="L1986" s="1" t="str">
        <f>"2017-03-26 19:18:23"</f>
        <v>2017-03-26 19:18:23</v>
      </c>
      <c r="M1986" s="2">
        <v>7.858796296296296E-3</v>
      </c>
      <c r="N1986" s="1" t="s">
        <v>26</v>
      </c>
      <c r="O1986" s="1" t="s">
        <v>34</v>
      </c>
      <c r="P1986" s="2">
        <v>7.951388888888888E-3</v>
      </c>
      <c r="Q1986" s="1" t="s">
        <v>1443</v>
      </c>
      <c r="R1986" s="1">
        <v>0</v>
      </c>
      <c r="S1986" s="1" t="str">
        <f>""</f>
        <v/>
      </c>
      <c r="T1986" s="1" t="s">
        <v>29</v>
      </c>
      <c r="U1986" s="1" t="s">
        <v>30</v>
      </c>
      <c r="V1986" s="1">
        <v>0</v>
      </c>
    </row>
    <row r="1987" spans="2:22" x14ac:dyDescent="0.15">
      <c r="B1987" s="1" t="str">
        <f>"177****2596"</f>
        <v>177****2596</v>
      </c>
      <c r="C1987" s="1" t="s">
        <v>416</v>
      </c>
      <c r="D1987" s="1" t="str">
        <f t="shared" si="196"/>
        <v>89177328</v>
      </c>
      <c r="E1987" s="1" t="s">
        <v>24</v>
      </c>
      <c r="F1987" s="1" t="str">
        <f t="shared" si="197"/>
        <v>0010</v>
      </c>
      <c r="G1987" s="1" t="str">
        <f>""</f>
        <v/>
      </c>
      <c r="H1987" s="1" t="str">
        <f>"0018"</f>
        <v>0018</v>
      </c>
      <c r="I1987" s="1" t="s">
        <v>36</v>
      </c>
      <c r="J1987" s="1" t="str">
        <f>"01043989718"</f>
        <v>01043989718</v>
      </c>
      <c r="K1987" s="1" t="str">
        <f>"2017-03-26 18:58:08"</f>
        <v>2017-03-26 18:58:08</v>
      </c>
      <c r="L1987" s="1" t="str">
        <f>"2017-03-26 18:58:18"</f>
        <v>2017-03-26 18:58:18</v>
      </c>
      <c r="M1987" s="2">
        <v>9.2129629629629627E-3</v>
      </c>
      <c r="N1987" s="1" t="s">
        <v>26</v>
      </c>
      <c r="O1987" s="1" t="s">
        <v>34</v>
      </c>
      <c r="P1987" s="2">
        <v>9.3287037037037036E-3</v>
      </c>
      <c r="Q1987" s="1" t="s">
        <v>1444</v>
      </c>
      <c r="R1987" s="1">
        <v>0</v>
      </c>
      <c r="S1987" s="1" t="str">
        <f>""</f>
        <v/>
      </c>
      <c r="T1987" s="1" t="s">
        <v>29</v>
      </c>
      <c r="U1987" s="1" t="s">
        <v>30</v>
      </c>
      <c r="V1987" s="1">
        <v>0</v>
      </c>
    </row>
    <row r="1988" spans="2:22" x14ac:dyDescent="0.15">
      <c r="B1988" s="1" t="str">
        <f>"183****4280"</f>
        <v>183****4280</v>
      </c>
      <c r="C1988" s="1" t="s">
        <v>23</v>
      </c>
      <c r="D1988" s="1" t="str">
        <f t="shared" si="196"/>
        <v>89177328</v>
      </c>
      <c r="E1988" s="1" t="s">
        <v>24</v>
      </c>
      <c r="F1988" s="1" t="str">
        <f t="shared" si="197"/>
        <v>0010</v>
      </c>
      <c r="G1988" s="1" t="str">
        <f>""</f>
        <v/>
      </c>
      <c r="H1988" s="1" t="str">
        <f>"0018"</f>
        <v>0018</v>
      </c>
      <c r="I1988" s="1" t="s">
        <v>36</v>
      </c>
      <c r="J1988" s="1" t="str">
        <f>"01043989718"</f>
        <v>01043989718</v>
      </c>
      <c r="K1988" s="1" t="str">
        <f>"2017-03-26 18:54:01"</f>
        <v>2017-03-26 18:54:01</v>
      </c>
      <c r="L1988" s="1" t="str">
        <f>"-"</f>
        <v>-</v>
      </c>
      <c r="M1988" s="2">
        <v>0</v>
      </c>
      <c r="N1988" s="1" t="s">
        <v>33</v>
      </c>
      <c r="O1988" s="1" t="s">
        <v>34</v>
      </c>
      <c r="P1988" s="2">
        <v>4.6296296296296294E-5</v>
      </c>
      <c r="Q1988" s="1" t="str">
        <f>""</f>
        <v/>
      </c>
      <c r="R1988" s="1">
        <v>0</v>
      </c>
      <c r="S1988" s="1" t="str">
        <f>""</f>
        <v/>
      </c>
      <c r="T1988" s="1" t="s">
        <v>29</v>
      </c>
      <c r="U1988" s="1" t="s">
        <v>30</v>
      </c>
      <c r="V1988" s="1">
        <v>0</v>
      </c>
    </row>
    <row r="1989" spans="2:22" x14ac:dyDescent="0.15">
      <c r="B1989" s="1" t="str">
        <f>"136****5860"</f>
        <v>136****5860</v>
      </c>
      <c r="C1989" s="1" t="s">
        <v>23</v>
      </c>
      <c r="D1989" s="1" t="str">
        <f t="shared" si="196"/>
        <v>89177328</v>
      </c>
      <c r="E1989" s="1" t="s">
        <v>24</v>
      </c>
      <c r="F1989" s="1" t="str">
        <f t="shared" si="197"/>
        <v>0010</v>
      </c>
      <c r="G1989" s="1" t="str">
        <f>""</f>
        <v/>
      </c>
      <c r="H1989" s="1" t="str">
        <f>"0017"</f>
        <v>0017</v>
      </c>
      <c r="I1989" s="1" t="s">
        <v>135</v>
      </c>
      <c r="J1989" s="1" t="str">
        <f>"01043989717"</f>
        <v>01043989717</v>
      </c>
      <c r="K1989" s="1" t="str">
        <f>"2017-03-26 18:50:27"</f>
        <v>2017-03-26 18:50:27</v>
      </c>
      <c r="L1989" s="1" t="str">
        <f>"2017-03-26 18:50:35"</f>
        <v>2017-03-26 18:50:35</v>
      </c>
      <c r="M1989" s="2">
        <v>6.1342592592592594E-3</v>
      </c>
      <c r="N1989" s="1" t="s">
        <v>26</v>
      </c>
      <c r="O1989" s="1" t="s">
        <v>27</v>
      </c>
      <c r="P1989" s="2">
        <v>6.2268518518518515E-3</v>
      </c>
      <c r="Q1989" s="1" t="s">
        <v>1445</v>
      </c>
      <c r="R1989" s="1">
        <v>0</v>
      </c>
      <c r="S1989" s="1" t="str">
        <f>""</f>
        <v/>
      </c>
      <c r="T1989" s="1" t="s">
        <v>29</v>
      </c>
      <c r="U1989" s="1" t="s">
        <v>30</v>
      </c>
      <c r="V1989" s="1">
        <v>0</v>
      </c>
    </row>
    <row r="1990" spans="2:22" x14ac:dyDescent="0.15">
      <c r="B1990" s="1" t="str">
        <f>"183****4280"</f>
        <v>183****4280</v>
      </c>
      <c r="C1990" s="1" t="s">
        <v>23</v>
      </c>
      <c r="D1990" s="1" t="str">
        <f t="shared" si="196"/>
        <v>89177328</v>
      </c>
      <c r="E1990" s="1" t="s">
        <v>24</v>
      </c>
      <c r="F1990" s="1" t="str">
        <f t="shared" si="197"/>
        <v>0010</v>
      </c>
      <c r="G1990" s="1" t="str">
        <f>""</f>
        <v/>
      </c>
      <c r="H1990" s="1" t="str">
        <f>"0017"</f>
        <v>0017</v>
      </c>
      <c r="I1990" s="1" t="s">
        <v>135</v>
      </c>
      <c r="J1990" s="1" t="str">
        <f>"01043989717"</f>
        <v>01043989717</v>
      </c>
      <c r="K1990" s="1" t="str">
        <f>"2017-03-26 18:49:57"</f>
        <v>2017-03-26 18:49:57</v>
      </c>
      <c r="L1990" s="1" t="str">
        <f>"-"</f>
        <v>-</v>
      </c>
      <c r="M1990" s="2">
        <v>0</v>
      </c>
      <c r="N1990" s="1" t="s">
        <v>33</v>
      </c>
      <c r="O1990" s="1" t="s">
        <v>34</v>
      </c>
      <c r="P1990" s="2">
        <v>2.3148148148148147E-5</v>
      </c>
      <c r="Q1990" s="1" t="str">
        <f>""</f>
        <v/>
      </c>
      <c r="R1990" s="1">
        <v>0</v>
      </c>
      <c r="S1990" s="1" t="str">
        <f>""</f>
        <v/>
      </c>
      <c r="T1990" s="1" t="s">
        <v>29</v>
      </c>
      <c r="U1990" s="1" t="s">
        <v>30</v>
      </c>
      <c r="V1990" s="1">
        <v>0</v>
      </c>
    </row>
    <row r="1991" spans="2:22" x14ac:dyDescent="0.15">
      <c r="B1991" s="1" t="str">
        <f>"188****5848"</f>
        <v>188****5848</v>
      </c>
      <c r="C1991" s="1" t="s">
        <v>23</v>
      </c>
      <c r="D1991" s="1" t="str">
        <f t="shared" si="196"/>
        <v>89177328</v>
      </c>
      <c r="E1991" s="1" t="s">
        <v>24</v>
      </c>
      <c r="F1991" s="1" t="str">
        <f t="shared" si="197"/>
        <v>0010</v>
      </c>
      <c r="G1991" s="1" t="str">
        <f>""</f>
        <v/>
      </c>
      <c r="H1991" s="1" t="str">
        <f>"0035"</f>
        <v>0035</v>
      </c>
      <c r="I1991" s="1" t="s">
        <v>25</v>
      </c>
      <c r="J1991" s="1" t="str">
        <f>"01043977569"</f>
        <v>01043977569</v>
      </c>
      <c r="K1991" s="1" t="str">
        <f>"2017-03-26 18:48:20"</f>
        <v>2017-03-26 18:48:20</v>
      </c>
      <c r="L1991" s="1" t="str">
        <f>"2017-03-26 18:48:29"</f>
        <v>2017-03-26 18:48:29</v>
      </c>
      <c r="M1991" s="2">
        <v>4.5138888888888893E-3</v>
      </c>
      <c r="N1991" s="1" t="s">
        <v>26</v>
      </c>
      <c r="O1991" s="1" t="s">
        <v>27</v>
      </c>
      <c r="P1991" s="2">
        <v>4.6180555555555558E-3</v>
      </c>
      <c r="Q1991" s="1" t="s">
        <v>1446</v>
      </c>
      <c r="R1991" s="1">
        <v>0</v>
      </c>
      <c r="S1991" s="1" t="str">
        <f>""</f>
        <v/>
      </c>
      <c r="T1991" s="1" t="s">
        <v>29</v>
      </c>
      <c r="U1991" s="1" t="s">
        <v>30</v>
      </c>
      <c r="V1991" s="1">
        <v>0</v>
      </c>
    </row>
    <row r="1992" spans="2:22" x14ac:dyDescent="0.15">
      <c r="B1992" s="1" t="str">
        <f>"139****9539"</f>
        <v>139****9539</v>
      </c>
      <c r="C1992" s="1" t="s">
        <v>904</v>
      </c>
      <c r="D1992" s="1" t="str">
        <f>"4000108333"</f>
        <v>4000108333</v>
      </c>
      <c r="E1992" s="1" t="s">
        <v>53</v>
      </c>
      <c r="F1992" s="1" t="str">
        <f>"0000"</f>
        <v>0000</v>
      </c>
      <c r="G1992" s="1" t="str">
        <f>""</f>
        <v/>
      </c>
      <c r="H1992" s="1" t="str">
        <f>"1010"</f>
        <v>1010</v>
      </c>
      <c r="I1992" s="1" t="s">
        <v>148</v>
      </c>
      <c r="J1992" s="1" t="str">
        <f>"13718091869"</f>
        <v>13718091869</v>
      </c>
      <c r="K1992" s="1" t="str">
        <f>"2017-03-26 18:31:40"</f>
        <v>2017-03-26 18:31:40</v>
      </c>
      <c r="L1992" s="1" t="str">
        <f>"2017-03-26 18:32:13"</f>
        <v>2017-03-26 18:32:13</v>
      </c>
      <c r="M1992" s="2">
        <v>5.0578703703703709E-2</v>
      </c>
      <c r="N1992" s="1" t="s">
        <v>26</v>
      </c>
      <c r="O1992" s="1" t="s">
        <v>27</v>
      </c>
      <c r="P1992" s="2">
        <v>5.0960648148148151E-2</v>
      </c>
      <c r="Q1992" s="1" t="s">
        <v>1447</v>
      </c>
      <c r="R1992" s="1">
        <v>8.8800000000000008</v>
      </c>
      <c r="S1992" s="1" t="str">
        <f>""</f>
        <v/>
      </c>
      <c r="T1992" s="1" t="s">
        <v>29</v>
      </c>
      <c r="U1992" s="1" t="s">
        <v>30</v>
      </c>
      <c r="V1992" s="1">
        <v>0</v>
      </c>
    </row>
    <row r="1993" spans="2:22" x14ac:dyDescent="0.15">
      <c r="B1993" s="1" t="str">
        <f>"139****9539"</f>
        <v>139****9539</v>
      </c>
      <c r="C1993" s="1" t="s">
        <v>904</v>
      </c>
      <c r="D1993" s="1" t="str">
        <f>"4000108333"</f>
        <v>4000108333</v>
      </c>
      <c r="E1993" s="1" t="str">
        <f>""</f>
        <v/>
      </c>
      <c r="F1993" s="1" t="str">
        <f>""</f>
        <v/>
      </c>
      <c r="G1993" s="1" t="str">
        <f>""</f>
        <v/>
      </c>
      <c r="H1993" s="1" t="str">
        <f>""</f>
        <v/>
      </c>
      <c r="I1993" s="1" t="str">
        <f>""</f>
        <v/>
      </c>
      <c r="J1993" s="1" t="str">
        <f>""</f>
        <v/>
      </c>
      <c r="K1993" s="1" t="str">
        <f>"2017-03-26 18:31:07"</f>
        <v>2017-03-26 18:31:07</v>
      </c>
      <c r="L1993" s="1" t="str">
        <f>"-"</f>
        <v>-</v>
      </c>
      <c r="M1993" s="2">
        <v>0</v>
      </c>
      <c r="N1993" s="1" t="s">
        <v>393</v>
      </c>
      <c r="O1993" s="1" t="s">
        <v>34</v>
      </c>
      <c r="P1993" s="2">
        <v>1.1574074074074073E-5</v>
      </c>
      <c r="Q1993" s="1" t="str">
        <f>""</f>
        <v/>
      </c>
      <c r="R1993" s="1">
        <v>0</v>
      </c>
      <c r="S1993" s="1" t="str">
        <f>""</f>
        <v/>
      </c>
      <c r="T1993" s="1" t="s">
        <v>29</v>
      </c>
      <c r="U1993" s="1" t="s">
        <v>30</v>
      </c>
      <c r="V1993" s="1">
        <v>0</v>
      </c>
    </row>
    <row r="1994" spans="2:22" x14ac:dyDescent="0.15">
      <c r="B1994" s="1" t="str">
        <f>"116114"</f>
        <v>116114</v>
      </c>
      <c r="C1994" s="1" t="s">
        <v>159</v>
      </c>
      <c r="D1994" s="1" t="str">
        <f t="shared" ref="D1994:D2027" si="198">"89177328"</f>
        <v>89177328</v>
      </c>
      <c r="E1994" s="1" t="s">
        <v>24</v>
      </c>
      <c r="F1994" s="1" t="str">
        <f t="shared" ref="F1994:F2027" si="199">"0010"</f>
        <v>0010</v>
      </c>
      <c r="G1994" s="1" t="str">
        <f>""</f>
        <v/>
      </c>
      <c r="H1994" s="1" t="str">
        <f>"0018"</f>
        <v>0018</v>
      </c>
      <c r="I1994" s="1" t="s">
        <v>36</v>
      </c>
      <c r="J1994" s="1" t="str">
        <f>"01043989718"</f>
        <v>01043989718</v>
      </c>
      <c r="K1994" s="1" t="str">
        <f>"2017-03-26 17:53:55"</f>
        <v>2017-03-26 17:53:55</v>
      </c>
      <c r="L1994" s="1" t="str">
        <f>"-"</f>
        <v>-</v>
      </c>
      <c r="M1994" s="2">
        <v>0</v>
      </c>
      <c r="N1994" s="1" t="s">
        <v>33</v>
      </c>
      <c r="O1994" s="1" t="s">
        <v>34</v>
      </c>
      <c r="P1994" s="2">
        <v>2.3148148148148147E-5</v>
      </c>
      <c r="Q1994" s="1" t="str">
        <f>""</f>
        <v/>
      </c>
      <c r="R1994" s="1">
        <v>0</v>
      </c>
      <c r="S1994" s="1" t="str">
        <f>""</f>
        <v/>
      </c>
      <c r="T1994" s="1" t="s">
        <v>29</v>
      </c>
      <c r="U1994" s="1" t="s">
        <v>30</v>
      </c>
      <c r="V1994" s="1">
        <v>0</v>
      </c>
    </row>
    <row r="1995" spans="2:22" x14ac:dyDescent="0.15">
      <c r="B1995" s="1" t="str">
        <f>"133****6466"</f>
        <v>133****6466</v>
      </c>
      <c r="C1995" s="1" t="s">
        <v>23</v>
      </c>
      <c r="D1995" s="1" t="str">
        <f t="shared" si="198"/>
        <v>89177328</v>
      </c>
      <c r="E1995" s="1" t="s">
        <v>24</v>
      </c>
      <c r="F1995" s="1" t="str">
        <f t="shared" si="199"/>
        <v>0010</v>
      </c>
      <c r="G1995" s="1" t="str">
        <f>""</f>
        <v/>
      </c>
      <c r="H1995" s="1" t="str">
        <f>"0018"</f>
        <v>0018</v>
      </c>
      <c r="I1995" s="1" t="s">
        <v>36</v>
      </c>
      <c r="J1995" s="1" t="str">
        <f>"01043989718"</f>
        <v>01043989718</v>
      </c>
      <c r="K1995" s="1" t="str">
        <f>"2017-03-26 17:05:09"</f>
        <v>2017-03-26 17:05:09</v>
      </c>
      <c r="L1995" s="1" t="str">
        <f>"2017-03-26 17:05:18"</f>
        <v>2017-03-26 17:05:18</v>
      </c>
      <c r="M1995" s="2">
        <v>1.3020833333333334E-2</v>
      </c>
      <c r="N1995" s="1" t="s">
        <v>26</v>
      </c>
      <c r="O1995" s="1" t="s">
        <v>27</v>
      </c>
      <c r="P1995" s="2">
        <v>1.3125E-2</v>
      </c>
      <c r="Q1995" s="1" t="s">
        <v>1448</v>
      </c>
      <c r="R1995" s="1">
        <v>0</v>
      </c>
      <c r="S1995" s="1" t="str">
        <f>""</f>
        <v/>
      </c>
      <c r="T1995" s="1" t="s">
        <v>29</v>
      </c>
      <c r="U1995" s="1" t="s">
        <v>30</v>
      </c>
      <c r="V1995" s="1">
        <v>0</v>
      </c>
    </row>
    <row r="1996" spans="2:22" x14ac:dyDescent="0.15">
      <c r="B1996" s="1" t="str">
        <f>"010****4537"</f>
        <v>010****4537</v>
      </c>
      <c r="C1996" s="1" t="s">
        <v>23</v>
      </c>
      <c r="D1996" s="1" t="str">
        <f t="shared" si="198"/>
        <v>89177328</v>
      </c>
      <c r="E1996" s="1" t="s">
        <v>24</v>
      </c>
      <c r="F1996" s="1" t="str">
        <f t="shared" si="199"/>
        <v>0010</v>
      </c>
      <c r="G1996" s="1" t="str">
        <f>""</f>
        <v/>
      </c>
      <c r="H1996" s="1" t="str">
        <f>"0017"</f>
        <v>0017</v>
      </c>
      <c r="I1996" s="1" t="s">
        <v>135</v>
      </c>
      <c r="J1996" s="1" t="str">
        <f>"01043989717"</f>
        <v>01043989717</v>
      </c>
      <c r="K1996" s="1" t="str">
        <f>"2017-03-26 16:16:11"</f>
        <v>2017-03-26 16:16:11</v>
      </c>
      <c r="L1996" s="1" t="str">
        <f>"2017-03-26 16:16:18"</f>
        <v>2017-03-26 16:16:18</v>
      </c>
      <c r="M1996" s="2">
        <v>4.2013888888888891E-3</v>
      </c>
      <c r="N1996" s="1" t="s">
        <v>26</v>
      </c>
      <c r="O1996" s="1" t="s">
        <v>27</v>
      </c>
      <c r="P1996" s="2">
        <v>4.2824074074074075E-3</v>
      </c>
      <c r="Q1996" s="1" t="s">
        <v>1449</v>
      </c>
      <c r="R1996" s="1">
        <v>0</v>
      </c>
      <c r="S1996" s="1" t="str">
        <f>""</f>
        <v/>
      </c>
      <c r="T1996" s="1" t="s">
        <v>29</v>
      </c>
      <c r="U1996" s="1" t="s">
        <v>30</v>
      </c>
      <c r="V1996" s="1">
        <v>0</v>
      </c>
    </row>
    <row r="1997" spans="2:22" x14ac:dyDescent="0.15">
      <c r="B1997" s="1" t="str">
        <f>"177****8035"</f>
        <v>177****8035</v>
      </c>
      <c r="C1997" s="1" t="s">
        <v>23</v>
      </c>
      <c r="D1997" s="1" t="str">
        <f t="shared" si="198"/>
        <v>89177328</v>
      </c>
      <c r="E1997" s="1" t="s">
        <v>24</v>
      </c>
      <c r="F1997" s="1" t="str">
        <f t="shared" si="199"/>
        <v>0010</v>
      </c>
      <c r="G1997" s="1" t="str">
        <f>""</f>
        <v/>
      </c>
      <c r="H1997" s="1" t="str">
        <f>"0035"</f>
        <v>0035</v>
      </c>
      <c r="I1997" s="1" t="s">
        <v>25</v>
      </c>
      <c r="J1997" s="1" t="str">
        <f>"01043977569"</f>
        <v>01043977569</v>
      </c>
      <c r="K1997" s="1" t="str">
        <f>"2017-03-26 15:44:58"</f>
        <v>2017-03-26 15:44:58</v>
      </c>
      <c r="L1997" s="1" t="str">
        <f>"2017-03-26 15:45:08"</f>
        <v>2017-03-26 15:45:08</v>
      </c>
      <c r="M1997" s="2">
        <v>1.5509259259259257E-2</v>
      </c>
      <c r="N1997" s="1" t="s">
        <v>26</v>
      </c>
      <c r="O1997" s="1" t="s">
        <v>27</v>
      </c>
      <c r="P1997" s="2">
        <v>1.5625E-2</v>
      </c>
      <c r="Q1997" s="1" t="s">
        <v>1450</v>
      </c>
      <c r="R1997" s="1">
        <v>0</v>
      </c>
      <c r="S1997" s="1" t="str">
        <f>""</f>
        <v/>
      </c>
      <c r="T1997" s="1" t="s">
        <v>29</v>
      </c>
      <c r="U1997" s="1" t="s">
        <v>30</v>
      </c>
      <c r="V1997" s="1">
        <v>0</v>
      </c>
    </row>
    <row r="1998" spans="2:22" x14ac:dyDescent="0.15">
      <c r="B1998" s="1" t="str">
        <f>"177****0107"</f>
        <v>177****0107</v>
      </c>
      <c r="C1998" s="1" t="s">
        <v>23</v>
      </c>
      <c r="D1998" s="1" t="str">
        <f t="shared" si="198"/>
        <v>89177328</v>
      </c>
      <c r="E1998" s="1" t="s">
        <v>24</v>
      </c>
      <c r="F1998" s="1" t="str">
        <f t="shared" si="199"/>
        <v>0010</v>
      </c>
      <c r="G1998" s="1" t="str">
        <f>""</f>
        <v/>
      </c>
      <c r="H1998" s="1" t="str">
        <f>"0018"</f>
        <v>0018</v>
      </c>
      <c r="I1998" s="1" t="s">
        <v>36</v>
      </c>
      <c r="J1998" s="1" t="str">
        <f>"01043989718"</f>
        <v>01043989718</v>
      </c>
      <c r="K1998" s="1" t="str">
        <f>"2017-03-26 15:28:20"</f>
        <v>2017-03-26 15:28:20</v>
      </c>
      <c r="L1998" s="1" t="str">
        <f>"2017-03-26 15:28:29"</f>
        <v>2017-03-26 15:28:29</v>
      </c>
      <c r="M1998" s="2">
        <v>5.1736111111111115E-3</v>
      </c>
      <c r="N1998" s="1" t="s">
        <v>26</v>
      </c>
      <c r="O1998" s="1" t="s">
        <v>34</v>
      </c>
      <c r="P1998" s="2">
        <v>5.2777777777777771E-3</v>
      </c>
      <c r="Q1998" s="1" t="s">
        <v>1451</v>
      </c>
      <c r="R1998" s="1">
        <v>0</v>
      </c>
      <c r="S1998" s="1" t="str">
        <f>""</f>
        <v/>
      </c>
      <c r="T1998" s="1" t="s">
        <v>29</v>
      </c>
      <c r="U1998" s="1" t="s">
        <v>30</v>
      </c>
      <c r="V1998" s="1">
        <v>0</v>
      </c>
    </row>
    <row r="1999" spans="2:22" x14ac:dyDescent="0.15">
      <c r="B1999" s="1" t="str">
        <f>"189****8736"</f>
        <v>189****8736</v>
      </c>
      <c r="C1999" s="1" t="s">
        <v>1452</v>
      </c>
      <c r="D1999" s="1" t="str">
        <f t="shared" si="198"/>
        <v>89177328</v>
      </c>
      <c r="E1999" s="1" t="s">
        <v>24</v>
      </c>
      <c r="F1999" s="1" t="str">
        <f t="shared" si="199"/>
        <v>0010</v>
      </c>
      <c r="G1999" s="1" t="str">
        <f>""</f>
        <v/>
      </c>
      <c r="H1999" s="1" t="str">
        <f>"0035"</f>
        <v>0035</v>
      </c>
      <c r="I1999" s="1" t="s">
        <v>25</v>
      </c>
      <c r="J1999" s="1" t="str">
        <f>"01043977569"</f>
        <v>01043977569</v>
      </c>
      <c r="K1999" s="1" t="str">
        <f>"2017-03-26 14:09:44"</f>
        <v>2017-03-26 14:09:44</v>
      </c>
      <c r="L1999" s="1" t="str">
        <f>"2017-03-26 14:09:54"</f>
        <v>2017-03-26 14:09:54</v>
      </c>
      <c r="M1999" s="2">
        <v>4.9884259259259265E-3</v>
      </c>
      <c r="N1999" s="1" t="s">
        <v>26</v>
      </c>
      <c r="O1999" s="1" t="s">
        <v>27</v>
      </c>
      <c r="P1999" s="2">
        <v>5.1041666666666666E-3</v>
      </c>
      <c r="Q1999" s="1" t="s">
        <v>1453</v>
      </c>
      <c r="R1999" s="1">
        <v>0</v>
      </c>
      <c r="S1999" s="1" t="str">
        <f>""</f>
        <v/>
      </c>
      <c r="T1999" s="1" t="s">
        <v>29</v>
      </c>
      <c r="U1999" s="1" t="s">
        <v>30</v>
      </c>
      <c r="V1999" s="1">
        <v>0</v>
      </c>
    </row>
    <row r="2000" spans="2:22" x14ac:dyDescent="0.15">
      <c r="B2000" s="1" t="str">
        <f>"133****1756"</f>
        <v>133****1756</v>
      </c>
      <c r="C2000" s="1" t="s">
        <v>23</v>
      </c>
      <c r="D2000" s="1" t="str">
        <f t="shared" si="198"/>
        <v>89177328</v>
      </c>
      <c r="E2000" s="1" t="s">
        <v>24</v>
      </c>
      <c r="F2000" s="1" t="str">
        <f t="shared" si="199"/>
        <v>0010</v>
      </c>
      <c r="G2000" s="1" t="str">
        <f>""</f>
        <v/>
      </c>
      <c r="H2000" s="1" t="str">
        <f>"0018"</f>
        <v>0018</v>
      </c>
      <c r="I2000" s="1" t="s">
        <v>36</v>
      </c>
      <c r="J2000" s="1" t="str">
        <f>"01043989718"</f>
        <v>01043989718</v>
      </c>
      <c r="K2000" s="1" t="str">
        <f>"2017-03-26 14:03:33"</f>
        <v>2017-03-26 14:03:33</v>
      </c>
      <c r="L2000" s="1" t="str">
        <f>"2017-03-26 14:03:43"</f>
        <v>2017-03-26 14:03:43</v>
      </c>
      <c r="M2000" s="2">
        <v>3.6226851851851854E-3</v>
      </c>
      <c r="N2000" s="1" t="s">
        <v>26</v>
      </c>
      <c r="O2000" s="1" t="s">
        <v>34</v>
      </c>
      <c r="P2000" s="2">
        <v>3.7384259259259263E-3</v>
      </c>
      <c r="Q2000" s="1" t="s">
        <v>1454</v>
      </c>
      <c r="R2000" s="1">
        <v>0</v>
      </c>
      <c r="S2000" s="1" t="str">
        <f>""</f>
        <v/>
      </c>
      <c r="T2000" s="1" t="s">
        <v>29</v>
      </c>
      <c r="U2000" s="1" t="s">
        <v>30</v>
      </c>
      <c r="V2000" s="1">
        <v>0</v>
      </c>
    </row>
    <row r="2001" spans="2:22" x14ac:dyDescent="0.15">
      <c r="B2001" s="1" t="str">
        <f>"010****3145"</f>
        <v>010****3145</v>
      </c>
      <c r="C2001" s="1" t="s">
        <v>23</v>
      </c>
      <c r="D2001" s="1" t="str">
        <f t="shared" si="198"/>
        <v>89177328</v>
      </c>
      <c r="E2001" s="1" t="s">
        <v>24</v>
      </c>
      <c r="F2001" s="1" t="str">
        <f t="shared" si="199"/>
        <v>0010</v>
      </c>
      <c r="G2001" s="1" t="str">
        <f>""</f>
        <v/>
      </c>
      <c r="H2001" s="1" t="str">
        <f>"0017"</f>
        <v>0017</v>
      </c>
      <c r="I2001" s="1" t="s">
        <v>135</v>
      </c>
      <c r="J2001" s="1" t="str">
        <f>"01043989717"</f>
        <v>01043989717</v>
      </c>
      <c r="K2001" s="1" t="str">
        <f>"2017-03-26 13:30:20"</f>
        <v>2017-03-26 13:30:20</v>
      </c>
      <c r="L2001" s="1" t="str">
        <f>"2017-03-26 13:30:27"</f>
        <v>2017-03-26 13:30:27</v>
      </c>
      <c r="M2001" s="2">
        <v>8.6921296296296312E-3</v>
      </c>
      <c r="N2001" s="1" t="s">
        <v>26</v>
      </c>
      <c r="O2001" s="1" t="s">
        <v>27</v>
      </c>
      <c r="P2001" s="2">
        <v>8.773148148148148E-3</v>
      </c>
      <c r="Q2001" s="1" t="s">
        <v>1455</v>
      </c>
      <c r="R2001" s="1">
        <v>0</v>
      </c>
      <c r="S2001" s="1" t="str">
        <f>""</f>
        <v/>
      </c>
      <c r="T2001" s="1" t="s">
        <v>29</v>
      </c>
      <c r="U2001" s="1" t="s">
        <v>30</v>
      </c>
      <c r="V2001" s="1">
        <v>0</v>
      </c>
    </row>
    <row r="2002" spans="2:22" x14ac:dyDescent="0.15">
      <c r="B2002" s="1" t="str">
        <f>"133****3545"</f>
        <v>133****3545</v>
      </c>
      <c r="C2002" s="1" t="s">
        <v>76</v>
      </c>
      <c r="D2002" s="1" t="str">
        <f t="shared" si="198"/>
        <v>89177328</v>
      </c>
      <c r="E2002" s="1" t="s">
        <v>24</v>
      </c>
      <c r="F2002" s="1" t="str">
        <f t="shared" si="199"/>
        <v>0010</v>
      </c>
      <c r="G2002" s="1" t="str">
        <f>""</f>
        <v/>
      </c>
      <c r="H2002" s="1" t="str">
        <f>"0035"</f>
        <v>0035</v>
      </c>
      <c r="I2002" s="1" t="s">
        <v>25</v>
      </c>
      <c r="J2002" s="1" t="str">
        <f>"01043977569"</f>
        <v>01043977569</v>
      </c>
      <c r="K2002" s="1" t="str">
        <f>"2017-03-26 13:27:56"</f>
        <v>2017-03-26 13:27:56</v>
      </c>
      <c r="L2002" s="1" t="str">
        <f>"2017-03-26 13:28:06"</f>
        <v>2017-03-26 13:28:06</v>
      </c>
      <c r="M2002" s="2">
        <v>4.3518518518518515E-3</v>
      </c>
      <c r="N2002" s="1" t="s">
        <v>26</v>
      </c>
      <c r="O2002" s="1" t="s">
        <v>34</v>
      </c>
      <c r="P2002" s="2">
        <v>4.4675925925925933E-3</v>
      </c>
      <c r="Q2002" s="1" t="s">
        <v>1456</v>
      </c>
      <c r="R2002" s="1">
        <v>0</v>
      </c>
      <c r="S2002" s="1" t="str">
        <f>""</f>
        <v/>
      </c>
      <c r="T2002" s="1" t="s">
        <v>29</v>
      </c>
      <c r="U2002" s="1" t="s">
        <v>30</v>
      </c>
      <c r="V2002" s="1">
        <v>0</v>
      </c>
    </row>
    <row r="2003" spans="2:22" x14ac:dyDescent="0.15">
      <c r="B2003" s="1" t="str">
        <f>"010****8795"</f>
        <v>010****8795</v>
      </c>
      <c r="C2003" s="1" t="s">
        <v>23</v>
      </c>
      <c r="D2003" s="1" t="str">
        <f t="shared" si="198"/>
        <v>89177328</v>
      </c>
      <c r="E2003" s="1" t="s">
        <v>24</v>
      </c>
      <c r="F2003" s="1" t="str">
        <f t="shared" si="199"/>
        <v>0010</v>
      </c>
      <c r="G2003" s="1" t="str">
        <f>""</f>
        <v/>
      </c>
      <c r="H2003" s="1" t="str">
        <f>"0018"</f>
        <v>0018</v>
      </c>
      <c r="I2003" s="1" t="s">
        <v>36</v>
      </c>
      <c r="J2003" s="1" t="str">
        <f>"01043989718"</f>
        <v>01043989718</v>
      </c>
      <c r="K2003" s="1" t="str">
        <f>"2017-03-26 12:57:13"</f>
        <v>2017-03-26 12:57:13</v>
      </c>
      <c r="L2003" s="1" t="str">
        <f>"2017-03-26 12:57:20"</f>
        <v>2017-03-26 12:57:20</v>
      </c>
      <c r="M2003" s="2">
        <v>1.2349537037037039E-2</v>
      </c>
      <c r="N2003" s="1" t="s">
        <v>26</v>
      </c>
      <c r="O2003" s="1" t="s">
        <v>34</v>
      </c>
      <c r="P2003" s="2">
        <v>1.2430555555555554E-2</v>
      </c>
      <c r="Q2003" s="1" t="s">
        <v>1457</v>
      </c>
      <c r="R2003" s="1">
        <v>0</v>
      </c>
      <c r="S2003" s="1" t="str">
        <f>""</f>
        <v/>
      </c>
      <c r="T2003" s="1" t="s">
        <v>29</v>
      </c>
      <c r="U2003" s="1" t="s">
        <v>30</v>
      </c>
      <c r="V2003" s="1">
        <v>0</v>
      </c>
    </row>
    <row r="2004" spans="2:22" x14ac:dyDescent="0.15">
      <c r="B2004" s="1" t="str">
        <f>"131****9875"</f>
        <v>131****9875</v>
      </c>
      <c r="C2004" s="1" t="s">
        <v>23</v>
      </c>
      <c r="D2004" s="1" t="str">
        <f t="shared" si="198"/>
        <v>89177328</v>
      </c>
      <c r="E2004" s="1" t="s">
        <v>24</v>
      </c>
      <c r="F2004" s="1" t="str">
        <f t="shared" si="199"/>
        <v>0010</v>
      </c>
      <c r="G2004" s="1" t="str">
        <f>""</f>
        <v/>
      </c>
      <c r="H2004" s="1" t="str">
        <f>"0017"</f>
        <v>0017</v>
      </c>
      <c r="I2004" s="1" t="s">
        <v>135</v>
      </c>
      <c r="J2004" s="1" t="str">
        <f>"01043989717"</f>
        <v>01043989717</v>
      </c>
      <c r="K2004" s="1" t="str">
        <f>"2017-03-26 12:56:15"</f>
        <v>2017-03-26 12:56:15</v>
      </c>
      <c r="L2004" s="1" t="str">
        <f>"2017-03-26 12:56:23"</f>
        <v>2017-03-26 12:56:23</v>
      </c>
      <c r="M2004" s="2">
        <v>4.8611111111111112E-3</v>
      </c>
      <c r="N2004" s="1" t="s">
        <v>26</v>
      </c>
      <c r="O2004" s="1" t="s">
        <v>27</v>
      </c>
      <c r="P2004" s="2">
        <v>4.9537037037037041E-3</v>
      </c>
      <c r="Q2004" s="1" t="s">
        <v>1458</v>
      </c>
      <c r="R2004" s="1">
        <v>0</v>
      </c>
      <c r="S2004" s="1" t="str">
        <f>""</f>
        <v/>
      </c>
      <c r="T2004" s="1" t="s">
        <v>29</v>
      </c>
      <c r="U2004" s="1" t="s">
        <v>30</v>
      </c>
      <c r="V2004" s="1">
        <v>0</v>
      </c>
    </row>
    <row r="2005" spans="2:22" x14ac:dyDescent="0.15">
      <c r="B2005" s="1" t="str">
        <f>"183****4280"</f>
        <v>183****4280</v>
      </c>
      <c r="C2005" s="1" t="s">
        <v>23</v>
      </c>
      <c r="D2005" s="1" t="str">
        <f t="shared" si="198"/>
        <v>89177328</v>
      </c>
      <c r="E2005" s="1" t="s">
        <v>24</v>
      </c>
      <c r="F2005" s="1" t="str">
        <f t="shared" si="199"/>
        <v>0010</v>
      </c>
      <c r="G2005" s="1" t="str">
        <f>""</f>
        <v/>
      </c>
      <c r="H2005" s="1" t="str">
        <f t="shared" ref="H2005:H2013" si="200">"0018"</f>
        <v>0018</v>
      </c>
      <c r="I2005" s="1" t="s">
        <v>36</v>
      </c>
      <c r="J2005" s="1" t="str">
        <f t="shared" ref="J2005:J2013" si="201">"01043989718"</f>
        <v>01043989718</v>
      </c>
      <c r="K2005" s="1" t="str">
        <f>"2017-03-26 11:58:38"</f>
        <v>2017-03-26 11:58:38</v>
      </c>
      <c r="L2005" s="1" t="str">
        <f t="shared" ref="L2005:L2013" si="202">"-"</f>
        <v>-</v>
      </c>
      <c r="M2005" s="2">
        <v>0</v>
      </c>
      <c r="N2005" s="1" t="s">
        <v>33</v>
      </c>
      <c r="O2005" s="1" t="s">
        <v>34</v>
      </c>
      <c r="P2005" s="2">
        <v>6.9444444444444444E-5</v>
      </c>
      <c r="Q2005" s="1" t="str">
        <f>""</f>
        <v/>
      </c>
      <c r="R2005" s="1">
        <v>0</v>
      </c>
      <c r="S2005" s="1" t="str">
        <f>""</f>
        <v/>
      </c>
      <c r="T2005" s="1" t="s">
        <v>29</v>
      </c>
      <c r="U2005" s="1" t="s">
        <v>30</v>
      </c>
      <c r="V2005" s="1">
        <v>0</v>
      </c>
    </row>
    <row r="2006" spans="2:22" x14ac:dyDescent="0.15">
      <c r="B2006" s="1" t="str">
        <f>"130****5656"</f>
        <v>130****5656</v>
      </c>
      <c r="C2006" s="1" t="s">
        <v>112</v>
      </c>
      <c r="D2006" s="1" t="str">
        <f t="shared" si="198"/>
        <v>89177328</v>
      </c>
      <c r="E2006" s="1" t="s">
        <v>24</v>
      </c>
      <c r="F2006" s="1" t="str">
        <f t="shared" si="199"/>
        <v>0010</v>
      </c>
      <c r="G2006" s="1" t="str">
        <f>""</f>
        <v/>
      </c>
      <c r="H2006" s="1" t="str">
        <f t="shared" si="200"/>
        <v>0018</v>
      </c>
      <c r="I2006" s="1" t="s">
        <v>36</v>
      </c>
      <c r="J2006" s="1" t="str">
        <f t="shared" si="201"/>
        <v>01043989718</v>
      </c>
      <c r="K2006" s="1" t="str">
        <f>"2017-03-26 11:57:01"</f>
        <v>2017-03-26 11:57:01</v>
      </c>
      <c r="L2006" s="1" t="str">
        <f t="shared" si="202"/>
        <v>-</v>
      </c>
      <c r="M2006" s="2">
        <v>0</v>
      </c>
      <c r="N2006" s="1" t="s">
        <v>33</v>
      </c>
      <c r="O2006" s="1" t="s">
        <v>34</v>
      </c>
      <c r="P2006" s="2">
        <v>5.7870370370370366E-5</v>
      </c>
      <c r="Q2006" s="1" t="str">
        <f>""</f>
        <v/>
      </c>
      <c r="R2006" s="1">
        <v>0</v>
      </c>
      <c r="S2006" s="1" t="str">
        <f>""</f>
        <v/>
      </c>
      <c r="T2006" s="1" t="s">
        <v>29</v>
      </c>
      <c r="U2006" s="1" t="s">
        <v>30</v>
      </c>
      <c r="V2006" s="1">
        <v>0</v>
      </c>
    </row>
    <row r="2007" spans="2:22" x14ac:dyDescent="0.15">
      <c r="B2007" s="1" t="str">
        <f>"188****7867"</f>
        <v>188****7867</v>
      </c>
      <c r="C2007" s="1" t="s">
        <v>23</v>
      </c>
      <c r="D2007" s="1" t="str">
        <f t="shared" si="198"/>
        <v>89177328</v>
      </c>
      <c r="E2007" s="1" t="s">
        <v>24</v>
      </c>
      <c r="F2007" s="1" t="str">
        <f t="shared" si="199"/>
        <v>0010</v>
      </c>
      <c r="G2007" s="1" t="str">
        <f>""</f>
        <v/>
      </c>
      <c r="H2007" s="1" t="str">
        <f t="shared" si="200"/>
        <v>0018</v>
      </c>
      <c r="I2007" s="1" t="s">
        <v>36</v>
      </c>
      <c r="J2007" s="1" t="str">
        <f t="shared" si="201"/>
        <v>01043989718</v>
      </c>
      <c r="K2007" s="1" t="str">
        <f>"2017-03-26 11:56:48"</f>
        <v>2017-03-26 11:56:48</v>
      </c>
      <c r="L2007" s="1" t="str">
        <f t="shared" si="202"/>
        <v>-</v>
      </c>
      <c r="M2007" s="2">
        <v>0</v>
      </c>
      <c r="N2007" s="1" t="s">
        <v>33</v>
      </c>
      <c r="O2007" s="1" t="s">
        <v>34</v>
      </c>
      <c r="P2007" s="2">
        <v>6.9444444444444444E-5</v>
      </c>
      <c r="Q2007" s="1" t="str">
        <f>""</f>
        <v/>
      </c>
      <c r="R2007" s="1">
        <v>0</v>
      </c>
      <c r="S2007" s="1" t="str">
        <f>""</f>
        <v/>
      </c>
      <c r="T2007" s="1" t="s">
        <v>29</v>
      </c>
      <c r="U2007" s="1" t="s">
        <v>30</v>
      </c>
      <c r="V2007" s="1">
        <v>0</v>
      </c>
    </row>
    <row r="2008" spans="2:22" x14ac:dyDescent="0.15">
      <c r="B2008" s="1" t="str">
        <f>"188****7867"</f>
        <v>188****7867</v>
      </c>
      <c r="C2008" s="1" t="s">
        <v>23</v>
      </c>
      <c r="D2008" s="1" t="str">
        <f t="shared" si="198"/>
        <v>89177328</v>
      </c>
      <c r="E2008" s="1" t="s">
        <v>24</v>
      </c>
      <c r="F2008" s="1" t="str">
        <f t="shared" si="199"/>
        <v>0010</v>
      </c>
      <c r="G2008" s="1" t="str">
        <f>""</f>
        <v/>
      </c>
      <c r="H2008" s="1" t="str">
        <f t="shared" si="200"/>
        <v>0018</v>
      </c>
      <c r="I2008" s="1" t="s">
        <v>36</v>
      </c>
      <c r="J2008" s="1" t="str">
        <f t="shared" si="201"/>
        <v>01043989718</v>
      </c>
      <c r="K2008" s="1" t="str">
        <f>"2017-03-26 11:53:18"</f>
        <v>2017-03-26 11:53:18</v>
      </c>
      <c r="L2008" s="1" t="str">
        <f t="shared" si="202"/>
        <v>-</v>
      </c>
      <c r="M2008" s="2">
        <v>0</v>
      </c>
      <c r="N2008" s="1" t="s">
        <v>33</v>
      </c>
      <c r="O2008" s="1" t="s">
        <v>34</v>
      </c>
      <c r="P2008" s="2">
        <v>8.1018518518518516E-5</v>
      </c>
      <c r="Q2008" s="1" t="str">
        <f>""</f>
        <v/>
      </c>
      <c r="R2008" s="1">
        <v>0</v>
      </c>
      <c r="S2008" s="1" t="str">
        <f>""</f>
        <v/>
      </c>
      <c r="T2008" s="1" t="s">
        <v>29</v>
      </c>
      <c r="U2008" s="1" t="s">
        <v>30</v>
      </c>
      <c r="V2008" s="1">
        <v>0</v>
      </c>
    </row>
    <row r="2009" spans="2:22" x14ac:dyDescent="0.15">
      <c r="B2009" s="1" t="str">
        <f>"130****5656"</f>
        <v>130****5656</v>
      </c>
      <c r="C2009" s="1" t="s">
        <v>112</v>
      </c>
      <c r="D2009" s="1" t="str">
        <f t="shared" si="198"/>
        <v>89177328</v>
      </c>
      <c r="E2009" s="1" t="s">
        <v>24</v>
      </c>
      <c r="F2009" s="1" t="str">
        <f t="shared" si="199"/>
        <v>0010</v>
      </c>
      <c r="G2009" s="1" t="str">
        <f>""</f>
        <v/>
      </c>
      <c r="H2009" s="1" t="str">
        <f t="shared" si="200"/>
        <v>0018</v>
      </c>
      <c r="I2009" s="1" t="s">
        <v>36</v>
      </c>
      <c r="J2009" s="1" t="str">
        <f t="shared" si="201"/>
        <v>01043989718</v>
      </c>
      <c r="K2009" s="1" t="str">
        <f>"2017-03-26 11:51:51"</f>
        <v>2017-03-26 11:51:51</v>
      </c>
      <c r="L2009" s="1" t="str">
        <f t="shared" si="202"/>
        <v>-</v>
      </c>
      <c r="M2009" s="2">
        <v>0</v>
      </c>
      <c r="N2009" s="1" t="s">
        <v>33</v>
      </c>
      <c r="O2009" s="1" t="s">
        <v>34</v>
      </c>
      <c r="P2009" s="2">
        <v>2.3148148148148147E-5</v>
      </c>
      <c r="Q2009" s="1" t="str">
        <f>""</f>
        <v/>
      </c>
      <c r="R2009" s="1">
        <v>0</v>
      </c>
      <c r="S2009" s="1" t="str">
        <f>""</f>
        <v/>
      </c>
      <c r="T2009" s="1" t="s">
        <v>29</v>
      </c>
      <c r="U2009" s="1" t="s">
        <v>30</v>
      </c>
      <c r="V2009" s="1">
        <v>0</v>
      </c>
    </row>
    <row r="2010" spans="2:22" x14ac:dyDescent="0.15">
      <c r="B2010" s="1" t="str">
        <f>"130****5656"</f>
        <v>130****5656</v>
      </c>
      <c r="C2010" s="1" t="s">
        <v>112</v>
      </c>
      <c r="D2010" s="1" t="str">
        <f t="shared" si="198"/>
        <v>89177328</v>
      </c>
      <c r="E2010" s="1" t="s">
        <v>24</v>
      </c>
      <c r="F2010" s="1" t="str">
        <f t="shared" si="199"/>
        <v>0010</v>
      </c>
      <c r="G2010" s="1" t="str">
        <f>""</f>
        <v/>
      </c>
      <c r="H2010" s="1" t="str">
        <f t="shared" si="200"/>
        <v>0018</v>
      </c>
      <c r="I2010" s="1" t="s">
        <v>36</v>
      </c>
      <c r="J2010" s="1" t="str">
        <f t="shared" si="201"/>
        <v>01043989718</v>
      </c>
      <c r="K2010" s="1" t="str">
        <f>"2017-03-26 11:50:14"</f>
        <v>2017-03-26 11:50:14</v>
      </c>
      <c r="L2010" s="1" t="str">
        <f t="shared" si="202"/>
        <v>-</v>
      </c>
      <c r="M2010" s="2">
        <v>0</v>
      </c>
      <c r="N2010" s="1" t="s">
        <v>33</v>
      </c>
      <c r="O2010" s="1" t="s">
        <v>34</v>
      </c>
      <c r="P2010" s="2">
        <v>6.9444444444444444E-5</v>
      </c>
      <c r="Q2010" s="1" t="str">
        <f>""</f>
        <v/>
      </c>
      <c r="R2010" s="1">
        <v>0</v>
      </c>
      <c r="S2010" s="1" t="str">
        <f>""</f>
        <v/>
      </c>
      <c r="T2010" s="1" t="s">
        <v>29</v>
      </c>
      <c r="U2010" s="1" t="s">
        <v>30</v>
      </c>
      <c r="V2010" s="1">
        <v>0</v>
      </c>
    </row>
    <row r="2011" spans="2:22" x14ac:dyDescent="0.15">
      <c r="B2011" s="1" t="str">
        <f>"183****4280"</f>
        <v>183****4280</v>
      </c>
      <c r="C2011" s="1" t="s">
        <v>23</v>
      </c>
      <c r="D2011" s="1" t="str">
        <f t="shared" si="198"/>
        <v>89177328</v>
      </c>
      <c r="E2011" s="1" t="s">
        <v>24</v>
      </c>
      <c r="F2011" s="1" t="str">
        <f t="shared" si="199"/>
        <v>0010</v>
      </c>
      <c r="G2011" s="1" t="str">
        <f>""</f>
        <v/>
      </c>
      <c r="H2011" s="1" t="str">
        <f t="shared" si="200"/>
        <v>0018</v>
      </c>
      <c r="I2011" s="1" t="s">
        <v>36</v>
      </c>
      <c r="J2011" s="1" t="str">
        <f t="shared" si="201"/>
        <v>01043989718</v>
      </c>
      <c r="K2011" s="1" t="str">
        <f>"2017-03-26 11:50:04"</f>
        <v>2017-03-26 11:50:04</v>
      </c>
      <c r="L2011" s="1" t="str">
        <f t="shared" si="202"/>
        <v>-</v>
      </c>
      <c r="M2011" s="2">
        <v>0</v>
      </c>
      <c r="N2011" s="1" t="s">
        <v>33</v>
      </c>
      <c r="O2011" s="1" t="s">
        <v>34</v>
      </c>
      <c r="P2011" s="2">
        <v>5.7870370370370366E-5</v>
      </c>
      <c r="Q2011" s="1" t="str">
        <f>""</f>
        <v/>
      </c>
      <c r="R2011" s="1">
        <v>0</v>
      </c>
      <c r="S2011" s="1" t="str">
        <f>""</f>
        <v/>
      </c>
      <c r="T2011" s="1" t="s">
        <v>29</v>
      </c>
      <c r="U2011" s="1" t="s">
        <v>30</v>
      </c>
      <c r="V2011" s="1">
        <v>0</v>
      </c>
    </row>
    <row r="2012" spans="2:22" x14ac:dyDescent="0.15">
      <c r="B2012" s="1" t="str">
        <f>"130****5656"</f>
        <v>130****5656</v>
      </c>
      <c r="C2012" s="1" t="s">
        <v>112</v>
      </c>
      <c r="D2012" s="1" t="str">
        <f t="shared" si="198"/>
        <v>89177328</v>
      </c>
      <c r="E2012" s="1" t="s">
        <v>24</v>
      </c>
      <c r="F2012" s="1" t="str">
        <f t="shared" si="199"/>
        <v>0010</v>
      </c>
      <c r="G2012" s="1" t="str">
        <f>""</f>
        <v/>
      </c>
      <c r="H2012" s="1" t="str">
        <f t="shared" si="200"/>
        <v>0018</v>
      </c>
      <c r="I2012" s="1" t="s">
        <v>36</v>
      </c>
      <c r="J2012" s="1" t="str">
        <f t="shared" si="201"/>
        <v>01043989718</v>
      </c>
      <c r="K2012" s="1" t="str">
        <f>"2017-03-26 11:48:00"</f>
        <v>2017-03-26 11:48:00</v>
      </c>
      <c r="L2012" s="1" t="str">
        <f t="shared" si="202"/>
        <v>-</v>
      </c>
      <c r="M2012" s="2">
        <v>0</v>
      </c>
      <c r="N2012" s="1" t="s">
        <v>33</v>
      </c>
      <c r="O2012" s="1" t="s">
        <v>34</v>
      </c>
      <c r="P2012" s="2">
        <v>6.9444444444444444E-5</v>
      </c>
      <c r="Q2012" s="1" t="str">
        <f>""</f>
        <v/>
      </c>
      <c r="R2012" s="1">
        <v>0</v>
      </c>
      <c r="S2012" s="1" t="str">
        <f>""</f>
        <v/>
      </c>
      <c r="T2012" s="1" t="s">
        <v>29</v>
      </c>
      <c r="U2012" s="1" t="s">
        <v>30</v>
      </c>
      <c r="V2012" s="1">
        <v>0</v>
      </c>
    </row>
    <row r="2013" spans="2:22" x14ac:dyDescent="0.15">
      <c r="B2013" s="1" t="str">
        <f>"183****4280"</f>
        <v>183****4280</v>
      </c>
      <c r="C2013" s="1" t="s">
        <v>23</v>
      </c>
      <c r="D2013" s="1" t="str">
        <f t="shared" si="198"/>
        <v>89177328</v>
      </c>
      <c r="E2013" s="1" t="s">
        <v>24</v>
      </c>
      <c r="F2013" s="1" t="str">
        <f t="shared" si="199"/>
        <v>0010</v>
      </c>
      <c r="G2013" s="1" t="str">
        <f>""</f>
        <v/>
      </c>
      <c r="H2013" s="1" t="str">
        <f t="shared" si="200"/>
        <v>0018</v>
      </c>
      <c r="I2013" s="1" t="s">
        <v>36</v>
      </c>
      <c r="J2013" s="1" t="str">
        <f t="shared" si="201"/>
        <v>01043989718</v>
      </c>
      <c r="K2013" s="1" t="str">
        <f>"2017-03-26 11:47:29"</f>
        <v>2017-03-26 11:47:29</v>
      </c>
      <c r="L2013" s="1" t="str">
        <f t="shared" si="202"/>
        <v>-</v>
      </c>
      <c r="M2013" s="2">
        <v>0</v>
      </c>
      <c r="N2013" s="1" t="s">
        <v>33</v>
      </c>
      <c r="O2013" s="1" t="s">
        <v>34</v>
      </c>
      <c r="P2013" s="2">
        <v>6.9444444444444444E-5</v>
      </c>
      <c r="Q2013" s="1" t="str">
        <f>""</f>
        <v/>
      </c>
      <c r="R2013" s="1">
        <v>0</v>
      </c>
      <c r="S2013" s="1" t="str">
        <f>""</f>
        <v/>
      </c>
      <c r="T2013" s="1" t="s">
        <v>29</v>
      </c>
      <c r="U2013" s="1" t="s">
        <v>30</v>
      </c>
      <c r="V2013" s="1">
        <v>0</v>
      </c>
    </row>
    <row r="2014" spans="2:22" x14ac:dyDescent="0.15">
      <c r="B2014" s="1" t="str">
        <f>"136****2540"</f>
        <v>136****2540</v>
      </c>
      <c r="C2014" s="1" t="s">
        <v>23</v>
      </c>
      <c r="D2014" s="1" t="str">
        <f t="shared" si="198"/>
        <v>89177328</v>
      </c>
      <c r="E2014" s="1" t="s">
        <v>24</v>
      </c>
      <c r="F2014" s="1" t="str">
        <f t="shared" si="199"/>
        <v>0010</v>
      </c>
      <c r="G2014" s="1" t="str">
        <f>""</f>
        <v/>
      </c>
      <c r="H2014" s="1" t="str">
        <f>"0017"</f>
        <v>0017</v>
      </c>
      <c r="I2014" s="1" t="s">
        <v>135</v>
      </c>
      <c r="J2014" s="1" t="str">
        <f>"01043989717"</f>
        <v>01043989717</v>
      </c>
      <c r="K2014" s="1" t="str">
        <f>"2017-03-26 11:27:05"</f>
        <v>2017-03-26 11:27:05</v>
      </c>
      <c r="L2014" s="1" t="str">
        <f>"2017-03-26 11:27:13"</f>
        <v>2017-03-26 11:27:13</v>
      </c>
      <c r="M2014" s="2">
        <v>8.2175925925925917E-4</v>
      </c>
      <c r="N2014" s="1" t="s">
        <v>26</v>
      </c>
      <c r="O2014" s="1" t="s">
        <v>27</v>
      </c>
      <c r="P2014" s="2">
        <v>9.1435185185185185E-4</v>
      </c>
      <c r="Q2014" s="1" t="s">
        <v>1459</v>
      </c>
      <c r="R2014" s="1">
        <v>0</v>
      </c>
      <c r="S2014" s="1" t="str">
        <f>""</f>
        <v/>
      </c>
      <c r="T2014" s="1" t="s">
        <v>29</v>
      </c>
      <c r="U2014" s="1" t="s">
        <v>30</v>
      </c>
      <c r="V2014" s="1">
        <v>0</v>
      </c>
    </row>
    <row r="2015" spans="2:22" x14ac:dyDescent="0.15">
      <c r="B2015" s="1" t="str">
        <f>"138****1568"</f>
        <v>138****1568</v>
      </c>
      <c r="C2015" s="1" t="s">
        <v>23</v>
      </c>
      <c r="D2015" s="1" t="str">
        <f t="shared" si="198"/>
        <v>89177328</v>
      </c>
      <c r="E2015" s="1" t="s">
        <v>24</v>
      </c>
      <c r="F2015" s="1" t="str">
        <f t="shared" si="199"/>
        <v>0010</v>
      </c>
      <c r="G2015" s="1" t="str">
        <f>""</f>
        <v/>
      </c>
      <c r="H2015" s="1" t="str">
        <f>"0017"</f>
        <v>0017</v>
      </c>
      <c r="I2015" s="1" t="s">
        <v>135</v>
      </c>
      <c r="J2015" s="1" t="str">
        <f>"01043989717"</f>
        <v>01043989717</v>
      </c>
      <c r="K2015" s="1" t="str">
        <f>"2017-03-26 11:12:53"</f>
        <v>2017-03-26 11:12:53</v>
      </c>
      <c r="L2015" s="1" t="str">
        <f>"2017-03-26 11:13:01"</f>
        <v>2017-03-26 11:13:01</v>
      </c>
      <c r="M2015" s="2">
        <v>6.3310185185185197E-3</v>
      </c>
      <c r="N2015" s="1" t="s">
        <v>26</v>
      </c>
      <c r="O2015" s="1" t="s">
        <v>27</v>
      </c>
      <c r="P2015" s="2">
        <v>6.4236111111111117E-3</v>
      </c>
      <c r="Q2015" s="1" t="s">
        <v>1460</v>
      </c>
      <c r="R2015" s="1">
        <v>0</v>
      </c>
      <c r="S2015" s="1" t="str">
        <f>""</f>
        <v/>
      </c>
      <c r="T2015" s="1" t="s">
        <v>29</v>
      </c>
      <c r="U2015" s="1" t="s">
        <v>30</v>
      </c>
      <c r="V2015" s="1">
        <v>0</v>
      </c>
    </row>
    <row r="2016" spans="2:22" x14ac:dyDescent="0.15">
      <c r="B2016" s="1" t="str">
        <f>"177****0179"</f>
        <v>177****0179</v>
      </c>
      <c r="C2016" s="1" t="s">
        <v>23</v>
      </c>
      <c r="D2016" s="1" t="str">
        <f t="shared" si="198"/>
        <v>89177328</v>
      </c>
      <c r="E2016" s="1" t="s">
        <v>24</v>
      </c>
      <c r="F2016" s="1" t="str">
        <f t="shared" si="199"/>
        <v>0010</v>
      </c>
      <c r="G2016" s="1" t="str">
        <f>""</f>
        <v/>
      </c>
      <c r="H2016" s="1" t="str">
        <f>"0035"</f>
        <v>0035</v>
      </c>
      <c r="I2016" s="1" t="s">
        <v>25</v>
      </c>
      <c r="J2016" s="1" t="str">
        <f>"01043977569"</f>
        <v>01043977569</v>
      </c>
      <c r="K2016" s="1" t="str">
        <f>"2017-03-26 11:06:48"</f>
        <v>2017-03-26 11:06:48</v>
      </c>
      <c r="L2016" s="1" t="str">
        <f>"2017-03-26 11:06:56"</f>
        <v>2017-03-26 11:06:56</v>
      </c>
      <c r="M2016" s="2">
        <v>8.2175925925925917E-4</v>
      </c>
      <c r="N2016" s="1" t="s">
        <v>26</v>
      </c>
      <c r="O2016" s="1" t="s">
        <v>27</v>
      </c>
      <c r="P2016" s="2">
        <v>9.1435185185185185E-4</v>
      </c>
      <c r="Q2016" s="1" t="s">
        <v>1461</v>
      </c>
      <c r="R2016" s="1">
        <v>0</v>
      </c>
      <c r="S2016" s="1" t="str">
        <f>""</f>
        <v/>
      </c>
      <c r="T2016" s="1" t="s">
        <v>29</v>
      </c>
      <c r="U2016" s="1" t="s">
        <v>30</v>
      </c>
      <c r="V2016" s="1">
        <v>0</v>
      </c>
    </row>
    <row r="2017" spans="2:22" x14ac:dyDescent="0.15">
      <c r="B2017" s="1" t="str">
        <f>"155****9633"</f>
        <v>155****9633</v>
      </c>
      <c r="C2017" s="1" t="s">
        <v>23</v>
      </c>
      <c r="D2017" s="1" t="str">
        <f t="shared" si="198"/>
        <v>89177328</v>
      </c>
      <c r="E2017" s="1" t="s">
        <v>24</v>
      </c>
      <c r="F2017" s="1" t="str">
        <f t="shared" si="199"/>
        <v>0010</v>
      </c>
      <c r="G2017" s="1" t="str">
        <f>""</f>
        <v/>
      </c>
      <c r="H2017" s="1" t="str">
        <f>"0018"</f>
        <v>0018</v>
      </c>
      <c r="I2017" s="1" t="s">
        <v>36</v>
      </c>
      <c r="J2017" s="1" t="str">
        <f>"01043989718"</f>
        <v>01043989718</v>
      </c>
      <c r="K2017" s="1" t="str">
        <f>"2017-03-26 10:51:29"</f>
        <v>2017-03-26 10:51:29</v>
      </c>
      <c r="L2017" s="1" t="str">
        <f>"2017-03-26 10:51:39"</f>
        <v>2017-03-26 10:51:39</v>
      </c>
      <c r="M2017" s="2">
        <v>4.5833333333333334E-3</v>
      </c>
      <c r="N2017" s="1" t="s">
        <v>26</v>
      </c>
      <c r="O2017" s="1" t="s">
        <v>27</v>
      </c>
      <c r="P2017" s="2">
        <v>4.6990740740740743E-3</v>
      </c>
      <c r="Q2017" s="1" t="s">
        <v>1462</v>
      </c>
      <c r="R2017" s="1">
        <v>0</v>
      </c>
      <c r="S2017" s="1" t="str">
        <f>""</f>
        <v/>
      </c>
      <c r="T2017" s="1" t="s">
        <v>29</v>
      </c>
      <c r="U2017" s="1" t="s">
        <v>30</v>
      </c>
      <c r="V2017" s="1">
        <v>0</v>
      </c>
    </row>
    <row r="2018" spans="2:22" x14ac:dyDescent="0.15">
      <c r="B2018" s="1" t="str">
        <f>"010****0952"</f>
        <v>010****0952</v>
      </c>
      <c r="C2018" s="1" t="s">
        <v>23</v>
      </c>
      <c r="D2018" s="1" t="str">
        <f t="shared" si="198"/>
        <v>89177328</v>
      </c>
      <c r="E2018" s="1" t="s">
        <v>24</v>
      </c>
      <c r="F2018" s="1" t="str">
        <f t="shared" si="199"/>
        <v>0010</v>
      </c>
      <c r="G2018" s="1" t="str">
        <f>""</f>
        <v/>
      </c>
      <c r="H2018" s="1" t="str">
        <f>"0018"</f>
        <v>0018</v>
      </c>
      <c r="I2018" s="1" t="s">
        <v>36</v>
      </c>
      <c r="J2018" s="1" t="str">
        <f>"01043989718"</f>
        <v>01043989718</v>
      </c>
      <c r="K2018" s="1" t="str">
        <f>"2017-03-26 10:10:36"</f>
        <v>2017-03-26 10:10:36</v>
      </c>
      <c r="L2018" s="1" t="str">
        <f>"2017-03-26 10:10:42"</f>
        <v>2017-03-26 10:10:42</v>
      </c>
      <c r="M2018" s="2">
        <v>9.0393518518518522E-3</v>
      </c>
      <c r="N2018" s="1" t="s">
        <v>26</v>
      </c>
      <c r="O2018" s="1" t="s">
        <v>34</v>
      </c>
      <c r="P2018" s="2">
        <v>9.1087962962962971E-3</v>
      </c>
      <c r="Q2018" s="1" t="s">
        <v>1463</v>
      </c>
      <c r="R2018" s="1">
        <v>0</v>
      </c>
      <c r="S2018" s="1" t="str">
        <f>""</f>
        <v/>
      </c>
      <c r="T2018" s="1" t="s">
        <v>29</v>
      </c>
      <c r="U2018" s="1" t="s">
        <v>30</v>
      </c>
      <c r="V2018" s="1">
        <v>0</v>
      </c>
    </row>
    <row r="2019" spans="2:22" x14ac:dyDescent="0.15">
      <c r="B2019" s="1" t="str">
        <f>"116114"</f>
        <v>116114</v>
      </c>
      <c r="C2019" s="1" t="s">
        <v>159</v>
      </c>
      <c r="D2019" s="1" t="str">
        <f t="shared" si="198"/>
        <v>89177328</v>
      </c>
      <c r="E2019" s="1" t="s">
        <v>24</v>
      </c>
      <c r="F2019" s="1" t="str">
        <f t="shared" si="199"/>
        <v>0010</v>
      </c>
      <c r="G2019" s="1" t="str">
        <f>""</f>
        <v/>
      </c>
      <c r="H2019" s="1" t="str">
        <f>"0017"</f>
        <v>0017</v>
      </c>
      <c r="I2019" s="1" t="s">
        <v>135</v>
      </c>
      <c r="J2019" s="1" t="str">
        <f>"01043989717"</f>
        <v>01043989717</v>
      </c>
      <c r="K2019" s="1" t="str">
        <f>"2017-03-26 10:06:51"</f>
        <v>2017-03-26 10:06:51</v>
      </c>
      <c r="L2019" s="1" t="str">
        <f>"2017-03-26 10:06:59"</f>
        <v>2017-03-26 10:06:59</v>
      </c>
      <c r="M2019" s="2">
        <v>4.6759259259259263E-3</v>
      </c>
      <c r="N2019" s="1" t="s">
        <v>26</v>
      </c>
      <c r="O2019" s="1" t="s">
        <v>27</v>
      </c>
      <c r="P2019" s="2">
        <v>4.7685185185185183E-3</v>
      </c>
      <c r="Q2019" s="1" t="s">
        <v>1464</v>
      </c>
      <c r="R2019" s="1">
        <v>0</v>
      </c>
      <c r="S2019" s="1" t="str">
        <f>""</f>
        <v/>
      </c>
      <c r="T2019" s="1" t="s">
        <v>29</v>
      </c>
      <c r="U2019" s="1" t="s">
        <v>30</v>
      </c>
      <c r="V2019" s="1">
        <v>0</v>
      </c>
    </row>
    <row r="2020" spans="2:22" x14ac:dyDescent="0.15">
      <c r="B2020" s="1" t="str">
        <f>"010****7964"</f>
        <v>010****7964</v>
      </c>
      <c r="C2020" s="1" t="s">
        <v>23</v>
      </c>
      <c r="D2020" s="1" t="str">
        <f t="shared" si="198"/>
        <v>89177328</v>
      </c>
      <c r="E2020" s="1" t="s">
        <v>24</v>
      </c>
      <c r="F2020" s="1" t="str">
        <f t="shared" si="199"/>
        <v>0010</v>
      </c>
      <c r="G2020" s="1" t="str">
        <f>""</f>
        <v/>
      </c>
      <c r="H2020" s="1" t="str">
        <f>"0035"</f>
        <v>0035</v>
      </c>
      <c r="I2020" s="1" t="s">
        <v>25</v>
      </c>
      <c r="J2020" s="1" t="str">
        <f>"01043977569"</f>
        <v>01043977569</v>
      </c>
      <c r="K2020" s="1" t="str">
        <f>"2017-03-26 10:00:08"</f>
        <v>2017-03-26 10:00:08</v>
      </c>
      <c r="L2020" s="1" t="str">
        <f>"2017-03-26 10:00:17"</f>
        <v>2017-03-26 10:00:17</v>
      </c>
      <c r="M2020" s="2">
        <v>1.2407407407407409E-2</v>
      </c>
      <c r="N2020" s="1" t="s">
        <v>26</v>
      </c>
      <c r="O2020" s="1" t="s">
        <v>27</v>
      </c>
      <c r="P2020" s="2">
        <v>1.2511574074074073E-2</v>
      </c>
      <c r="Q2020" s="1" t="s">
        <v>1465</v>
      </c>
      <c r="R2020" s="1">
        <v>0</v>
      </c>
      <c r="S2020" s="1" t="str">
        <f>""</f>
        <v/>
      </c>
      <c r="T2020" s="1" t="s">
        <v>29</v>
      </c>
      <c r="U2020" s="1" t="s">
        <v>30</v>
      </c>
      <c r="V2020" s="1">
        <v>0</v>
      </c>
    </row>
    <row r="2021" spans="2:22" x14ac:dyDescent="0.15">
      <c r="B2021" s="1" t="str">
        <f>"159****5835"</f>
        <v>159****5835</v>
      </c>
      <c r="C2021" s="1" t="s">
        <v>249</v>
      </c>
      <c r="D2021" s="1" t="str">
        <f t="shared" si="198"/>
        <v>89177328</v>
      </c>
      <c r="E2021" s="1" t="s">
        <v>24</v>
      </c>
      <c r="F2021" s="1" t="str">
        <f t="shared" si="199"/>
        <v>0010</v>
      </c>
      <c r="G2021" s="1" t="str">
        <f>""</f>
        <v/>
      </c>
      <c r="H2021" s="1" t="str">
        <f>"0035"</f>
        <v>0035</v>
      </c>
      <c r="I2021" s="1" t="s">
        <v>25</v>
      </c>
      <c r="J2021" s="1" t="str">
        <f>"01043977569"</f>
        <v>01043977569</v>
      </c>
      <c r="K2021" s="1" t="str">
        <f>"2017-03-26 09:43:32"</f>
        <v>2017-03-26 09:43:32</v>
      </c>
      <c r="L2021" s="1" t="str">
        <f>"-"</f>
        <v>-</v>
      </c>
      <c r="M2021" s="2">
        <v>0</v>
      </c>
      <c r="N2021" s="1" t="s">
        <v>33</v>
      </c>
      <c r="O2021" s="1" t="s">
        <v>34</v>
      </c>
      <c r="P2021" s="2">
        <v>2.3148148148148147E-5</v>
      </c>
      <c r="Q2021" s="1" t="str">
        <f>""</f>
        <v/>
      </c>
      <c r="R2021" s="1">
        <v>0</v>
      </c>
      <c r="S2021" s="1" t="str">
        <f>""</f>
        <v/>
      </c>
      <c r="T2021" s="1" t="s">
        <v>29</v>
      </c>
      <c r="U2021" s="1" t="s">
        <v>30</v>
      </c>
      <c r="V2021" s="1">
        <v>0</v>
      </c>
    </row>
    <row r="2022" spans="2:22" x14ac:dyDescent="0.15">
      <c r="B2022" s="1" t="str">
        <f>"159****1078"</f>
        <v>159****1078</v>
      </c>
      <c r="C2022" s="1" t="s">
        <v>379</v>
      </c>
      <c r="D2022" s="1" t="str">
        <f t="shared" si="198"/>
        <v>89177328</v>
      </c>
      <c r="E2022" s="1" t="s">
        <v>24</v>
      </c>
      <c r="F2022" s="1" t="str">
        <f t="shared" si="199"/>
        <v>0010</v>
      </c>
      <c r="G2022" s="1" t="str">
        <f>""</f>
        <v/>
      </c>
      <c r="H2022" s="1" t="str">
        <f>"0035"</f>
        <v>0035</v>
      </c>
      <c r="I2022" s="1" t="s">
        <v>25</v>
      </c>
      <c r="J2022" s="1" t="str">
        <f>"01043977569"</f>
        <v>01043977569</v>
      </c>
      <c r="K2022" s="1" t="str">
        <f>"2017-03-26 09:27:00"</f>
        <v>2017-03-26 09:27:00</v>
      </c>
      <c r="L2022" s="1" t="str">
        <f>"2017-03-26 09:27:08"</f>
        <v>2017-03-26 09:27:08</v>
      </c>
      <c r="M2022" s="2">
        <v>6.5162037037037037E-3</v>
      </c>
      <c r="N2022" s="1" t="s">
        <v>26</v>
      </c>
      <c r="O2022" s="1" t="s">
        <v>27</v>
      </c>
      <c r="P2022" s="2">
        <v>6.6087962962962966E-3</v>
      </c>
      <c r="Q2022" s="1" t="s">
        <v>1466</v>
      </c>
      <c r="R2022" s="1">
        <v>0</v>
      </c>
      <c r="S2022" s="1" t="str">
        <f>""</f>
        <v/>
      </c>
      <c r="T2022" s="1" t="s">
        <v>29</v>
      </c>
      <c r="U2022" s="1" t="s">
        <v>30</v>
      </c>
      <c r="V2022" s="1">
        <v>0</v>
      </c>
    </row>
    <row r="2023" spans="2:22" x14ac:dyDescent="0.15">
      <c r="B2023" s="1" t="str">
        <f>"138****1434"</f>
        <v>138****1434</v>
      </c>
      <c r="C2023" s="1" t="s">
        <v>831</v>
      </c>
      <c r="D2023" s="1" t="str">
        <f t="shared" si="198"/>
        <v>89177328</v>
      </c>
      <c r="E2023" s="1" t="s">
        <v>24</v>
      </c>
      <c r="F2023" s="1" t="str">
        <f t="shared" si="199"/>
        <v>0010</v>
      </c>
      <c r="G2023" s="1" t="str">
        <f>""</f>
        <v/>
      </c>
      <c r="H2023" s="1" t="str">
        <f>"0018"</f>
        <v>0018</v>
      </c>
      <c r="I2023" s="1" t="s">
        <v>36</v>
      </c>
      <c r="J2023" s="1" t="str">
        <f>"01043989718"</f>
        <v>01043989718</v>
      </c>
      <c r="K2023" s="1" t="str">
        <f>"2017-03-26 09:22:03"</f>
        <v>2017-03-26 09:22:03</v>
      </c>
      <c r="L2023" s="1" t="str">
        <f>"2017-03-26 09:22:12"</f>
        <v>2017-03-26 09:22:12</v>
      </c>
      <c r="M2023" s="2">
        <v>7.5810185185185182E-3</v>
      </c>
      <c r="N2023" s="1" t="s">
        <v>26</v>
      </c>
      <c r="O2023" s="1" t="s">
        <v>34</v>
      </c>
      <c r="P2023" s="2">
        <v>7.6851851851851847E-3</v>
      </c>
      <c r="Q2023" s="1" t="s">
        <v>1467</v>
      </c>
      <c r="R2023" s="1">
        <v>0</v>
      </c>
      <c r="S2023" s="1" t="str">
        <f>""</f>
        <v/>
      </c>
      <c r="T2023" s="1" t="s">
        <v>29</v>
      </c>
      <c r="U2023" s="1" t="s">
        <v>30</v>
      </c>
      <c r="V2023" s="1">
        <v>0</v>
      </c>
    </row>
    <row r="2024" spans="2:22" x14ac:dyDescent="0.15">
      <c r="B2024" s="1" t="str">
        <f>"185****5791"</f>
        <v>185****5791</v>
      </c>
      <c r="C2024" s="1" t="s">
        <v>23</v>
      </c>
      <c r="D2024" s="1" t="str">
        <f t="shared" si="198"/>
        <v>89177328</v>
      </c>
      <c r="E2024" s="1" t="s">
        <v>24</v>
      </c>
      <c r="F2024" s="1" t="str">
        <f t="shared" si="199"/>
        <v>0010</v>
      </c>
      <c r="G2024" s="1" t="str">
        <f>""</f>
        <v/>
      </c>
      <c r="H2024" s="1" t="str">
        <f>"0017"</f>
        <v>0017</v>
      </c>
      <c r="I2024" s="1" t="s">
        <v>135</v>
      </c>
      <c r="J2024" s="1" t="str">
        <f>"01043989717"</f>
        <v>01043989717</v>
      </c>
      <c r="K2024" s="1" t="str">
        <f>"2017-03-26 08:58:58"</f>
        <v>2017-03-26 08:58:58</v>
      </c>
      <c r="L2024" s="1" t="str">
        <f>"2017-03-26 08:59:06"</f>
        <v>2017-03-26 08:59:06</v>
      </c>
      <c r="M2024" s="2">
        <v>8.1481481481481474E-3</v>
      </c>
      <c r="N2024" s="1" t="s">
        <v>26</v>
      </c>
      <c r="O2024" s="1" t="s">
        <v>27</v>
      </c>
      <c r="P2024" s="2">
        <v>8.2407407407407412E-3</v>
      </c>
      <c r="Q2024" s="1" t="s">
        <v>1468</v>
      </c>
      <c r="R2024" s="1">
        <v>0</v>
      </c>
      <c r="S2024" s="1" t="str">
        <f>""</f>
        <v/>
      </c>
      <c r="T2024" s="1" t="s">
        <v>29</v>
      </c>
      <c r="U2024" s="1" t="s">
        <v>30</v>
      </c>
      <c r="V2024" s="1">
        <v>0</v>
      </c>
    </row>
    <row r="2025" spans="2:22" x14ac:dyDescent="0.15">
      <c r="B2025" s="1" t="str">
        <f>"135****7829"</f>
        <v>135****7829</v>
      </c>
      <c r="C2025" s="1" t="s">
        <v>241</v>
      </c>
      <c r="D2025" s="1" t="str">
        <f t="shared" si="198"/>
        <v>89177328</v>
      </c>
      <c r="E2025" s="1" t="s">
        <v>24</v>
      </c>
      <c r="F2025" s="1" t="str">
        <f t="shared" si="199"/>
        <v>0010</v>
      </c>
      <c r="G2025" s="1" t="str">
        <f>""</f>
        <v/>
      </c>
      <c r="H2025" s="1" t="str">
        <f>"0035"</f>
        <v>0035</v>
      </c>
      <c r="I2025" s="1" t="s">
        <v>25</v>
      </c>
      <c r="J2025" s="1" t="str">
        <f>"01043977569"</f>
        <v>01043977569</v>
      </c>
      <c r="K2025" s="1" t="str">
        <f>"2017-03-26 08:58:18"</f>
        <v>2017-03-26 08:58:18</v>
      </c>
      <c r="L2025" s="1" t="str">
        <f>"2017-03-26 08:58:26"</f>
        <v>2017-03-26 08:58:26</v>
      </c>
      <c r="M2025" s="2">
        <v>4.1203703703703706E-3</v>
      </c>
      <c r="N2025" s="1" t="s">
        <v>26</v>
      </c>
      <c r="O2025" s="1" t="s">
        <v>27</v>
      </c>
      <c r="P2025" s="2">
        <v>4.2129629629629626E-3</v>
      </c>
      <c r="Q2025" s="1" t="s">
        <v>1469</v>
      </c>
      <c r="R2025" s="1">
        <v>0</v>
      </c>
      <c r="S2025" s="1" t="str">
        <f>""</f>
        <v/>
      </c>
      <c r="T2025" s="1" t="s">
        <v>29</v>
      </c>
      <c r="U2025" s="1" t="s">
        <v>30</v>
      </c>
      <c r="V2025" s="1">
        <v>0</v>
      </c>
    </row>
    <row r="2026" spans="2:22" x14ac:dyDescent="0.15">
      <c r="B2026" s="1" t="str">
        <f>"132****6213"</f>
        <v>132****6213</v>
      </c>
      <c r="C2026" s="1" t="s">
        <v>23</v>
      </c>
      <c r="D2026" s="1" t="str">
        <f t="shared" si="198"/>
        <v>89177328</v>
      </c>
      <c r="E2026" s="1" t="s">
        <v>24</v>
      </c>
      <c r="F2026" s="1" t="str">
        <f t="shared" si="199"/>
        <v>0010</v>
      </c>
      <c r="G2026" s="1" t="str">
        <f>""</f>
        <v/>
      </c>
      <c r="H2026" s="1" t="str">
        <f>"0018"</f>
        <v>0018</v>
      </c>
      <c r="I2026" s="1" t="s">
        <v>36</v>
      </c>
      <c r="J2026" s="1" t="str">
        <f>"01043989718"</f>
        <v>01043989718</v>
      </c>
      <c r="K2026" s="1" t="str">
        <f>"2017-03-26 08:20:24"</f>
        <v>2017-03-26 08:20:24</v>
      </c>
      <c r="L2026" s="1" t="str">
        <f>"2017-03-26 08:20:33"</f>
        <v>2017-03-26 08:20:33</v>
      </c>
      <c r="M2026" s="2">
        <v>8.8888888888888889E-3</v>
      </c>
      <c r="N2026" s="1" t="s">
        <v>26</v>
      </c>
      <c r="O2026" s="1" t="s">
        <v>34</v>
      </c>
      <c r="P2026" s="2">
        <v>8.9930555555555545E-3</v>
      </c>
      <c r="Q2026" s="1" t="s">
        <v>1470</v>
      </c>
      <c r="R2026" s="1">
        <v>0</v>
      </c>
      <c r="S2026" s="1" t="str">
        <f>""</f>
        <v/>
      </c>
      <c r="T2026" s="1" t="s">
        <v>29</v>
      </c>
      <c r="U2026" s="1" t="s">
        <v>30</v>
      </c>
      <c r="V2026" s="1">
        <v>0</v>
      </c>
    </row>
    <row r="2027" spans="2:22" x14ac:dyDescent="0.15">
      <c r="B2027" s="1" t="str">
        <f>"139****1731"</f>
        <v>139****1731</v>
      </c>
      <c r="C2027" s="1" t="s">
        <v>23</v>
      </c>
      <c r="D2027" s="1" t="str">
        <f t="shared" si="198"/>
        <v>89177328</v>
      </c>
      <c r="E2027" s="1" t="s">
        <v>24</v>
      </c>
      <c r="F2027" s="1" t="str">
        <f t="shared" si="199"/>
        <v>0010</v>
      </c>
      <c r="G2027" s="1" t="str">
        <f>""</f>
        <v/>
      </c>
      <c r="H2027" s="1" t="str">
        <f>"0018"</f>
        <v>0018</v>
      </c>
      <c r="I2027" s="1" t="s">
        <v>36</v>
      </c>
      <c r="J2027" s="1" t="str">
        <f>"01043989718"</f>
        <v>01043989718</v>
      </c>
      <c r="K2027" s="1" t="str">
        <f>"2017-03-26 08:07:35"</f>
        <v>2017-03-26 08:07:35</v>
      </c>
      <c r="L2027" s="1" t="str">
        <f>"-"</f>
        <v>-</v>
      </c>
      <c r="M2027" s="2">
        <v>0</v>
      </c>
      <c r="N2027" s="1" t="s">
        <v>33</v>
      </c>
      <c r="O2027" s="1" t="s">
        <v>34</v>
      </c>
      <c r="P2027" s="2">
        <v>2.3148148148148147E-5</v>
      </c>
      <c r="Q2027" s="1" t="str">
        <f>""</f>
        <v/>
      </c>
      <c r="R2027" s="1">
        <v>0</v>
      </c>
      <c r="S2027" s="1" t="str">
        <f>""</f>
        <v/>
      </c>
      <c r="T2027" s="1" t="s">
        <v>29</v>
      </c>
      <c r="U2027" s="1" t="s">
        <v>30</v>
      </c>
      <c r="V2027" s="1">
        <v>0</v>
      </c>
    </row>
    <row r="2028" spans="2:22" x14ac:dyDescent="0.15">
      <c r="B2028" s="1" t="str">
        <f>"189****8880"</f>
        <v>189****8880</v>
      </c>
      <c r="C2028" s="1" t="s">
        <v>534</v>
      </c>
      <c r="D2028" s="1" t="str">
        <f>"4000108333"</f>
        <v>4000108333</v>
      </c>
      <c r="E2028" s="1" t="s">
        <v>414</v>
      </c>
      <c r="F2028" s="1" t="str">
        <f>""</f>
        <v/>
      </c>
      <c r="G2028" s="1" t="str">
        <f>""</f>
        <v/>
      </c>
      <c r="H2028" s="1" t="str">
        <f>""</f>
        <v/>
      </c>
      <c r="I2028" s="1" t="str">
        <f>""</f>
        <v/>
      </c>
      <c r="J2028" s="1" t="str">
        <f>""</f>
        <v/>
      </c>
      <c r="K2028" s="1" t="str">
        <f>"2017-03-25 21:30:22"</f>
        <v>2017-03-25 21:30:22</v>
      </c>
      <c r="L2028" s="1" t="str">
        <f>"-"</f>
        <v>-</v>
      </c>
      <c r="M2028" s="2">
        <v>0</v>
      </c>
      <c r="N2028" s="1" t="s">
        <v>55</v>
      </c>
      <c r="O2028" s="1" t="s">
        <v>34</v>
      </c>
      <c r="P2028" s="2">
        <v>1.273148148148148E-4</v>
      </c>
      <c r="Q2028" s="1" t="str">
        <f>""</f>
        <v/>
      </c>
      <c r="R2028" s="1">
        <v>0.12</v>
      </c>
      <c r="S2028" s="1" t="str">
        <f>""</f>
        <v/>
      </c>
      <c r="T2028" s="1" t="s">
        <v>183</v>
      </c>
      <c r="U2028" s="1" t="s">
        <v>30</v>
      </c>
      <c r="V2028" s="1">
        <v>0</v>
      </c>
    </row>
    <row r="2029" spans="2:22" x14ac:dyDescent="0.15">
      <c r="B2029" s="1" t="str">
        <f>"0512****4593"</f>
        <v>0512****4593</v>
      </c>
      <c r="C2029" s="1" t="s">
        <v>534</v>
      </c>
      <c r="D2029" s="1" t="str">
        <f>"4000108333"</f>
        <v>4000108333</v>
      </c>
      <c r="E2029" s="1" t="s">
        <v>414</v>
      </c>
      <c r="F2029" s="1" t="str">
        <f>""</f>
        <v/>
      </c>
      <c r="G2029" s="1" t="str">
        <f>""</f>
        <v/>
      </c>
      <c r="H2029" s="1" t="str">
        <f>""</f>
        <v/>
      </c>
      <c r="I2029" s="1" t="str">
        <f>""</f>
        <v/>
      </c>
      <c r="J2029" s="1" t="str">
        <f>""</f>
        <v/>
      </c>
      <c r="K2029" s="1" t="str">
        <f>"2017-03-25 21:29:12"</f>
        <v>2017-03-25 21:29:12</v>
      </c>
      <c r="L2029" s="1" t="str">
        <f>"2017-03-25 21:29:38"</f>
        <v>2017-03-25 21:29:38</v>
      </c>
      <c r="M2029" s="2">
        <v>6.9444444444444444E-5</v>
      </c>
      <c r="N2029" s="1" t="s">
        <v>55</v>
      </c>
      <c r="O2029" s="1" t="s">
        <v>34</v>
      </c>
      <c r="P2029" s="2">
        <v>3.7037037037037035E-4</v>
      </c>
      <c r="Q2029" s="1" t="s">
        <v>1471</v>
      </c>
      <c r="R2029" s="1">
        <v>0.12</v>
      </c>
      <c r="S2029" s="1" t="str">
        <f>""</f>
        <v/>
      </c>
      <c r="T2029" s="1" t="s">
        <v>183</v>
      </c>
      <c r="U2029" s="1" t="s">
        <v>30</v>
      </c>
      <c r="V2029" s="1">
        <v>0</v>
      </c>
    </row>
    <row r="2030" spans="2:22" x14ac:dyDescent="0.15">
      <c r="B2030" s="1" t="str">
        <f>"139****6414"</f>
        <v>139****6414</v>
      </c>
      <c r="C2030" s="1" t="s">
        <v>51</v>
      </c>
      <c r="D2030" s="1" t="str">
        <f t="shared" ref="D2030:D2043" si="203">"89177328"</f>
        <v>89177328</v>
      </c>
      <c r="E2030" s="1" t="s">
        <v>24</v>
      </c>
      <c r="F2030" s="1" t="str">
        <f t="shared" ref="F2030:F2043" si="204">"0010"</f>
        <v>0010</v>
      </c>
      <c r="G2030" s="1" t="str">
        <f>""</f>
        <v/>
      </c>
      <c r="H2030" s="1" t="str">
        <f>"0012"</f>
        <v>0012</v>
      </c>
      <c r="I2030" s="1" t="s">
        <v>612</v>
      </c>
      <c r="J2030" s="1" t="str">
        <f>"01043989720"</f>
        <v>01043989720</v>
      </c>
      <c r="K2030" s="1" t="str">
        <f>"2017-03-25 20:32:42"</f>
        <v>2017-03-25 20:32:42</v>
      </c>
      <c r="L2030" s="1" t="str">
        <f>"2017-03-25 20:32:54"</f>
        <v>2017-03-25 20:32:54</v>
      </c>
      <c r="M2030" s="2">
        <v>2.1643518518518518E-3</v>
      </c>
      <c r="N2030" s="1" t="s">
        <v>26</v>
      </c>
      <c r="O2030" s="1" t="s">
        <v>27</v>
      </c>
      <c r="P2030" s="2">
        <v>2.3032407407407407E-3</v>
      </c>
      <c r="Q2030" s="1" t="s">
        <v>1472</v>
      </c>
      <c r="R2030" s="1">
        <v>0</v>
      </c>
      <c r="S2030" s="1" t="str">
        <f>""</f>
        <v/>
      </c>
      <c r="T2030" s="1" t="s">
        <v>29</v>
      </c>
      <c r="U2030" s="1" t="s">
        <v>30</v>
      </c>
      <c r="V2030" s="1">
        <v>0</v>
      </c>
    </row>
    <row r="2031" spans="2:22" x14ac:dyDescent="0.15">
      <c r="B2031" s="1" t="str">
        <f>"133****9971"</f>
        <v>133****9971</v>
      </c>
      <c r="C2031" s="1" t="s">
        <v>188</v>
      </c>
      <c r="D2031" s="1" t="str">
        <f t="shared" si="203"/>
        <v>89177328</v>
      </c>
      <c r="E2031" s="1" t="s">
        <v>24</v>
      </c>
      <c r="F2031" s="1" t="str">
        <f t="shared" si="204"/>
        <v>0010</v>
      </c>
      <c r="G2031" s="1" t="str">
        <f>""</f>
        <v/>
      </c>
      <c r="H2031" s="1" t="str">
        <f>"0012"</f>
        <v>0012</v>
      </c>
      <c r="I2031" s="1" t="s">
        <v>612</v>
      </c>
      <c r="J2031" s="1" t="str">
        <f>"01043989720"</f>
        <v>01043989720</v>
      </c>
      <c r="K2031" s="1" t="str">
        <f>"2017-03-25 20:11:29"</f>
        <v>2017-03-25 20:11:29</v>
      </c>
      <c r="L2031" s="1" t="str">
        <f>"-"</f>
        <v>-</v>
      </c>
      <c r="M2031" s="2">
        <v>0</v>
      </c>
      <c r="N2031" s="1" t="s">
        <v>33</v>
      </c>
      <c r="O2031" s="1" t="s">
        <v>34</v>
      </c>
      <c r="P2031" s="2">
        <v>1.1574074074074073E-5</v>
      </c>
      <c r="Q2031" s="1" t="str">
        <f>""</f>
        <v/>
      </c>
      <c r="R2031" s="1">
        <v>0</v>
      </c>
      <c r="S2031" s="1" t="str">
        <f>""</f>
        <v/>
      </c>
      <c r="T2031" s="1" t="s">
        <v>29</v>
      </c>
      <c r="U2031" s="1" t="s">
        <v>30</v>
      </c>
      <c r="V2031" s="1">
        <v>0</v>
      </c>
    </row>
    <row r="2032" spans="2:22" x14ac:dyDescent="0.15">
      <c r="B2032" s="1" t="str">
        <f>"132****6213"</f>
        <v>132****6213</v>
      </c>
      <c r="C2032" s="1" t="s">
        <v>23</v>
      </c>
      <c r="D2032" s="1" t="str">
        <f t="shared" si="203"/>
        <v>89177328</v>
      </c>
      <c r="E2032" s="1" t="s">
        <v>24</v>
      </c>
      <c r="F2032" s="1" t="str">
        <f t="shared" si="204"/>
        <v>0010</v>
      </c>
      <c r="G2032" s="1" t="str">
        <f>""</f>
        <v/>
      </c>
      <c r="H2032" s="1" t="str">
        <f>""</f>
        <v/>
      </c>
      <c r="I2032" s="1" t="str">
        <f>""</f>
        <v/>
      </c>
      <c r="J2032" s="1" t="str">
        <f>""</f>
        <v/>
      </c>
      <c r="K2032" s="1" t="str">
        <f>"2017-03-25 19:54:38"</f>
        <v>2017-03-25 19:54:38</v>
      </c>
      <c r="L2032" s="1" t="str">
        <f>"-"</f>
        <v>-</v>
      </c>
      <c r="M2032" s="2">
        <v>0</v>
      </c>
      <c r="N2032" s="1" t="s">
        <v>55</v>
      </c>
      <c r="O2032" s="1" t="s">
        <v>34</v>
      </c>
      <c r="P2032" s="2">
        <v>6.8287037037037025E-4</v>
      </c>
      <c r="Q2032" s="1" t="str">
        <f>""</f>
        <v/>
      </c>
      <c r="R2032" s="1">
        <v>0</v>
      </c>
      <c r="S2032" s="1" t="str">
        <f>""</f>
        <v/>
      </c>
      <c r="T2032" s="1" t="s">
        <v>29</v>
      </c>
      <c r="U2032" s="1" t="s">
        <v>30</v>
      </c>
      <c r="V2032" s="1">
        <v>0</v>
      </c>
    </row>
    <row r="2033" spans="2:22" x14ac:dyDescent="0.15">
      <c r="B2033" s="1" t="str">
        <f>"185****8882"</f>
        <v>185****8882</v>
      </c>
      <c r="C2033" s="1" t="s">
        <v>23</v>
      </c>
      <c r="D2033" s="1" t="str">
        <f t="shared" si="203"/>
        <v>89177328</v>
      </c>
      <c r="E2033" s="1" t="s">
        <v>24</v>
      </c>
      <c r="F2033" s="1" t="str">
        <f t="shared" si="204"/>
        <v>0010</v>
      </c>
      <c r="G2033" s="1" t="str">
        <f>""</f>
        <v/>
      </c>
      <c r="H2033" s="1" t="str">
        <f>"0012"</f>
        <v>0012</v>
      </c>
      <c r="I2033" s="1" t="s">
        <v>612</v>
      </c>
      <c r="J2033" s="1" t="str">
        <f>"01043989720"</f>
        <v>01043989720</v>
      </c>
      <c r="K2033" s="1" t="str">
        <f>"2017-03-25 19:47:26"</f>
        <v>2017-03-25 19:47:26</v>
      </c>
      <c r="L2033" s="1" t="str">
        <f>"2017-03-25 19:47:37"</f>
        <v>2017-03-25 19:47:37</v>
      </c>
      <c r="M2033" s="2">
        <v>6.2268518518518515E-3</v>
      </c>
      <c r="N2033" s="1" t="s">
        <v>26</v>
      </c>
      <c r="O2033" s="1" t="s">
        <v>27</v>
      </c>
      <c r="P2033" s="2">
        <v>6.3541666666666668E-3</v>
      </c>
      <c r="Q2033" s="1" t="s">
        <v>1473</v>
      </c>
      <c r="R2033" s="1">
        <v>0</v>
      </c>
      <c r="S2033" s="1" t="str">
        <f>""</f>
        <v/>
      </c>
      <c r="T2033" s="1" t="s">
        <v>29</v>
      </c>
      <c r="U2033" s="1" t="s">
        <v>30</v>
      </c>
      <c r="V2033" s="1">
        <v>0</v>
      </c>
    </row>
    <row r="2034" spans="2:22" x14ac:dyDescent="0.15">
      <c r="B2034" s="1" t="str">
        <f>"185****5791"</f>
        <v>185****5791</v>
      </c>
      <c r="C2034" s="1" t="s">
        <v>23</v>
      </c>
      <c r="D2034" s="1" t="str">
        <f t="shared" si="203"/>
        <v>89177328</v>
      </c>
      <c r="E2034" s="1" t="s">
        <v>24</v>
      </c>
      <c r="F2034" s="1" t="str">
        <f t="shared" si="204"/>
        <v>0010</v>
      </c>
      <c r="G2034" s="1" t="str">
        <f>""</f>
        <v/>
      </c>
      <c r="H2034" s="1" t="str">
        <f>"0012"</f>
        <v>0012</v>
      </c>
      <c r="I2034" s="1" t="s">
        <v>612</v>
      </c>
      <c r="J2034" s="1" t="str">
        <f>"01043989720"</f>
        <v>01043989720</v>
      </c>
      <c r="K2034" s="1" t="str">
        <f>"2017-03-25 19:15:18"</f>
        <v>2017-03-25 19:15:18</v>
      </c>
      <c r="L2034" s="1" t="str">
        <f>"-"</f>
        <v>-</v>
      </c>
      <c r="M2034" s="2">
        <v>0</v>
      </c>
      <c r="N2034" s="1" t="s">
        <v>33</v>
      </c>
      <c r="O2034" s="1" t="s">
        <v>34</v>
      </c>
      <c r="P2034" s="2">
        <v>2.3148148148148147E-5</v>
      </c>
      <c r="Q2034" s="1" t="str">
        <f>""</f>
        <v/>
      </c>
      <c r="R2034" s="1">
        <v>0</v>
      </c>
      <c r="S2034" s="1" t="str">
        <f>""</f>
        <v/>
      </c>
      <c r="T2034" s="1" t="s">
        <v>29</v>
      </c>
      <c r="U2034" s="1" t="s">
        <v>30</v>
      </c>
      <c r="V2034" s="1">
        <v>0</v>
      </c>
    </row>
    <row r="2035" spans="2:22" x14ac:dyDescent="0.15">
      <c r="B2035" s="1" t="str">
        <f>"135****4366"</f>
        <v>135****4366</v>
      </c>
      <c r="C2035" s="1" t="s">
        <v>872</v>
      </c>
      <c r="D2035" s="1" t="str">
        <f t="shared" si="203"/>
        <v>89177328</v>
      </c>
      <c r="E2035" s="1" t="s">
        <v>24</v>
      </c>
      <c r="F2035" s="1" t="str">
        <f t="shared" si="204"/>
        <v>0010</v>
      </c>
      <c r="G2035" s="1" t="str">
        <f>""</f>
        <v/>
      </c>
      <c r="H2035" s="1" t="str">
        <f>"0012"</f>
        <v>0012</v>
      </c>
      <c r="I2035" s="1" t="s">
        <v>612</v>
      </c>
      <c r="J2035" s="1" t="str">
        <f>"01043989720"</f>
        <v>01043989720</v>
      </c>
      <c r="K2035" s="1" t="str">
        <f>"2017-03-25 18:33:37"</f>
        <v>2017-03-25 18:33:37</v>
      </c>
      <c r="L2035" s="1" t="str">
        <f>"-"</f>
        <v>-</v>
      </c>
      <c r="M2035" s="2">
        <v>0</v>
      </c>
      <c r="N2035" s="1" t="s">
        <v>33</v>
      </c>
      <c r="O2035" s="1" t="s">
        <v>34</v>
      </c>
      <c r="P2035" s="2">
        <v>2.3148148148148147E-5</v>
      </c>
      <c r="Q2035" s="1" t="str">
        <f>""</f>
        <v/>
      </c>
      <c r="R2035" s="1">
        <v>0</v>
      </c>
      <c r="S2035" s="1" t="str">
        <f>""</f>
        <v/>
      </c>
      <c r="T2035" s="1" t="s">
        <v>29</v>
      </c>
      <c r="U2035" s="1" t="s">
        <v>30</v>
      </c>
      <c r="V2035" s="1">
        <v>0</v>
      </c>
    </row>
    <row r="2036" spans="2:22" x14ac:dyDescent="0.15">
      <c r="B2036" s="1" t="str">
        <f>"116114"</f>
        <v>116114</v>
      </c>
      <c r="C2036" s="1" t="s">
        <v>159</v>
      </c>
      <c r="D2036" s="1" t="str">
        <f t="shared" si="203"/>
        <v>89177328</v>
      </c>
      <c r="E2036" s="1" t="s">
        <v>24</v>
      </c>
      <c r="F2036" s="1" t="str">
        <f t="shared" si="204"/>
        <v>0010</v>
      </c>
      <c r="G2036" s="1" t="str">
        <f>""</f>
        <v/>
      </c>
      <c r="H2036" s="1" t="str">
        <f>"0012"</f>
        <v>0012</v>
      </c>
      <c r="I2036" s="1" t="s">
        <v>612</v>
      </c>
      <c r="J2036" s="1" t="str">
        <f>"01043989720"</f>
        <v>01043989720</v>
      </c>
      <c r="K2036" s="1" t="str">
        <f>"2017-03-25 18:17:57"</f>
        <v>2017-03-25 18:17:57</v>
      </c>
      <c r="L2036" s="1" t="str">
        <f>"2017-03-25 18:18:12"</f>
        <v>2017-03-25 18:18:12</v>
      </c>
      <c r="M2036" s="2">
        <v>9.2592592592592588E-5</v>
      </c>
      <c r="N2036" s="1" t="s">
        <v>26</v>
      </c>
      <c r="O2036" s="1" t="s">
        <v>27</v>
      </c>
      <c r="P2036" s="2">
        <v>2.6620370370370372E-4</v>
      </c>
      <c r="Q2036" s="1" t="s">
        <v>1474</v>
      </c>
      <c r="R2036" s="1">
        <v>0</v>
      </c>
      <c r="S2036" s="1" t="str">
        <f>""</f>
        <v/>
      </c>
      <c r="T2036" s="1" t="s">
        <v>29</v>
      </c>
      <c r="U2036" s="1" t="s">
        <v>30</v>
      </c>
      <c r="V2036" s="1">
        <v>0</v>
      </c>
    </row>
    <row r="2037" spans="2:22" x14ac:dyDescent="0.15">
      <c r="B2037" s="1" t="str">
        <f>"131****7985"</f>
        <v>131****7985</v>
      </c>
      <c r="C2037" s="1" t="s">
        <v>23</v>
      </c>
      <c r="D2037" s="1" t="str">
        <f t="shared" si="203"/>
        <v>89177328</v>
      </c>
      <c r="E2037" s="1" t="s">
        <v>24</v>
      </c>
      <c r="F2037" s="1" t="str">
        <f t="shared" si="204"/>
        <v>0010</v>
      </c>
      <c r="G2037" s="1" t="str">
        <f>""</f>
        <v/>
      </c>
      <c r="H2037" s="1" t="str">
        <f>"0012"</f>
        <v>0012</v>
      </c>
      <c r="I2037" s="1" t="s">
        <v>612</v>
      </c>
      <c r="J2037" s="1" t="str">
        <f>"01043989720"</f>
        <v>01043989720</v>
      </c>
      <c r="K2037" s="1" t="str">
        <f>"2017-03-25 18:17:31"</f>
        <v>2017-03-25 18:17:31</v>
      </c>
      <c r="L2037" s="1" t="str">
        <f>"-"</f>
        <v>-</v>
      </c>
      <c r="M2037" s="2">
        <v>0</v>
      </c>
      <c r="N2037" s="1" t="s">
        <v>33</v>
      </c>
      <c r="O2037" s="1" t="s">
        <v>34</v>
      </c>
      <c r="P2037" s="2">
        <v>6.9444444444444444E-5</v>
      </c>
      <c r="Q2037" s="1" t="str">
        <f>""</f>
        <v/>
      </c>
      <c r="R2037" s="1">
        <v>0</v>
      </c>
      <c r="S2037" s="1" t="str">
        <f>""</f>
        <v/>
      </c>
      <c r="T2037" s="1" t="s">
        <v>29</v>
      </c>
      <c r="U2037" s="1" t="s">
        <v>30</v>
      </c>
      <c r="V2037" s="1">
        <v>0</v>
      </c>
    </row>
    <row r="2038" spans="2:22" x14ac:dyDescent="0.15">
      <c r="B2038" s="1" t="str">
        <f>"177****3603"</f>
        <v>177****3603</v>
      </c>
      <c r="C2038" s="1" t="s">
        <v>23</v>
      </c>
      <c r="D2038" s="1" t="str">
        <f t="shared" si="203"/>
        <v>89177328</v>
      </c>
      <c r="E2038" s="1" t="s">
        <v>24</v>
      </c>
      <c r="F2038" s="1" t="str">
        <f t="shared" si="204"/>
        <v>0010</v>
      </c>
      <c r="G2038" s="1" t="str">
        <f>""</f>
        <v/>
      </c>
      <c r="H2038" s="1" t="str">
        <f>"0034"</f>
        <v>0034</v>
      </c>
      <c r="I2038" s="1" t="s">
        <v>31</v>
      </c>
      <c r="J2038" s="1" t="str">
        <f>"01043977568"</f>
        <v>01043977568</v>
      </c>
      <c r="K2038" s="1" t="str">
        <f>"2017-03-25 18:17:11"</f>
        <v>2017-03-25 18:17:11</v>
      </c>
      <c r="L2038" s="1" t="str">
        <f>"2017-03-25 18:17:26"</f>
        <v>2017-03-25 18:17:26</v>
      </c>
      <c r="M2038" s="2">
        <v>1.9675925925925926E-4</v>
      </c>
      <c r="N2038" s="1" t="s">
        <v>26</v>
      </c>
      <c r="O2038" s="1" t="s">
        <v>27</v>
      </c>
      <c r="P2038" s="2">
        <v>3.7037037037037035E-4</v>
      </c>
      <c r="Q2038" s="1" t="s">
        <v>1475</v>
      </c>
      <c r="R2038" s="1">
        <v>0</v>
      </c>
      <c r="S2038" s="1" t="str">
        <f>""</f>
        <v/>
      </c>
      <c r="T2038" s="1" t="s">
        <v>29</v>
      </c>
      <c r="U2038" s="1" t="s">
        <v>30</v>
      </c>
      <c r="V2038" s="1">
        <v>0</v>
      </c>
    </row>
    <row r="2039" spans="2:22" x14ac:dyDescent="0.15">
      <c r="B2039" s="1" t="str">
        <f>"157****4678"</f>
        <v>157****4678</v>
      </c>
      <c r="C2039" s="1" t="s">
        <v>23</v>
      </c>
      <c r="D2039" s="1" t="str">
        <f t="shared" si="203"/>
        <v>89177328</v>
      </c>
      <c r="E2039" s="1" t="s">
        <v>24</v>
      </c>
      <c r="F2039" s="1" t="str">
        <f t="shared" si="204"/>
        <v>0010</v>
      </c>
      <c r="G2039" s="1" t="str">
        <f>""</f>
        <v/>
      </c>
      <c r="H2039" s="1" t="str">
        <f>"0012"</f>
        <v>0012</v>
      </c>
      <c r="I2039" s="1" t="s">
        <v>612</v>
      </c>
      <c r="J2039" s="1" t="str">
        <f>"01043989720"</f>
        <v>01043989720</v>
      </c>
      <c r="K2039" s="1" t="str">
        <f>"2017-03-25 18:17:08"</f>
        <v>2017-03-25 18:17:08</v>
      </c>
      <c r="L2039" s="1" t="str">
        <f>"-"</f>
        <v>-</v>
      </c>
      <c r="M2039" s="2">
        <v>0</v>
      </c>
      <c r="N2039" s="1" t="s">
        <v>33</v>
      </c>
      <c r="O2039" s="1" t="s">
        <v>34</v>
      </c>
      <c r="P2039" s="2">
        <v>8.1018518518518516E-5</v>
      </c>
      <c r="Q2039" s="1" t="str">
        <f>""</f>
        <v/>
      </c>
      <c r="R2039" s="1">
        <v>0</v>
      </c>
      <c r="S2039" s="1" t="str">
        <f>""</f>
        <v/>
      </c>
      <c r="T2039" s="1" t="s">
        <v>29</v>
      </c>
      <c r="U2039" s="1" t="s">
        <v>30</v>
      </c>
      <c r="V2039" s="1">
        <v>0</v>
      </c>
    </row>
    <row r="2040" spans="2:22" x14ac:dyDescent="0.15">
      <c r="B2040" s="1" t="str">
        <f>"177****0206"</f>
        <v>177****0206</v>
      </c>
      <c r="C2040" s="1" t="s">
        <v>23</v>
      </c>
      <c r="D2040" s="1" t="str">
        <f t="shared" si="203"/>
        <v>89177328</v>
      </c>
      <c r="E2040" s="1" t="s">
        <v>24</v>
      </c>
      <c r="F2040" s="1" t="str">
        <f t="shared" si="204"/>
        <v>0010</v>
      </c>
      <c r="G2040" s="1" t="str">
        <f>""</f>
        <v/>
      </c>
      <c r="H2040" s="1" t="str">
        <f>"0012"</f>
        <v>0012</v>
      </c>
      <c r="I2040" s="1" t="s">
        <v>612</v>
      </c>
      <c r="J2040" s="1" t="str">
        <f>"01043989720"</f>
        <v>01043989720</v>
      </c>
      <c r="K2040" s="1" t="str">
        <f>"2017-03-25 18:14:17"</f>
        <v>2017-03-25 18:14:17</v>
      </c>
      <c r="L2040" s="1" t="str">
        <f>"-"</f>
        <v>-</v>
      </c>
      <c r="M2040" s="2">
        <v>0</v>
      </c>
      <c r="N2040" s="1" t="s">
        <v>33</v>
      </c>
      <c r="O2040" s="1" t="s">
        <v>34</v>
      </c>
      <c r="P2040" s="2">
        <v>2.3148148148148147E-5</v>
      </c>
      <c r="Q2040" s="1" t="str">
        <f>""</f>
        <v/>
      </c>
      <c r="R2040" s="1">
        <v>0</v>
      </c>
      <c r="S2040" s="1" t="str">
        <f>""</f>
        <v/>
      </c>
      <c r="T2040" s="1" t="s">
        <v>29</v>
      </c>
      <c r="U2040" s="1" t="s">
        <v>30</v>
      </c>
      <c r="V2040" s="1">
        <v>0</v>
      </c>
    </row>
    <row r="2041" spans="2:22" x14ac:dyDescent="0.15">
      <c r="B2041" s="1" t="str">
        <f>"157****4678"</f>
        <v>157****4678</v>
      </c>
      <c r="C2041" s="1" t="s">
        <v>23</v>
      </c>
      <c r="D2041" s="1" t="str">
        <f t="shared" si="203"/>
        <v>89177328</v>
      </c>
      <c r="E2041" s="1" t="s">
        <v>24</v>
      </c>
      <c r="F2041" s="1" t="str">
        <f t="shared" si="204"/>
        <v>0010</v>
      </c>
      <c r="G2041" s="1" t="str">
        <f>""</f>
        <v/>
      </c>
      <c r="H2041" s="1" t="str">
        <f>"0034"</f>
        <v>0034</v>
      </c>
      <c r="I2041" s="1" t="s">
        <v>31</v>
      </c>
      <c r="J2041" s="1" t="str">
        <f>"01043977568"</f>
        <v>01043977568</v>
      </c>
      <c r="K2041" s="1" t="str">
        <f>"2017-03-25 18:12:23"</f>
        <v>2017-03-25 18:12:23</v>
      </c>
      <c r="L2041" s="1" t="str">
        <f>"-"</f>
        <v>-</v>
      </c>
      <c r="M2041" s="2">
        <v>0</v>
      </c>
      <c r="N2041" s="1" t="s">
        <v>33</v>
      </c>
      <c r="O2041" s="1" t="s">
        <v>34</v>
      </c>
      <c r="P2041" s="2">
        <v>9.2592592592592588E-5</v>
      </c>
      <c r="Q2041" s="1" t="str">
        <f>""</f>
        <v/>
      </c>
      <c r="R2041" s="1">
        <v>0</v>
      </c>
      <c r="S2041" s="1" t="str">
        <f>""</f>
        <v/>
      </c>
      <c r="T2041" s="1" t="s">
        <v>29</v>
      </c>
      <c r="U2041" s="1" t="s">
        <v>30</v>
      </c>
      <c r="V2041" s="1">
        <v>0</v>
      </c>
    </row>
    <row r="2042" spans="2:22" x14ac:dyDescent="0.15">
      <c r="B2042" s="1" t="str">
        <f>"185****2881"</f>
        <v>185****2881</v>
      </c>
      <c r="C2042" s="1" t="s">
        <v>23</v>
      </c>
      <c r="D2042" s="1" t="str">
        <f t="shared" si="203"/>
        <v>89177328</v>
      </c>
      <c r="E2042" s="1" t="s">
        <v>24</v>
      </c>
      <c r="F2042" s="1" t="str">
        <f t="shared" si="204"/>
        <v>0010</v>
      </c>
      <c r="G2042" s="1" t="str">
        <f>""</f>
        <v/>
      </c>
      <c r="H2042" s="1" t="str">
        <f>"0034"</f>
        <v>0034</v>
      </c>
      <c r="I2042" s="1" t="s">
        <v>31</v>
      </c>
      <c r="J2042" s="1" t="str">
        <f>"01043977568"</f>
        <v>01043977568</v>
      </c>
      <c r="K2042" s="1" t="str">
        <f>"2017-03-25 17:57:24"</f>
        <v>2017-03-25 17:57:24</v>
      </c>
      <c r="L2042" s="1" t="str">
        <f>"2017-03-25 17:57:34"</f>
        <v>2017-03-25 17:57:34</v>
      </c>
      <c r="M2042" s="2">
        <v>2.1874999999999998E-3</v>
      </c>
      <c r="N2042" s="1" t="s">
        <v>26</v>
      </c>
      <c r="O2042" s="1" t="s">
        <v>27</v>
      </c>
      <c r="P2042" s="2">
        <v>2.3032407407407407E-3</v>
      </c>
      <c r="Q2042" s="1" t="s">
        <v>1476</v>
      </c>
      <c r="R2042" s="1">
        <v>0</v>
      </c>
      <c r="S2042" s="1" t="str">
        <f>""</f>
        <v/>
      </c>
      <c r="T2042" s="1" t="s">
        <v>29</v>
      </c>
      <c r="U2042" s="1" t="s">
        <v>30</v>
      </c>
      <c r="V2042" s="1">
        <v>0</v>
      </c>
    </row>
    <row r="2043" spans="2:22" x14ac:dyDescent="0.15">
      <c r="B2043" s="1" t="str">
        <f>"010****0060"</f>
        <v>010****0060</v>
      </c>
      <c r="C2043" s="1" t="s">
        <v>23</v>
      </c>
      <c r="D2043" s="1" t="str">
        <f t="shared" si="203"/>
        <v>89177328</v>
      </c>
      <c r="E2043" s="1" t="s">
        <v>24</v>
      </c>
      <c r="F2043" s="1" t="str">
        <f t="shared" si="204"/>
        <v>0010</v>
      </c>
      <c r="G2043" s="1" t="str">
        <f>""</f>
        <v/>
      </c>
      <c r="H2043" s="1" t="str">
        <f>"0031"</f>
        <v>0031</v>
      </c>
      <c r="I2043" s="1" t="s">
        <v>95</v>
      </c>
      <c r="J2043" s="1" t="str">
        <f>"01043977565"</f>
        <v>01043977565</v>
      </c>
      <c r="K2043" s="1" t="str">
        <f>"2017-03-25 17:46:39"</f>
        <v>2017-03-25 17:46:39</v>
      </c>
      <c r="L2043" s="1" t="str">
        <f>"2017-03-25 17:46:48"</f>
        <v>2017-03-25 17:46:48</v>
      </c>
      <c r="M2043" s="2">
        <v>9.9074074074074082E-3</v>
      </c>
      <c r="N2043" s="1" t="s">
        <v>26</v>
      </c>
      <c r="O2043" s="1" t="s">
        <v>27</v>
      </c>
      <c r="P2043" s="2">
        <v>1.0011574074074074E-2</v>
      </c>
      <c r="Q2043" s="1" t="s">
        <v>1477</v>
      </c>
      <c r="R2043" s="1">
        <v>0</v>
      </c>
      <c r="S2043" s="1" t="str">
        <f>""</f>
        <v/>
      </c>
      <c r="T2043" s="1" t="s">
        <v>29</v>
      </c>
      <c r="U2043" s="1" t="s">
        <v>30</v>
      </c>
      <c r="V2043" s="1">
        <v>0</v>
      </c>
    </row>
    <row r="2044" spans="2:22" x14ac:dyDescent="0.15">
      <c r="B2044" s="1" t="str">
        <f>"158****0980"</f>
        <v>158****0980</v>
      </c>
      <c r="C2044" s="1" t="s">
        <v>1478</v>
      </c>
      <c r="D2044" s="1" t="str">
        <f>"4000108333"</f>
        <v>4000108333</v>
      </c>
      <c r="E2044" s="1" t="s">
        <v>53</v>
      </c>
      <c r="F2044" s="1" t="str">
        <f>"333"</f>
        <v>333</v>
      </c>
      <c r="G2044" s="1" t="s">
        <v>952</v>
      </c>
      <c r="H2044" s="1" t="str">
        <f>""</f>
        <v/>
      </c>
      <c r="I2044" s="1" t="str">
        <f>""</f>
        <v/>
      </c>
      <c r="J2044" s="1" t="str">
        <f>"13718091869"</f>
        <v>13718091869</v>
      </c>
      <c r="K2044" s="1" t="str">
        <f>"2017-03-25 17:24:34"</f>
        <v>2017-03-25 17:24:34</v>
      </c>
      <c r="L2044" s="1" t="str">
        <f>"2017-03-25 17:25:34"</f>
        <v>2017-03-25 17:25:34</v>
      </c>
      <c r="M2044" s="2">
        <v>1.3078703703703703E-2</v>
      </c>
      <c r="N2044" s="1" t="s">
        <v>26</v>
      </c>
      <c r="O2044" s="1" t="s">
        <v>34</v>
      </c>
      <c r="P2044" s="2">
        <v>1.3773148148148147E-2</v>
      </c>
      <c r="Q2044" s="1" t="s">
        <v>1479</v>
      </c>
      <c r="R2044" s="1">
        <v>2.4</v>
      </c>
      <c r="S2044" s="1" t="str">
        <f>""</f>
        <v/>
      </c>
      <c r="T2044" s="1" t="s">
        <v>29</v>
      </c>
      <c r="U2044" s="1" t="s">
        <v>30</v>
      </c>
      <c r="V2044" s="1">
        <v>0</v>
      </c>
    </row>
    <row r="2045" spans="2:22" x14ac:dyDescent="0.15">
      <c r="B2045" s="1" t="str">
        <f>"187****9578"</f>
        <v>187****9578</v>
      </c>
      <c r="C2045" s="1" t="s">
        <v>1480</v>
      </c>
      <c r="D2045" s="1" t="str">
        <f t="shared" ref="D2045:D2064" si="205">"89177328"</f>
        <v>89177328</v>
      </c>
      <c r="E2045" s="1" t="s">
        <v>24</v>
      </c>
      <c r="F2045" s="1" t="str">
        <f t="shared" ref="F2045:F2064" si="206">"0010"</f>
        <v>0010</v>
      </c>
      <c r="G2045" s="1" t="str">
        <f>""</f>
        <v/>
      </c>
      <c r="H2045" s="1" t="str">
        <f>"0012"</f>
        <v>0012</v>
      </c>
      <c r="I2045" s="1" t="s">
        <v>612</v>
      </c>
      <c r="J2045" s="1" t="str">
        <f>"01043989720"</f>
        <v>01043989720</v>
      </c>
      <c r="K2045" s="1" t="str">
        <f>"2017-03-25 17:22:47"</f>
        <v>2017-03-25 17:22:47</v>
      </c>
      <c r="L2045" s="1" t="str">
        <f>"2017-03-25 17:23:00"</f>
        <v>2017-03-25 17:23:00</v>
      </c>
      <c r="M2045" s="2">
        <v>9.9305555555555553E-3</v>
      </c>
      <c r="N2045" s="1" t="s">
        <v>26</v>
      </c>
      <c r="O2045" s="1" t="s">
        <v>27</v>
      </c>
      <c r="P2045" s="2">
        <v>1.0081018518518519E-2</v>
      </c>
      <c r="Q2045" s="1" t="s">
        <v>1481</v>
      </c>
      <c r="R2045" s="1">
        <v>0</v>
      </c>
      <c r="S2045" s="1" t="str">
        <f>""</f>
        <v/>
      </c>
      <c r="T2045" s="1" t="s">
        <v>29</v>
      </c>
      <c r="U2045" s="1" t="s">
        <v>30</v>
      </c>
      <c r="V2045" s="1">
        <v>0</v>
      </c>
    </row>
    <row r="2046" spans="2:22" x14ac:dyDescent="0.15">
      <c r="B2046" s="1" t="str">
        <f>"134****3076"</f>
        <v>134****3076</v>
      </c>
      <c r="C2046" s="1" t="s">
        <v>23</v>
      </c>
      <c r="D2046" s="1" t="str">
        <f t="shared" si="205"/>
        <v>89177328</v>
      </c>
      <c r="E2046" s="1" t="s">
        <v>24</v>
      </c>
      <c r="F2046" s="1" t="str">
        <f t="shared" si="206"/>
        <v>0010</v>
      </c>
      <c r="G2046" s="1" t="str">
        <f>""</f>
        <v/>
      </c>
      <c r="H2046" s="1" t="str">
        <f>"0031"</f>
        <v>0031</v>
      </c>
      <c r="I2046" s="1" t="s">
        <v>95</v>
      </c>
      <c r="J2046" s="1" t="str">
        <f>"01043977565"</f>
        <v>01043977565</v>
      </c>
      <c r="K2046" s="1" t="str">
        <f>"2017-03-25 17:06:54"</f>
        <v>2017-03-25 17:06:54</v>
      </c>
      <c r="L2046" s="1" t="str">
        <f>"2017-03-25 17:07:06"</f>
        <v>2017-03-25 17:07:06</v>
      </c>
      <c r="M2046" s="2">
        <v>7.9166666666666673E-3</v>
      </c>
      <c r="N2046" s="1" t="s">
        <v>26</v>
      </c>
      <c r="O2046" s="1" t="s">
        <v>27</v>
      </c>
      <c r="P2046" s="2">
        <v>8.0555555555555554E-3</v>
      </c>
      <c r="Q2046" s="1" t="s">
        <v>1482</v>
      </c>
      <c r="R2046" s="1">
        <v>0</v>
      </c>
      <c r="S2046" s="1" t="str">
        <f>""</f>
        <v/>
      </c>
      <c r="T2046" s="1" t="s">
        <v>29</v>
      </c>
      <c r="U2046" s="1" t="s">
        <v>30</v>
      </c>
      <c r="V2046" s="1">
        <v>0</v>
      </c>
    </row>
    <row r="2047" spans="2:22" x14ac:dyDescent="0.15">
      <c r="B2047" s="1" t="str">
        <f>"138****3018"</f>
        <v>138****3018</v>
      </c>
      <c r="C2047" s="1" t="s">
        <v>69</v>
      </c>
      <c r="D2047" s="1" t="str">
        <f t="shared" si="205"/>
        <v>89177328</v>
      </c>
      <c r="E2047" s="1" t="s">
        <v>24</v>
      </c>
      <c r="F2047" s="1" t="str">
        <f t="shared" si="206"/>
        <v>0010</v>
      </c>
      <c r="G2047" s="1" t="str">
        <f>""</f>
        <v/>
      </c>
      <c r="H2047" s="1" t="str">
        <f>"0012"</f>
        <v>0012</v>
      </c>
      <c r="I2047" s="1" t="s">
        <v>612</v>
      </c>
      <c r="J2047" s="1" t="str">
        <f>"01043989720"</f>
        <v>01043989720</v>
      </c>
      <c r="K2047" s="1" t="str">
        <f>"2017-03-25 17:02:11"</f>
        <v>2017-03-25 17:02:11</v>
      </c>
      <c r="L2047" s="1" t="str">
        <f>"2017-03-25 17:02:23"</f>
        <v>2017-03-25 17:02:23</v>
      </c>
      <c r="M2047" s="2">
        <v>3.1018518518518522E-3</v>
      </c>
      <c r="N2047" s="1" t="s">
        <v>26</v>
      </c>
      <c r="O2047" s="1" t="s">
        <v>27</v>
      </c>
      <c r="P2047" s="2">
        <v>3.2407407407407406E-3</v>
      </c>
      <c r="Q2047" s="1" t="s">
        <v>1483</v>
      </c>
      <c r="R2047" s="1">
        <v>0</v>
      </c>
      <c r="S2047" s="1" t="str">
        <f>""</f>
        <v/>
      </c>
      <c r="T2047" s="1" t="s">
        <v>29</v>
      </c>
      <c r="U2047" s="1" t="s">
        <v>30</v>
      </c>
      <c r="V2047" s="1">
        <v>0</v>
      </c>
    </row>
    <row r="2048" spans="2:22" x14ac:dyDescent="0.15">
      <c r="B2048" s="1" t="str">
        <f>"010****7550"</f>
        <v>010****7550</v>
      </c>
      <c r="C2048" s="1" t="s">
        <v>23</v>
      </c>
      <c r="D2048" s="1" t="str">
        <f t="shared" si="205"/>
        <v>89177328</v>
      </c>
      <c r="E2048" s="1" t="s">
        <v>24</v>
      </c>
      <c r="F2048" s="1" t="str">
        <f t="shared" si="206"/>
        <v>0010</v>
      </c>
      <c r="G2048" s="1" t="str">
        <f>""</f>
        <v/>
      </c>
      <c r="H2048" s="1" t="str">
        <f>"0031"</f>
        <v>0031</v>
      </c>
      <c r="I2048" s="1" t="s">
        <v>95</v>
      </c>
      <c r="J2048" s="1" t="str">
        <f>"01043977565"</f>
        <v>01043977565</v>
      </c>
      <c r="K2048" s="1" t="str">
        <f>"2017-03-25 16:40:15"</f>
        <v>2017-03-25 16:40:15</v>
      </c>
      <c r="L2048" s="1" t="str">
        <f>"2017-03-25 16:40:27"</f>
        <v>2017-03-25 16:40:27</v>
      </c>
      <c r="M2048" s="2">
        <v>2.3148148148148147E-5</v>
      </c>
      <c r="N2048" s="1" t="s">
        <v>26</v>
      </c>
      <c r="O2048" s="1" t="s">
        <v>34</v>
      </c>
      <c r="P2048" s="2">
        <v>1.6203703703703703E-4</v>
      </c>
      <c r="Q2048" s="1" t="str">
        <f>""</f>
        <v/>
      </c>
      <c r="R2048" s="1">
        <v>0</v>
      </c>
      <c r="S2048" s="1" t="str">
        <f>""</f>
        <v/>
      </c>
      <c r="T2048" s="1" t="s">
        <v>29</v>
      </c>
      <c r="U2048" s="1" t="s">
        <v>30</v>
      </c>
      <c r="V2048" s="1">
        <v>0</v>
      </c>
    </row>
    <row r="2049" spans="2:22" x14ac:dyDescent="0.15">
      <c r="B2049" s="1" t="str">
        <f>"134****3076"</f>
        <v>134****3076</v>
      </c>
      <c r="C2049" s="1" t="s">
        <v>23</v>
      </c>
      <c r="D2049" s="1" t="str">
        <f t="shared" si="205"/>
        <v>89177328</v>
      </c>
      <c r="E2049" s="1" t="s">
        <v>24</v>
      </c>
      <c r="F2049" s="1" t="str">
        <f t="shared" si="206"/>
        <v>0010</v>
      </c>
      <c r="G2049" s="1" t="str">
        <f>""</f>
        <v/>
      </c>
      <c r="H2049" s="1" t="str">
        <f>"0012"</f>
        <v>0012</v>
      </c>
      <c r="I2049" s="1" t="s">
        <v>612</v>
      </c>
      <c r="J2049" s="1" t="str">
        <f>"01043989720"</f>
        <v>01043989720</v>
      </c>
      <c r="K2049" s="1" t="str">
        <f>"2017-03-25 16:36:56"</f>
        <v>2017-03-25 16:36:56</v>
      </c>
      <c r="L2049" s="1" t="str">
        <f>"2017-03-25 16:37:08"</f>
        <v>2017-03-25 16:37:08</v>
      </c>
      <c r="M2049" s="2">
        <v>1.2442129629629629E-2</v>
      </c>
      <c r="N2049" s="1" t="s">
        <v>26</v>
      </c>
      <c r="O2049" s="1" t="s">
        <v>27</v>
      </c>
      <c r="P2049" s="2">
        <v>1.2581018518518519E-2</v>
      </c>
      <c r="Q2049" s="1" t="s">
        <v>1484</v>
      </c>
      <c r="R2049" s="1">
        <v>0</v>
      </c>
      <c r="S2049" s="1" t="str">
        <f>""</f>
        <v/>
      </c>
      <c r="T2049" s="1" t="s">
        <v>29</v>
      </c>
      <c r="U2049" s="1" t="s">
        <v>30</v>
      </c>
      <c r="V2049" s="1">
        <v>0</v>
      </c>
    </row>
    <row r="2050" spans="2:22" x14ac:dyDescent="0.15">
      <c r="B2050" s="1" t="str">
        <f>"186****9249"</f>
        <v>186****9249</v>
      </c>
      <c r="C2050" s="1" t="s">
        <v>935</v>
      </c>
      <c r="D2050" s="1" t="str">
        <f t="shared" si="205"/>
        <v>89177328</v>
      </c>
      <c r="E2050" s="1" t="s">
        <v>24</v>
      </c>
      <c r="F2050" s="1" t="str">
        <f t="shared" si="206"/>
        <v>0010</v>
      </c>
      <c r="G2050" s="1" t="str">
        <f>""</f>
        <v/>
      </c>
      <c r="H2050" s="1" t="str">
        <f>"0012"</f>
        <v>0012</v>
      </c>
      <c r="I2050" s="1" t="s">
        <v>612</v>
      </c>
      <c r="J2050" s="1" t="str">
        <f>"01043989720"</f>
        <v>01043989720</v>
      </c>
      <c r="K2050" s="1" t="str">
        <f>"2017-03-25 16:23:18"</f>
        <v>2017-03-25 16:23:18</v>
      </c>
      <c r="L2050" s="1" t="str">
        <f>"2017-03-25 16:23:35"</f>
        <v>2017-03-25 16:23:35</v>
      </c>
      <c r="M2050" s="2">
        <v>6.3773148148148148E-3</v>
      </c>
      <c r="N2050" s="1" t="s">
        <v>26</v>
      </c>
      <c r="O2050" s="1" t="s">
        <v>27</v>
      </c>
      <c r="P2050" s="2">
        <v>6.5740740740740733E-3</v>
      </c>
      <c r="Q2050" s="1" t="s">
        <v>1485</v>
      </c>
      <c r="R2050" s="1">
        <v>0</v>
      </c>
      <c r="S2050" s="1" t="str">
        <f>""</f>
        <v/>
      </c>
      <c r="T2050" s="1" t="s">
        <v>29</v>
      </c>
      <c r="U2050" s="1" t="s">
        <v>30</v>
      </c>
      <c r="V2050" s="1">
        <v>0</v>
      </c>
    </row>
    <row r="2051" spans="2:22" x14ac:dyDescent="0.15">
      <c r="B2051" s="1" t="str">
        <f>"010****2915"</f>
        <v>010****2915</v>
      </c>
      <c r="C2051" s="1" t="s">
        <v>23</v>
      </c>
      <c r="D2051" s="1" t="str">
        <f t="shared" si="205"/>
        <v>89177328</v>
      </c>
      <c r="E2051" s="1" t="s">
        <v>24</v>
      </c>
      <c r="F2051" s="1" t="str">
        <f t="shared" si="206"/>
        <v>0010</v>
      </c>
      <c r="G2051" s="1" t="str">
        <f>""</f>
        <v/>
      </c>
      <c r="H2051" s="1" t="str">
        <f>"0012"</f>
        <v>0012</v>
      </c>
      <c r="I2051" s="1" t="s">
        <v>612</v>
      </c>
      <c r="J2051" s="1" t="str">
        <f>"01043989720"</f>
        <v>01043989720</v>
      </c>
      <c r="K2051" s="1" t="str">
        <f>"2017-03-25 16:06:54"</f>
        <v>2017-03-25 16:06:54</v>
      </c>
      <c r="L2051" s="1" t="str">
        <f>"-"</f>
        <v>-</v>
      </c>
      <c r="M2051" s="2">
        <v>0</v>
      </c>
      <c r="N2051" s="1" t="s">
        <v>33</v>
      </c>
      <c r="O2051" s="1" t="s">
        <v>34</v>
      </c>
      <c r="P2051" s="2">
        <v>2.3148148148148147E-5</v>
      </c>
      <c r="Q2051" s="1" t="str">
        <f>""</f>
        <v/>
      </c>
      <c r="R2051" s="1">
        <v>0</v>
      </c>
      <c r="S2051" s="1" t="str">
        <f>""</f>
        <v/>
      </c>
      <c r="T2051" s="1" t="s">
        <v>29</v>
      </c>
      <c r="U2051" s="1" t="s">
        <v>30</v>
      </c>
      <c r="V2051" s="1">
        <v>0</v>
      </c>
    </row>
    <row r="2052" spans="2:22" x14ac:dyDescent="0.15">
      <c r="B2052" s="1" t="str">
        <f>"159****8280"</f>
        <v>159****8280</v>
      </c>
      <c r="C2052" s="1" t="s">
        <v>935</v>
      </c>
      <c r="D2052" s="1" t="str">
        <f t="shared" si="205"/>
        <v>89177328</v>
      </c>
      <c r="E2052" s="1" t="s">
        <v>24</v>
      </c>
      <c r="F2052" s="1" t="str">
        <f t="shared" si="206"/>
        <v>0010</v>
      </c>
      <c r="G2052" s="1" t="str">
        <f>""</f>
        <v/>
      </c>
      <c r="H2052" s="1" t="str">
        <f>"0034"</f>
        <v>0034</v>
      </c>
      <c r="I2052" s="1" t="s">
        <v>31</v>
      </c>
      <c r="J2052" s="1" t="str">
        <f>"01043977568"</f>
        <v>01043977568</v>
      </c>
      <c r="K2052" s="1" t="str">
        <f>"2017-03-25 15:31:57"</f>
        <v>2017-03-25 15:31:57</v>
      </c>
      <c r="L2052" s="1" t="str">
        <f>"2017-03-25 15:32:06"</f>
        <v>2017-03-25 15:32:06</v>
      </c>
      <c r="M2052" s="2">
        <v>8.9930555555555545E-3</v>
      </c>
      <c r="N2052" s="1" t="s">
        <v>26</v>
      </c>
      <c r="O2052" s="1" t="s">
        <v>34</v>
      </c>
      <c r="P2052" s="2">
        <v>9.0972222222222218E-3</v>
      </c>
      <c r="Q2052" s="1" t="s">
        <v>1486</v>
      </c>
      <c r="R2052" s="1">
        <v>0</v>
      </c>
      <c r="S2052" s="1" t="str">
        <f>""</f>
        <v/>
      </c>
      <c r="T2052" s="1" t="s">
        <v>29</v>
      </c>
      <c r="U2052" s="1" t="s">
        <v>30</v>
      </c>
      <c r="V2052" s="1">
        <v>0</v>
      </c>
    </row>
    <row r="2053" spans="2:22" x14ac:dyDescent="0.15">
      <c r="B2053" s="1" t="str">
        <f>"185****8027"</f>
        <v>185****8027</v>
      </c>
      <c r="C2053" s="1" t="s">
        <v>23</v>
      </c>
      <c r="D2053" s="1" t="str">
        <f t="shared" si="205"/>
        <v>89177328</v>
      </c>
      <c r="E2053" s="1" t="s">
        <v>24</v>
      </c>
      <c r="F2053" s="1" t="str">
        <f t="shared" si="206"/>
        <v>0010</v>
      </c>
      <c r="G2053" s="1" t="str">
        <f>""</f>
        <v/>
      </c>
      <c r="H2053" s="1" t="str">
        <f>"0012"</f>
        <v>0012</v>
      </c>
      <c r="I2053" s="1" t="s">
        <v>612</v>
      </c>
      <c r="J2053" s="1" t="str">
        <f>"01043989720"</f>
        <v>01043989720</v>
      </c>
      <c r="K2053" s="1" t="str">
        <f>"2017-03-25 15:24:41"</f>
        <v>2017-03-25 15:24:41</v>
      </c>
      <c r="L2053" s="1" t="str">
        <f>"2017-03-25 15:24:53"</f>
        <v>2017-03-25 15:24:53</v>
      </c>
      <c r="M2053" s="2">
        <v>8.5300925925925926E-3</v>
      </c>
      <c r="N2053" s="1" t="s">
        <v>26</v>
      </c>
      <c r="O2053" s="1" t="s">
        <v>34</v>
      </c>
      <c r="P2053" s="2">
        <v>8.6689814814814806E-3</v>
      </c>
      <c r="Q2053" s="1" t="s">
        <v>1487</v>
      </c>
      <c r="R2053" s="1">
        <v>0</v>
      </c>
      <c r="S2053" s="1" t="str">
        <f>""</f>
        <v/>
      </c>
      <c r="T2053" s="1" t="s">
        <v>29</v>
      </c>
      <c r="U2053" s="1" t="s">
        <v>30</v>
      </c>
      <c r="V2053" s="1">
        <v>0</v>
      </c>
    </row>
    <row r="2054" spans="2:22" x14ac:dyDescent="0.15">
      <c r="B2054" s="1" t="str">
        <f>"183****1618"</f>
        <v>183****1618</v>
      </c>
      <c r="C2054" s="1" t="s">
        <v>102</v>
      </c>
      <c r="D2054" s="1" t="str">
        <f t="shared" si="205"/>
        <v>89177328</v>
      </c>
      <c r="E2054" s="1" t="s">
        <v>24</v>
      </c>
      <c r="F2054" s="1" t="str">
        <f t="shared" si="206"/>
        <v>0010</v>
      </c>
      <c r="G2054" s="1" t="str">
        <f>""</f>
        <v/>
      </c>
      <c r="H2054" s="1" t="str">
        <f>"0031"</f>
        <v>0031</v>
      </c>
      <c r="I2054" s="1" t="s">
        <v>95</v>
      </c>
      <c r="J2054" s="1" t="str">
        <f>"01043977565"</f>
        <v>01043977565</v>
      </c>
      <c r="K2054" s="1" t="str">
        <f>"2017-03-25 15:16:59"</f>
        <v>2017-03-25 15:16:59</v>
      </c>
      <c r="L2054" s="1" t="str">
        <f>"-"</f>
        <v>-</v>
      </c>
      <c r="M2054" s="2">
        <v>0</v>
      </c>
      <c r="N2054" s="1" t="s">
        <v>33</v>
      </c>
      <c r="O2054" s="1" t="s">
        <v>34</v>
      </c>
      <c r="P2054" s="2">
        <v>2.3148148148148147E-5</v>
      </c>
      <c r="Q2054" s="1" t="str">
        <f>""</f>
        <v/>
      </c>
      <c r="R2054" s="1">
        <v>0</v>
      </c>
      <c r="S2054" s="1" t="str">
        <f>""</f>
        <v/>
      </c>
      <c r="T2054" s="1" t="s">
        <v>29</v>
      </c>
      <c r="U2054" s="1" t="s">
        <v>30</v>
      </c>
      <c r="V2054" s="1">
        <v>0</v>
      </c>
    </row>
    <row r="2055" spans="2:22" x14ac:dyDescent="0.15">
      <c r="B2055" s="1" t="str">
        <f>"186****8621"</f>
        <v>186****8621</v>
      </c>
      <c r="C2055" s="1" t="s">
        <v>41</v>
      </c>
      <c r="D2055" s="1" t="str">
        <f t="shared" si="205"/>
        <v>89177328</v>
      </c>
      <c r="E2055" s="1" t="s">
        <v>24</v>
      </c>
      <c r="F2055" s="1" t="str">
        <f t="shared" si="206"/>
        <v>0010</v>
      </c>
      <c r="G2055" s="1" t="str">
        <f>""</f>
        <v/>
      </c>
      <c r="H2055" s="1" t="str">
        <f>"0033"</f>
        <v>0033</v>
      </c>
      <c r="I2055" s="1" t="s">
        <v>106</v>
      </c>
      <c r="J2055" s="1" t="str">
        <f>"01043977567"</f>
        <v>01043977567</v>
      </c>
      <c r="K2055" s="1" t="str">
        <f>"2017-03-25 15:15:41"</f>
        <v>2017-03-25 15:15:41</v>
      </c>
      <c r="L2055" s="1" t="str">
        <f>"2017-03-25 15:15:51"</f>
        <v>2017-03-25 15:15:51</v>
      </c>
      <c r="M2055" s="2">
        <v>7.6273148148148151E-3</v>
      </c>
      <c r="N2055" s="1" t="s">
        <v>26</v>
      </c>
      <c r="O2055" s="1" t="s">
        <v>27</v>
      </c>
      <c r="P2055" s="2">
        <v>7.743055555555556E-3</v>
      </c>
      <c r="Q2055" s="1" t="s">
        <v>1488</v>
      </c>
      <c r="R2055" s="1">
        <v>0</v>
      </c>
      <c r="S2055" s="1" t="str">
        <f>""</f>
        <v/>
      </c>
      <c r="T2055" s="1" t="s">
        <v>29</v>
      </c>
      <c r="U2055" s="1" t="s">
        <v>30</v>
      </c>
      <c r="V2055" s="1">
        <v>0</v>
      </c>
    </row>
    <row r="2056" spans="2:22" x14ac:dyDescent="0.15">
      <c r="B2056" s="1" t="str">
        <f>"135****7759"</f>
        <v>135****7759</v>
      </c>
      <c r="C2056" s="1" t="s">
        <v>23</v>
      </c>
      <c r="D2056" s="1" t="str">
        <f t="shared" si="205"/>
        <v>89177328</v>
      </c>
      <c r="E2056" s="1" t="s">
        <v>24</v>
      </c>
      <c r="F2056" s="1" t="str">
        <f t="shared" si="206"/>
        <v>0010</v>
      </c>
      <c r="G2056" s="1" t="str">
        <f>""</f>
        <v/>
      </c>
      <c r="H2056" s="1" t="str">
        <f>"0031"</f>
        <v>0031</v>
      </c>
      <c r="I2056" s="1" t="s">
        <v>95</v>
      </c>
      <c r="J2056" s="1" t="str">
        <f>"01043977565"</f>
        <v>01043977565</v>
      </c>
      <c r="K2056" s="1" t="str">
        <f>"2017-03-25 14:46:44"</f>
        <v>2017-03-25 14:46:44</v>
      </c>
      <c r="L2056" s="1" t="str">
        <f>"2017-03-25 14:46:54"</f>
        <v>2017-03-25 14:46:54</v>
      </c>
      <c r="M2056" s="2">
        <v>8.7847222222222233E-3</v>
      </c>
      <c r="N2056" s="1" t="s">
        <v>26</v>
      </c>
      <c r="O2056" s="1" t="s">
        <v>27</v>
      </c>
      <c r="P2056" s="2">
        <v>8.9004629629629625E-3</v>
      </c>
      <c r="Q2056" s="1" t="s">
        <v>1489</v>
      </c>
      <c r="R2056" s="1">
        <v>0</v>
      </c>
      <c r="S2056" s="1" t="str">
        <f>""</f>
        <v/>
      </c>
      <c r="T2056" s="1" t="s">
        <v>29</v>
      </c>
      <c r="U2056" s="1" t="s">
        <v>30</v>
      </c>
      <c r="V2056" s="1">
        <v>0</v>
      </c>
    </row>
    <row r="2057" spans="2:22" x14ac:dyDescent="0.15">
      <c r="B2057" s="1" t="str">
        <f>"135****4366"</f>
        <v>135****4366</v>
      </c>
      <c r="C2057" s="1" t="s">
        <v>872</v>
      </c>
      <c r="D2057" s="1" t="str">
        <f t="shared" si="205"/>
        <v>89177328</v>
      </c>
      <c r="E2057" s="1" t="s">
        <v>24</v>
      </c>
      <c r="F2057" s="1" t="str">
        <f t="shared" si="206"/>
        <v>0010</v>
      </c>
      <c r="G2057" s="1" t="str">
        <f>""</f>
        <v/>
      </c>
      <c r="H2057" s="1" t="str">
        <f>"0034"</f>
        <v>0034</v>
      </c>
      <c r="I2057" s="1" t="s">
        <v>31</v>
      </c>
      <c r="J2057" s="1" t="str">
        <f>"01043977568"</f>
        <v>01043977568</v>
      </c>
      <c r="K2057" s="1" t="str">
        <f>"2017-03-25 14:01:04"</f>
        <v>2017-03-25 14:01:04</v>
      </c>
      <c r="L2057" s="1" t="str">
        <f>"-"</f>
        <v>-</v>
      </c>
      <c r="M2057" s="2">
        <v>0</v>
      </c>
      <c r="N2057" s="1" t="s">
        <v>33</v>
      </c>
      <c r="O2057" s="1" t="s">
        <v>34</v>
      </c>
      <c r="P2057" s="2">
        <v>2.3148148148148147E-5</v>
      </c>
      <c r="Q2057" s="1" t="str">
        <f>""</f>
        <v/>
      </c>
      <c r="R2057" s="1">
        <v>0</v>
      </c>
      <c r="S2057" s="1" t="str">
        <f>""</f>
        <v/>
      </c>
      <c r="T2057" s="1" t="s">
        <v>29</v>
      </c>
      <c r="U2057" s="1" t="s">
        <v>30</v>
      </c>
      <c r="V2057" s="1">
        <v>0</v>
      </c>
    </row>
    <row r="2058" spans="2:22" x14ac:dyDescent="0.15">
      <c r="B2058" s="1" t="str">
        <f>"188****8715"</f>
        <v>188****8715</v>
      </c>
      <c r="C2058" s="1" t="s">
        <v>23</v>
      </c>
      <c r="D2058" s="1" t="str">
        <f t="shared" si="205"/>
        <v>89177328</v>
      </c>
      <c r="E2058" s="1" t="s">
        <v>24</v>
      </c>
      <c r="F2058" s="1" t="str">
        <f t="shared" si="206"/>
        <v>0010</v>
      </c>
      <c r="G2058" s="1" t="str">
        <f>""</f>
        <v/>
      </c>
      <c r="H2058" s="1" t="str">
        <f>"0033"</f>
        <v>0033</v>
      </c>
      <c r="I2058" s="1" t="s">
        <v>106</v>
      </c>
      <c r="J2058" s="1" t="str">
        <f>"01043977567"</f>
        <v>01043977567</v>
      </c>
      <c r="K2058" s="1" t="str">
        <f>"2017-03-25 13:57:46"</f>
        <v>2017-03-25 13:57:46</v>
      </c>
      <c r="L2058" s="1" t="str">
        <f>"2017-03-25 13:57:55"</f>
        <v>2017-03-25 13:57:55</v>
      </c>
      <c r="M2058" s="2">
        <v>1.5081018518518516E-2</v>
      </c>
      <c r="N2058" s="1" t="s">
        <v>26</v>
      </c>
      <c r="O2058" s="1" t="s">
        <v>27</v>
      </c>
      <c r="P2058" s="2">
        <v>1.5185185185185185E-2</v>
      </c>
      <c r="Q2058" s="1" t="s">
        <v>1490</v>
      </c>
      <c r="R2058" s="1">
        <v>0</v>
      </c>
      <c r="S2058" s="1" t="str">
        <f>""</f>
        <v/>
      </c>
      <c r="T2058" s="1" t="s">
        <v>29</v>
      </c>
      <c r="U2058" s="1" t="s">
        <v>30</v>
      </c>
      <c r="V2058" s="1">
        <v>0</v>
      </c>
    </row>
    <row r="2059" spans="2:22" x14ac:dyDescent="0.15">
      <c r="B2059" s="1" t="str">
        <f>"186****4039"</f>
        <v>186****4039</v>
      </c>
      <c r="C2059" s="1" t="s">
        <v>51</v>
      </c>
      <c r="D2059" s="1" t="str">
        <f t="shared" si="205"/>
        <v>89177328</v>
      </c>
      <c r="E2059" s="1" t="s">
        <v>24</v>
      </c>
      <c r="F2059" s="1" t="str">
        <f t="shared" si="206"/>
        <v>0010</v>
      </c>
      <c r="G2059" s="1" t="str">
        <f>""</f>
        <v/>
      </c>
      <c r="H2059" s="1" t="str">
        <f>""</f>
        <v/>
      </c>
      <c r="I2059" s="1" t="str">
        <f>""</f>
        <v/>
      </c>
      <c r="J2059" s="1" t="str">
        <f>""</f>
        <v/>
      </c>
      <c r="K2059" s="1" t="str">
        <f>"2017-03-25 13:49:38"</f>
        <v>2017-03-25 13:49:38</v>
      </c>
      <c r="L2059" s="1" t="str">
        <f>"-"</f>
        <v>-</v>
      </c>
      <c r="M2059" s="2">
        <v>0</v>
      </c>
      <c r="N2059" s="1" t="s">
        <v>55</v>
      </c>
      <c r="O2059" s="1" t="s">
        <v>34</v>
      </c>
      <c r="P2059" s="2">
        <v>1.2037037037037038E-3</v>
      </c>
      <c r="Q2059" s="1" t="str">
        <f>""</f>
        <v/>
      </c>
      <c r="R2059" s="1">
        <v>0</v>
      </c>
      <c r="S2059" s="1" t="str">
        <f>""</f>
        <v/>
      </c>
      <c r="T2059" s="1" t="s">
        <v>29</v>
      </c>
      <c r="U2059" s="1" t="s">
        <v>30</v>
      </c>
      <c r="V2059" s="1">
        <v>0</v>
      </c>
    </row>
    <row r="2060" spans="2:22" x14ac:dyDescent="0.15">
      <c r="B2060" s="1" t="str">
        <f>"185****7958"</f>
        <v>185****7958</v>
      </c>
      <c r="C2060" s="1" t="s">
        <v>23</v>
      </c>
      <c r="D2060" s="1" t="str">
        <f t="shared" si="205"/>
        <v>89177328</v>
      </c>
      <c r="E2060" s="1" t="s">
        <v>24</v>
      </c>
      <c r="F2060" s="1" t="str">
        <f t="shared" si="206"/>
        <v>0010</v>
      </c>
      <c r="G2060" s="1" t="str">
        <f>""</f>
        <v/>
      </c>
      <c r="H2060" s="1" t="str">
        <f>""</f>
        <v/>
      </c>
      <c r="I2060" s="1" t="str">
        <f>""</f>
        <v/>
      </c>
      <c r="J2060" s="1" t="str">
        <f>""</f>
        <v/>
      </c>
      <c r="K2060" s="1" t="str">
        <f>"2017-03-25 13:47:24"</f>
        <v>2017-03-25 13:47:24</v>
      </c>
      <c r="L2060" s="1" t="str">
        <f>"-"</f>
        <v>-</v>
      </c>
      <c r="M2060" s="2">
        <v>0</v>
      </c>
      <c r="N2060" s="1" t="s">
        <v>55</v>
      </c>
      <c r="O2060" s="1" t="s">
        <v>34</v>
      </c>
      <c r="P2060" s="2">
        <v>1.9328703703703704E-3</v>
      </c>
      <c r="Q2060" s="1" t="str">
        <f>""</f>
        <v/>
      </c>
      <c r="R2060" s="1">
        <v>0</v>
      </c>
      <c r="S2060" s="1" t="str">
        <f>""</f>
        <v/>
      </c>
      <c r="T2060" s="1" t="s">
        <v>29</v>
      </c>
      <c r="U2060" s="1" t="s">
        <v>30</v>
      </c>
      <c r="V2060" s="1">
        <v>0</v>
      </c>
    </row>
    <row r="2061" spans="2:22" x14ac:dyDescent="0.15">
      <c r="B2061" s="1" t="str">
        <f>"183****8959"</f>
        <v>183****8959</v>
      </c>
      <c r="C2061" s="1" t="s">
        <v>35</v>
      </c>
      <c r="D2061" s="1" t="str">
        <f t="shared" si="205"/>
        <v>89177328</v>
      </c>
      <c r="E2061" s="1" t="s">
        <v>24</v>
      </c>
      <c r="F2061" s="1" t="str">
        <f t="shared" si="206"/>
        <v>0010</v>
      </c>
      <c r="G2061" s="1" t="str">
        <f>""</f>
        <v/>
      </c>
      <c r="H2061" s="1" t="str">
        <f>"0034"</f>
        <v>0034</v>
      </c>
      <c r="I2061" s="1" t="s">
        <v>31</v>
      </c>
      <c r="J2061" s="1" t="str">
        <f>"01043977568"</f>
        <v>01043977568</v>
      </c>
      <c r="K2061" s="1" t="str">
        <f>"2017-03-25 13:46:56"</f>
        <v>2017-03-25 13:46:56</v>
      </c>
      <c r="L2061" s="1" t="str">
        <f>"2017-03-25 13:47:07"</f>
        <v>2017-03-25 13:47:07</v>
      </c>
      <c r="M2061" s="2">
        <v>8.8657407407407417E-3</v>
      </c>
      <c r="N2061" s="1" t="s">
        <v>26</v>
      </c>
      <c r="O2061" s="1" t="s">
        <v>34</v>
      </c>
      <c r="P2061" s="2">
        <v>8.9930555555555545E-3</v>
      </c>
      <c r="Q2061" s="1" t="s">
        <v>1491</v>
      </c>
      <c r="R2061" s="1">
        <v>0</v>
      </c>
      <c r="S2061" s="1" t="str">
        <f>""</f>
        <v/>
      </c>
      <c r="T2061" s="1" t="s">
        <v>29</v>
      </c>
      <c r="U2061" s="1" t="s">
        <v>30</v>
      </c>
      <c r="V2061" s="1">
        <v>0</v>
      </c>
    </row>
    <row r="2062" spans="2:22" x14ac:dyDescent="0.15">
      <c r="B2062" s="1" t="str">
        <f>"177****8360"</f>
        <v>177****8360</v>
      </c>
      <c r="C2062" s="1" t="s">
        <v>51</v>
      </c>
      <c r="D2062" s="1" t="str">
        <f t="shared" si="205"/>
        <v>89177328</v>
      </c>
      <c r="E2062" s="1" t="s">
        <v>24</v>
      </c>
      <c r="F2062" s="1" t="str">
        <f t="shared" si="206"/>
        <v>0010</v>
      </c>
      <c r="G2062" s="1" t="str">
        <f>""</f>
        <v/>
      </c>
      <c r="H2062" s="1" t="str">
        <f>"0033"</f>
        <v>0033</v>
      </c>
      <c r="I2062" s="1" t="s">
        <v>106</v>
      </c>
      <c r="J2062" s="1" t="str">
        <f>"01043977567"</f>
        <v>01043977567</v>
      </c>
      <c r="K2062" s="1" t="str">
        <f>"2017-03-25 13:42:22"</f>
        <v>2017-03-25 13:42:22</v>
      </c>
      <c r="L2062" s="1" t="str">
        <f>"2017-03-25 13:42:32"</f>
        <v>2017-03-25 13:42:32</v>
      </c>
      <c r="M2062" s="2">
        <v>8.2523148148148148E-3</v>
      </c>
      <c r="N2062" s="1" t="s">
        <v>26</v>
      </c>
      <c r="O2062" s="1" t="s">
        <v>27</v>
      </c>
      <c r="P2062" s="2">
        <v>8.3680555555555557E-3</v>
      </c>
      <c r="Q2062" s="1" t="s">
        <v>1492</v>
      </c>
      <c r="R2062" s="1">
        <v>0</v>
      </c>
      <c r="S2062" s="1" t="str">
        <f>""</f>
        <v/>
      </c>
      <c r="T2062" s="1" t="s">
        <v>29</v>
      </c>
      <c r="U2062" s="1" t="s">
        <v>30</v>
      </c>
      <c r="V2062" s="1">
        <v>0</v>
      </c>
    </row>
    <row r="2063" spans="2:22" x14ac:dyDescent="0.15">
      <c r="B2063" s="1" t="str">
        <f>"180****3188"</f>
        <v>180****3188</v>
      </c>
      <c r="C2063" s="1" t="s">
        <v>51</v>
      </c>
      <c r="D2063" s="1" t="str">
        <f t="shared" si="205"/>
        <v>89177328</v>
      </c>
      <c r="E2063" s="1" t="s">
        <v>24</v>
      </c>
      <c r="F2063" s="1" t="str">
        <f t="shared" si="206"/>
        <v>0010</v>
      </c>
      <c r="G2063" s="1" t="str">
        <f>""</f>
        <v/>
      </c>
      <c r="H2063" s="1" t="str">
        <f>"0012"</f>
        <v>0012</v>
      </c>
      <c r="I2063" s="1" t="s">
        <v>612</v>
      </c>
      <c r="J2063" s="1" t="str">
        <f>"01043989720"</f>
        <v>01043989720</v>
      </c>
      <c r="K2063" s="1" t="str">
        <f>"2017-03-25 12:49:45"</f>
        <v>2017-03-25 12:49:45</v>
      </c>
      <c r="L2063" s="1" t="str">
        <f>"2017-03-25 12:49:59"</f>
        <v>2017-03-25 12:49:59</v>
      </c>
      <c r="M2063" s="2">
        <v>3.8773148148148143E-3</v>
      </c>
      <c r="N2063" s="1" t="s">
        <v>26</v>
      </c>
      <c r="O2063" s="1" t="s">
        <v>27</v>
      </c>
      <c r="P2063" s="2">
        <v>4.0393518518518521E-3</v>
      </c>
      <c r="Q2063" s="1" t="s">
        <v>1493</v>
      </c>
      <c r="R2063" s="1">
        <v>0</v>
      </c>
      <c r="S2063" s="1" t="str">
        <f>""</f>
        <v/>
      </c>
      <c r="T2063" s="1" t="s">
        <v>29</v>
      </c>
      <c r="U2063" s="1" t="s">
        <v>30</v>
      </c>
      <c r="V2063" s="1">
        <v>0</v>
      </c>
    </row>
    <row r="2064" spans="2:22" x14ac:dyDescent="0.15">
      <c r="B2064" s="1" t="str">
        <f>"132****8295"</f>
        <v>132****8295</v>
      </c>
      <c r="C2064" s="1" t="s">
        <v>23</v>
      </c>
      <c r="D2064" s="1" t="str">
        <f t="shared" si="205"/>
        <v>89177328</v>
      </c>
      <c r="E2064" s="1" t="s">
        <v>24</v>
      </c>
      <c r="F2064" s="1" t="str">
        <f t="shared" si="206"/>
        <v>0010</v>
      </c>
      <c r="G2064" s="1" t="str">
        <f>""</f>
        <v/>
      </c>
      <c r="H2064" s="1" t="str">
        <f>"0033"</f>
        <v>0033</v>
      </c>
      <c r="I2064" s="1" t="s">
        <v>106</v>
      </c>
      <c r="J2064" s="1" t="str">
        <f>"01043977567"</f>
        <v>01043977567</v>
      </c>
      <c r="K2064" s="1" t="str">
        <f>"2017-03-25 12:45:13"</f>
        <v>2017-03-25 12:45:13</v>
      </c>
      <c r="L2064" s="1" t="str">
        <f>"2017-03-25 12:45:44"</f>
        <v>2017-03-25 12:45:44</v>
      </c>
      <c r="M2064" s="2">
        <v>2.5694444444444445E-3</v>
      </c>
      <c r="N2064" s="1" t="s">
        <v>26</v>
      </c>
      <c r="O2064" s="1" t="s">
        <v>27</v>
      </c>
      <c r="P2064" s="2">
        <v>2.9282407407407412E-3</v>
      </c>
      <c r="Q2064" s="1" t="s">
        <v>1494</v>
      </c>
      <c r="R2064" s="1">
        <v>0</v>
      </c>
      <c r="S2064" s="1" t="str">
        <f>""</f>
        <v/>
      </c>
      <c r="T2064" s="1" t="s">
        <v>29</v>
      </c>
      <c r="U2064" s="1" t="s">
        <v>30</v>
      </c>
      <c r="V2064" s="1">
        <v>0</v>
      </c>
    </row>
    <row r="2065" spans="2:22" x14ac:dyDescent="0.15">
      <c r="B2065" s="1" t="str">
        <f>"186****2985"</f>
        <v>186****2985</v>
      </c>
      <c r="C2065" s="1" t="s">
        <v>872</v>
      </c>
      <c r="D2065" s="1" t="str">
        <f>"4000108333"</f>
        <v>4000108333</v>
      </c>
      <c r="E2065" s="1" t="s">
        <v>53</v>
      </c>
      <c r="F2065" s="1" t="str">
        <f>"0000"</f>
        <v>0000</v>
      </c>
      <c r="G2065" s="1" t="str">
        <f>""</f>
        <v/>
      </c>
      <c r="H2065" s="1" t="str">
        <f>"1010"</f>
        <v>1010</v>
      </c>
      <c r="I2065" s="1" t="s">
        <v>148</v>
      </c>
      <c r="J2065" s="1" t="str">
        <f>"13718091869"</f>
        <v>13718091869</v>
      </c>
      <c r="K2065" s="1" t="str">
        <f>"2017-03-25 12:26:57"</f>
        <v>2017-03-25 12:26:57</v>
      </c>
      <c r="L2065" s="1" t="str">
        <f>"2017-03-25 12:27:36"</f>
        <v>2017-03-25 12:27:36</v>
      </c>
      <c r="M2065" s="2">
        <v>1.3391203703703704E-2</v>
      </c>
      <c r="N2065" s="1" t="s">
        <v>26</v>
      </c>
      <c r="O2065" s="1" t="s">
        <v>27</v>
      </c>
      <c r="P2065" s="2">
        <v>1.3842592592592594E-2</v>
      </c>
      <c r="Q2065" s="1" t="s">
        <v>1495</v>
      </c>
      <c r="R2065" s="1">
        <v>2.4</v>
      </c>
      <c r="S2065" s="1" t="str">
        <f>""</f>
        <v/>
      </c>
      <c r="T2065" s="1" t="s">
        <v>29</v>
      </c>
      <c r="U2065" s="1" t="s">
        <v>30</v>
      </c>
      <c r="V2065" s="1">
        <v>0</v>
      </c>
    </row>
    <row r="2066" spans="2:22" x14ac:dyDescent="0.15">
      <c r="B2066" s="1" t="str">
        <f>"010****9879"</f>
        <v>010****9879</v>
      </c>
      <c r="C2066" s="1" t="s">
        <v>23</v>
      </c>
      <c r="D2066" s="1" t="str">
        <f t="shared" ref="D2066:D2129" si="207">"89177328"</f>
        <v>89177328</v>
      </c>
      <c r="E2066" s="1" t="s">
        <v>24</v>
      </c>
      <c r="F2066" s="1" t="str">
        <f t="shared" ref="F2066:F2097" si="208">"0010"</f>
        <v>0010</v>
      </c>
      <c r="G2066" s="1" t="str">
        <f>""</f>
        <v/>
      </c>
      <c r="H2066" s="1" t="str">
        <f>"0034"</f>
        <v>0034</v>
      </c>
      <c r="I2066" s="1" t="s">
        <v>31</v>
      </c>
      <c r="J2066" s="1" t="str">
        <f>"01043977568"</f>
        <v>01043977568</v>
      </c>
      <c r="K2066" s="1" t="str">
        <f>"2017-03-25 12:24:34"</f>
        <v>2017-03-25 12:24:34</v>
      </c>
      <c r="L2066" s="1" t="str">
        <f>"2017-03-25 12:24:46"</f>
        <v>2017-03-25 12:24:46</v>
      </c>
      <c r="M2066" s="2">
        <v>3.530092592592592E-3</v>
      </c>
      <c r="N2066" s="1" t="s">
        <v>26</v>
      </c>
      <c r="O2066" s="1" t="s">
        <v>27</v>
      </c>
      <c r="P2066" s="2">
        <v>3.6689814814814814E-3</v>
      </c>
      <c r="Q2066" s="1" t="s">
        <v>1496</v>
      </c>
      <c r="R2066" s="1">
        <v>0</v>
      </c>
      <c r="S2066" s="1" t="str">
        <f>""</f>
        <v/>
      </c>
      <c r="T2066" s="1" t="s">
        <v>29</v>
      </c>
      <c r="U2066" s="1" t="s">
        <v>30</v>
      </c>
      <c r="V2066" s="1">
        <v>0</v>
      </c>
    </row>
    <row r="2067" spans="2:22" x14ac:dyDescent="0.15">
      <c r="B2067" s="1" t="str">
        <f>"137****7162"</f>
        <v>137****7162</v>
      </c>
      <c r="C2067" s="1" t="s">
        <v>911</v>
      </c>
      <c r="D2067" s="1" t="str">
        <f t="shared" si="207"/>
        <v>89177328</v>
      </c>
      <c r="E2067" s="1" t="s">
        <v>24</v>
      </c>
      <c r="F2067" s="1" t="str">
        <f t="shared" si="208"/>
        <v>0010</v>
      </c>
      <c r="G2067" s="1" t="str">
        <f>""</f>
        <v/>
      </c>
      <c r="H2067" s="1" t="str">
        <f>"0031"</f>
        <v>0031</v>
      </c>
      <c r="I2067" s="1" t="s">
        <v>95</v>
      </c>
      <c r="J2067" s="1" t="str">
        <f>"01043977565"</f>
        <v>01043977565</v>
      </c>
      <c r="K2067" s="1" t="str">
        <f>"2017-03-25 12:06:13"</f>
        <v>2017-03-25 12:06:13</v>
      </c>
      <c r="L2067" s="1" t="str">
        <f>"2017-03-25 12:06:20"</f>
        <v>2017-03-25 12:06:20</v>
      </c>
      <c r="M2067" s="2">
        <v>2.488425925925926E-3</v>
      </c>
      <c r="N2067" s="1" t="s">
        <v>26</v>
      </c>
      <c r="O2067" s="1" t="s">
        <v>27</v>
      </c>
      <c r="P2067" s="2">
        <v>2.5694444444444445E-3</v>
      </c>
      <c r="Q2067" s="1" t="s">
        <v>1497</v>
      </c>
      <c r="R2067" s="1">
        <v>0</v>
      </c>
      <c r="S2067" s="1" t="str">
        <f>""</f>
        <v/>
      </c>
      <c r="T2067" s="1" t="s">
        <v>29</v>
      </c>
      <c r="U2067" s="1" t="s">
        <v>30</v>
      </c>
      <c r="V2067" s="1">
        <v>0</v>
      </c>
    </row>
    <row r="2068" spans="2:22" x14ac:dyDescent="0.15">
      <c r="B2068" s="1" t="str">
        <f>"139****8083"</f>
        <v>139****8083</v>
      </c>
      <c r="C2068" s="1" t="s">
        <v>23</v>
      </c>
      <c r="D2068" s="1" t="str">
        <f t="shared" si="207"/>
        <v>89177328</v>
      </c>
      <c r="E2068" s="1" t="s">
        <v>24</v>
      </c>
      <c r="F2068" s="1" t="str">
        <f t="shared" si="208"/>
        <v>0010</v>
      </c>
      <c r="G2068" s="1" t="str">
        <f>""</f>
        <v/>
      </c>
      <c r="H2068" s="1" t="str">
        <f>"0012"</f>
        <v>0012</v>
      </c>
      <c r="I2068" s="1" t="s">
        <v>612</v>
      </c>
      <c r="J2068" s="1" t="str">
        <f>"01043989720"</f>
        <v>01043989720</v>
      </c>
      <c r="K2068" s="1" t="str">
        <f>"2017-03-25 12:03:12"</f>
        <v>2017-03-25 12:03:12</v>
      </c>
      <c r="L2068" s="1" t="str">
        <f>"2017-03-25 12:03:26"</f>
        <v>2017-03-25 12:03:26</v>
      </c>
      <c r="M2068" s="2">
        <v>1.7546296296296296E-2</v>
      </c>
      <c r="N2068" s="1" t="s">
        <v>26</v>
      </c>
      <c r="O2068" s="1" t="s">
        <v>27</v>
      </c>
      <c r="P2068" s="2">
        <v>1.7708333333333333E-2</v>
      </c>
      <c r="Q2068" s="1" t="s">
        <v>1498</v>
      </c>
      <c r="R2068" s="1">
        <v>0</v>
      </c>
      <c r="S2068" s="1" t="str">
        <f>""</f>
        <v/>
      </c>
      <c r="T2068" s="1" t="s">
        <v>29</v>
      </c>
      <c r="U2068" s="1" t="s">
        <v>30</v>
      </c>
      <c r="V2068" s="1">
        <v>0</v>
      </c>
    </row>
    <row r="2069" spans="2:22" x14ac:dyDescent="0.15">
      <c r="B2069" s="1" t="str">
        <f>"177****0206"</f>
        <v>177****0206</v>
      </c>
      <c r="C2069" s="1" t="s">
        <v>23</v>
      </c>
      <c r="D2069" s="1" t="str">
        <f t="shared" si="207"/>
        <v>89177328</v>
      </c>
      <c r="E2069" s="1" t="s">
        <v>24</v>
      </c>
      <c r="F2069" s="1" t="str">
        <f t="shared" si="208"/>
        <v>0010</v>
      </c>
      <c r="G2069" s="1" t="str">
        <f>""</f>
        <v/>
      </c>
      <c r="H2069" s="1" t="str">
        <f>"0034"</f>
        <v>0034</v>
      </c>
      <c r="I2069" s="1" t="s">
        <v>31</v>
      </c>
      <c r="J2069" s="1" t="str">
        <f>"01043977568"</f>
        <v>01043977568</v>
      </c>
      <c r="K2069" s="1" t="str">
        <f>"2017-03-25 11:54:30"</f>
        <v>2017-03-25 11:54:30</v>
      </c>
      <c r="L2069" s="1" t="str">
        <f t="shared" ref="L2069:L2077" si="209">"-"</f>
        <v>-</v>
      </c>
      <c r="M2069" s="2">
        <v>0</v>
      </c>
      <c r="N2069" s="1" t="s">
        <v>33</v>
      </c>
      <c r="O2069" s="1" t="s">
        <v>34</v>
      </c>
      <c r="P2069" s="2">
        <v>8.1018518518518516E-5</v>
      </c>
      <c r="Q2069" s="1" t="str">
        <f>""</f>
        <v/>
      </c>
      <c r="R2069" s="1">
        <v>0</v>
      </c>
      <c r="S2069" s="1" t="str">
        <f>""</f>
        <v/>
      </c>
      <c r="T2069" s="1" t="s">
        <v>29</v>
      </c>
      <c r="U2069" s="1" t="s">
        <v>30</v>
      </c>
      <c r="V2069" s="1">
        <v>0</v>
      </c>
    </row>
    <row r="2070" spans="2:22" x14ac:dyDescent="0.15">
      <c r="B2070" s="1" t="str">
        <f>"133****9597"</f>
        <v>133****9597</v>
      </c>
      <c r="C2070" s="1" t="s">
        <v>23</v>
      </c>
      <c r="D2070" s="1" t="str">
        <f t="shared" si="207"/>
        <v>89177328</v>
      </c>
      <c r="E2070" s="1" t="s">
        <v>24</v>
      </c>
      <c r="F2070" s="1" t="str">
        <f t="shared" si="208"/>
        <v>0010</v>
      </c>
      <c r="G2070" s="1" t="str">
        <f>""</f>
        <v/>
      </c>
      <c r="H2070" s="1" t="str">
        <f>"0012"</f>
        <v>0012</v>
      </c>
      <c r="I2070" s="1" t="s">
        <v>612</v>
      </c>
      <c r="J2070" s="1" t="str">
        <f>"01043989720"</f>
        <v>01043989720</v>
      </c>
      <c r="K2070" s="1" t="str">
        <f>"2017-03-25 11:53:26"</f>
        <v>2017-03-25 11:53:26</v>
      </c>
      <c r="L2070" s="1" t="str">
        <f t="shared" si="209"/>
        <v>-</v>
      </c>
      <c r="M2070" s="2">
        <v>0</v>
      </c>
      <c r="N2070" s="1" t="s">
        <v>33</v>
      </c>
      <c r="O2070" s="1" t="s">
        <v>34</v>
      </c>
      <c r="P2070" s="2">
        <v>5.7870370370370366E-5</v>
      </c>
      <c r="Q2070" s="1" t="str">
        <f>""</f>
        <v/>
      </c>
      <c r="R2070" s="1">
        <v>0</v>
      </c>
      <c r="S2070" s="1" t="str">
        <f>""</f>
        <v/>
      </c>
      <c r="T2070" s="1" t="s">
        <v>29</v>
      </c>
      <c r="U2070" s="1" t="s">
        <v>30</v>
      </c>
      <c r="V2070" s="1">
        <v>0</v>
      </c>
    </row>
    <row r="2071" spans="2:22" x14ac:dyDescent="0.15">
      <c r="B2071" s="1" t="str">
        <f>"177****0206"</f>
        <v>177****0206</v>
      </c>
      <c r="C2071" s="1" t="s">
        <v>23</v>
      </c>
      <c r="D2071" s="1" t="str">
        <f t="shared" si="207"/>
        <v>89177328</v>
      </c>
      <c r="E2071" s="1" t="s">
        <v>24</v>
      </c>
      <c r="F2071" s="1" t="str">
        <f t="shared" si="208"/>
        <v>0010</v>
      </c>
      <c r="G2071" s="1" t="str">
        <f>""</f>
        <v/>
      </c>
      <c r="H2071" s="1" t="str">
        <f>"0034"</f>
        <v>0034</v>
      </c>
      <c r="I2071" s="1" t="s">
        <v>31</v>
      </c>
      <c r="J2071" s="1" t="str">
        <f>"01043977568"</f>
        <v>01043977568</v>
      </c>
      <c r="K2071" s="1" t="str">
        <f>"2017-03-25 11:52:08"</f>
        <v>2017-03-25 11:52:08</v>
      </c>
      <c r="L2071" s="1" t="str">
        <f t="shared" si="209"/>
        <v>-</v>
      </c>
      <c r="M2071" s="2">
        <v>0</v>
      </c>
      <c r="N2071" s="1" t="s">
        <v>33</v>
      </c>
      <c r="O2071" s="1" t="s">
        <v>34</v>
      </c>
      <c r="P2071" s="2">
        <v>8.1018518518518516E-5</v>
      </c>
      <c r="Q2071" s="1" t="str">
        <f>""</f>
        <v/>
      </c>
      <c r="R2071" s="1">
        <v>0</v>
      </c>
      <c r="S2071" s="1" t="str">
        <f>""</f>
        <v/>
      </c>
      <c r="T2071" s="1" t="s">
        <v>29</v>
      </c>
      <c r="U2071" s="1" t="s">
        <v>30</v>
      </c>
      <c r="V2071" s="1">
        <v>0</v>
      </c>
    </row>
    <row r="2072" spans="2:22" x14ac:dyDescent="0.15">
      <c r="B2072" s="1" t="str">
        <f>"133****9597"</f>
        <v>133****9597</v>
      </c>
      <c r="C2072" s="1" t="s">
        <v>23</v>
      </c>
      <c r="D2072" s="1" t="str">
        <f t="shared" si="207"/>
        <v>89177328</v>
      </c>
      <c r="E2072" s="1" t="s">
        <v>24</v>
      </c>
      <c r="F2072" s="1" t="str">
        <f t="shared" si="208"/>
        <v>0010</v>
      </c>
      <c r="G2072" s="1" t="str">
        <f>""</f>
        <v/>
      </c>
      <c r="H2072" s="1" t="str">
        <f>"0012"</f>
        <v>0012</v>
      </c>
      <c r="I2072" s="1" t="s">
        <v>612</v>
      </c>
      <c r="J2072" s="1" t="str">
        <f>"01043989720"</f>
        <v>01043989720</v>
      </c>
      <c r="K2072" s="1" t="str">
        <f>"2017-03-25 11:50:53"</f>
        <v>2017-03-25 11:50:53</v>
      </c>
      <c r="L2072" s="1" t="str">
        <f t="shared" si="209"/>
        <v>-</v>
      </c>
      <c r="M2072" s="2">
        <v>0</v>
      </c>
      <c r="N2072" s="1" t="s">
        <v>33</v>
      </c>
      <c r="O2072" s="1" t="s">
        <v>34</v>
      </c>
      <c r="P2072" s="2">
        <v>6.9444444444444444E-5</v>
      </c>
      <c r="Q2072" s="1" t="str">
        <f>""</f>
        <v/>
      </c>
      <c r="R2072" s="1">
        <v>0</v>
      </c>
      <c r="S2072" s="1" t="str">
        <f>""</f>
        <v/>
      </c>
      <c r="T2072" s="1" t="s">
        <v>29</v>
      </c>
      <c r="U2072" s="1" t="s">
        <v>30</v>
      </c>
      <c r="V2072" s="1">
        <v>0</v>
      </c>
    </row>
    <row r="2073" spans="2:22" x14ac:dyDescent="0.15">
      <c r="B2073" s="1" t="str">
        <f>"177****0206"</f>
        <v>177****0206</v>
      </c>
      <c r="C2073" s="1" t="s">
        <v>23</v>
      </c>
      <c r="D2073" s="1" t="str">
        <f t="shared" si="207"/>
        <v>89177328</v>
      </c>
      <c r="E2073" s="1" t="s">
        <v>24</v>
      </c>
      <c r="F2073" s="1" t="str">
        <f t="shared" si="208"/>
        <v>0010</v>
      </c>
      <c r="G2073" s="1" t="str">
        <f>""</f>
        <v/>
      </c>
      <c r="H2073" s="1" t="str">
        <f>"0012"</f>
        <v>0012</v>
      </c>
      <c r="I2073" s="1" t="s">
        <v>612</v>
      </c>
      <c r="J2073" s="1" t="str">
        <f>"01043989720"</f>
        <v>01043989720</v>
      </c>
      <c r="K2073" s="1" t="str">
        <f>"2017-03-25 11:50:04"</f>
        <v>2017-03-25 11:50:04</v>
      </c>
      <c r="L2073" s="1" t="str">
        <f t="shared" si="209"/>
        <v>-</v>
      </c>
      <c r="M2073" s="2">
        <v>0</v>
      </c>
      <c r="N2073" s="1" t="s">
        <v>33</v>
      </c>
      <c r="O2073" s="1" t="s">
        <v>34</v>
      </c>
      <c r="P2073" s="2">
        <v>1.0416666666666667E-4</v>
      </c>
      <c r="Q2073" s="1" t="str">
        <f>""</f>
        <v/>
      </c>
      <c r="R2073" s="1">
        <v>0</v>
      </c>
      <c r="S2073" s="1" t="str">
        <f>""</f>
        <v/>
      </c>
      <c r="T2073" s="1" t="s">
        <v>29</v>
      </c>
      <c r="U2073" s="1" t="s">
        <v>30</v>
      </c>
      <c r="V2073" s="1">
        <v>0</v>
      </c>
    </row>
    <row r="2074" spans="2:22" x14ac:dyDescent="0.15">
      <c r="B2074" s="1" t="str">
        <f>"133****9597"</f>
        <v>133****9597</v>
      </c>
      <c r="C2074" s="1" t="s">
        <v>23</v>
      </c>
      <c r="D2074" s="1" t="str">
        <f t="shared" si="207"/>
        <v>89177328</v>
      </c>
      <c r="E2074" s="1" t="s">
        <v>24</v>
      </c>
      <c r="F2074" s="1" t="str">
        <f t="shared" si="208"/>
        <v>0010</v>
      </c>
      <c r="G2074" s="1" t="str">
        <f>""</f>
        <v/>
      </c>
      <c r="H2074" s="1" t="str">
        <f>"0034"</f>
        <v>0034</v>
      </c>
      <c r="I2074" s="1" t="s">
        <v>31</v>
      </c>
      <c r="J2074" s="1" t="str">
        <f>"01043977568"</f>
        <v>01043977568</v>
      </c>
      <c r="K2074" s="1" t="str">
        <f>"2017-03-25 11:46:34"</f>
        <v>2017-03-25 11:46:34</v>
      </c>
      <c r="L2074" s="1" t="str">
        <f t="shared" si="209"/>
        <v>-</v>
      </c>
      <c r="M2074" s="2">
        <v>0</v>
      </c>
      <c r="N2074" s="1" t="s">
        <v>33</v>
      </c>
      <c r="O2074" s="1" t="s">
        <v>34</v>
      </c>
      <c r="P2074" s="2">
        <v>5.7870370370370366E-5</v>
      </c>
      <c r="Q2074" s="1" t="str">
        <f>""</f>
        <v/>
      </c>
      <c r="R2074" s="1">
        <v>0</v>
      </c>
      <c r="S2074" s="1" t="str">
        <f>""</f>
        <v/>
      </c>
      <c r="T2074" s="1" t="s">
        <v>29</v>
      </c>
      <c r="U2074" s="1" t="s">
        <v>30</v>
      </c>
      <c r="V2074" s="1">
        <v>0</v>
      </c>
    </row>
    <row r="2075" spans="2:22" x14ac:dyDescent="0.15">
      <c r="B2075" s="1" t="str">
        <f>"177****0206"</f>
        <v>177****0206</v>
      </c>
      <c r="C2075" s="1" t="s">
        <v>23</v>
      </c>
      <c r="D2075" s="1" t="str">
        <f t="shared" si="207"/>
        <v>89177328</v>
      </c>
      <c r="E2075" s="1" t="s">
        <v>24</v>
      </c>
      <c r="F2075" s="1" t="str">
        <f t="shared" si="208"/>
        <v>0010</v>
      </c>
      <c r="G2075" s="1" t="str">
        <f>""</f>
        <v/>
      </c>
      <c r="H2075" s="1" t="str">
        <f>"0034"</f>
        <v>0034</v>
      </c>
      <c r="I2075" s="1" t="s">
        <v>31</v>
      </c>
      <c r="J2075" s="1" t="str">
        <f>"01043977568"</f>
        <v>01043977568</v>
      </c>
      <c r="K2075" s="1" t="str">
        <f>"2017-03-25 11:45:27"</f>
        <v>2017-03-25 11:45:27</v>
      </c>
      <c r="L2075" s="1" t="str">
        <f t="shared" si="209"/>
        <v>-</v>
      </c>
      <c r="M2075" s="2">
        <v>0</v>
      </c>
      <c r="N2075" s="1" t="s">
        <v>33</v>
      </c>
      <c r="O2075" s="1" t="s">
        <v>34</v>
      </c>
      <c r="P2075" s="2">
        <v>9.2592592592592588E-5</v>
      </c>
      <c r="Q2075" s="1" t="str">
        <f>""</f>
        <v/>
      </c>
      <c r="R2075" s="1">
        <v>0</v>
      </c>
      <c r="S2075" s="1" t="str">
        <f>""</f>
        <v/>
      </c>
      <c r="T2075" s="1" t="s">
        <v>29</v>
      </c>
      <c r="U2075" s="1" t="s">
        <v>30</v>
      </c>
      <c r="V2075" s="1">
        <v>0</v>
      </c>
    </row>
    <row r="2076" spans="2:22" x14ac:dyDescent="0.15">
      <c r="B2076" s="1" t="str">
        <f>"133****9597"</f>
        <v>133****9597</v>
      </c>
      <c r="C2076" s="1" t="s">
        <v>23</v>
      </c>
      <c r="D2076" s="1" t="str">
        <f t="shared" si="207"/>
        <v>89177328</v>
      </c>
      <c r="E2076" s="1" t="s">
        <v>24</v>
      </c>
      <c r="F2076" s="1" t="str">
        <f t="shared" si="208"/>
        <v>0010</v>
      </c>
      <c r="G2076" s="1" t="str">
        <f>""</f>
        <v/>
      </c>
      <c r="H2076" s="1" t="str">
        <f>"0034"</f>
        <v>0034</v>
      </c>
      <c r="I2076" s="1" t="s">
        <v>31</v>
      </c>
      <c r="J2076" s="1" t="str">
        <f>"01043977568"</f>
        <v>01043977568</v>
      </c>
      <c r="K2076" s="1" t="str">
        <f>"2017-03-25 11:44:43"</f>
        <v>2017-03-25 11:44:43</v>
      </c>
      <c r="L2076" s="1" t="str">
        <f t="shared" si="209"/>
        <v>-</v>
      </c>
      <c r="M2076" s="2">
        <v>0</v>
      </c>
      <c r="N2076" s="1" t="s">
        <v>33</v>
      </c>
      <c r="O2076" s="1" t="s">
        <v>34</v>
      </c>
      <c r="P2076" s="2">
        <v>5.7870370370370366E-5</v>
      </c>
      <c r="Q2076" s="1" t="str">
        <f>""</f>
        <v/>
      </c>
      <c r="R2076" s="1">
        <v>0</v>
      </c>
      <c r="S2076" s="1" t="str">
        <f>""</f>
        <v/>
      </c>
      <c r="T2076" s="1" t="s">
        <v>29</v>
      </c>
      <c r="U2076" s="1" t="s">
        <v>30</v>
      </c>
      <c r="V2076" s="1">
        <v>0</v>
      </c>
    </row>
    <row r="2077" spans="2:22" x14ac:dyDescent="0.15">
      <c r="B2077" s="1" t="str">
        <f>"177****0206"</f>
        <v>177****0206</v>
      </c>
      <c r="C2077" s="1" t="s">
        <v>23</v>
      </c>
      <c r="D2077" s="1" t="str">
        <f t="shared" si="207"/>
        <v>89177328</v>
      </c>
      <c r="E2077" s="1" t="s">
        <v>24</v>
      </c>
      <c r="F2077" s="1" t="str">
        <f t="shared" si="208"/>
        <v>0010</v>
      </c>
      <c r="G2077" s="1" t="str">
        <f>""</f>
        <v/>
      </c>
      <c r="H2077" s="1" t="str">
        <f>"0012"</f>
        <v>0012</v>
      </c>
      <c r="I2077" s="1" t="s">
        <v>612</v>
      </c>
      <c r="J2077" s="1" t="str">
        <f>"01043989720"</f>
        <v>01043989720</v>
      </c>
      <c r="K2077" s="1" t="str">
        <f>"2017-03-25 11:42:57"</f>
        <v>2017-03-25 11:42:57</v>
      </c>
      <c r="L2077" s="1" t="str">
        <f t="shared" si="209"/>
        <v>-</v>
      </c>
      <c r="M2077" s="2">
        <v>0</v>
      </c>
      <c r="N2077" s="1" t="s">
        <v>33</v>
      </c>
      <c r="O2077" s="1" t="s">
        <v>34</v>
      </c>
      <c r="P2077" s="2">
        <v>1.1574074074074073E-4</v>
      </c>
      <c r="Q2077" s="1" t="str">
        <f>""</f>
        <v/>
      </c>
      <c r="R2077" s="1">
        <v>0</v>
      </c>
      <c r="S2077" s="1" t="str">
        <f>""</f>
        <v/>
      </c>
      <c r="T2077" s="1" t="s">
        <v>29</v>
      </c>
      <c r="U2077" s="1" t="s">
        <v>30</v>
      </c>
      <c r="V2077" s="1">
        <v>0</v>
      </c>
    </row>
    <row r="2078" spans="2:22" x14ac:dyDescent="0.15">
      <c r="B2078" s="1" t="str">
        <f>"138****6758"</f>
        <v>138****6758</v>
      </c>
      <c r="C2078" s="1" t="s">
        <v>51</v>
      </c>
      <c r="D2078" s="1" t="str">
        <f t="shared" si="207"/>
        <v>89177328</v>
      </c>
      <c r="E2078" s="1" t="s">
        <v>24</v>
      </c>
      <c r="F2078" s="1" t="str">
        <f t="shared" si="208"/>
        <v>0010</v>
      </c>
      <c r="G2078" s="1" t="str">
        <f>""</f>
        <v/>
      </c>
      <c r="H2078" s="1" t="str">
        <f>"0033"</f>
        <v>0033</v>
      </c>
      <c r="I2078" s="1" t="s">
        <v>106</v>
      </c>
      <c r="J2078" s="1" t="str">
        <f>"01043977567"</f>
        <v>01043977567</v>
      </c>
      <c r="K2078" s="1" t="str">
        <f>"2017-03-25 11:41:37"</f>
        <v>2017-03-25 11:41:37</v>
      </c>
      <c r="L2078" s="1" t="str">
        <f>"2017-03-25 11:41:46"</f>
        <v>2017-03-25 11:41:46</v>
      </c>
      <c r="M2078" s="2">
        <v>8.7962962962962962E-4</v>
      </c>
      <c r="N2078" s="1" t="s">
        <v>26</v>
      </c>
      <c r="O2078" s="1" t="s">
        <v>27</v>
      </c>
      <c r="P2078" s="2">
        <v>9.8379629629629642E-4</v>
      </c>
      <c r="Q2078" s="1" t="s">
        <v>1499</v>
      </c>
      <c r="R2078" s="1">
        <v>0</v>
      </c>
      <c r="S2078" s="1" t="str">
        <f>""</f>
        <v/>
      </c>
      <c r="T2078" s="1" t="s">
        <v>29</v>
      </c>
      <c r="U2078" s="1" t="s">
        <v>30</v>
      </c>
      <c r="V2078" s="1">
        <v>0</v>
      </c>
    </row>
    <row r="2079" spans="2:22" x14ac:dyDescent="0.15">
      <c r="B2079" s="1" t="str">
        <f>"133****0018"</f>
        <v>133****0018</v>
      </c>
      <c r="C2079" s="1" t="s">
        <v>23</v>
      </c>
      <c r="D2079" s="1" t="str">
        <f t="shared" si="207"/>
        <v>89177328</v>
      </c>
      <c r="E2079" s="1" t="s">
        <v>24</v>
      </c>
      <c r="F2079" s="1" t="str">
        <f t="shared" si="208"/>
        <v>0010</v>
      </c>
      <c r="G2079" s="1" t="str">
        <f>""</f>
        <v/>
      </c>
      <c r="H2079" s="1" t="str">
        <f>"0031"</f>
        <v>0031</v>
      </c>
      <c r="I2079" s="1" t="s">
        <v>95</v>
      </c>
      <c r="J2079" s="1" t="str">
        <f>"01043977565"</f>
        <v>01043977565</v>
      </c>
      <c r="K2079" s="1" t="str">
        <f>"2017-03-25 11:35:51"</f>
        <v>2017-03-25 11:35:51</v>
      </c>
      <c r="L2079" s="1" t="str">
        <f>"-"</f>
        <v>-</v>
      </c>
      <c r="M2079" s="2">
        <v>0</v>
      </c>
      <c r="N2079" s="1" t="s">
        <v>33</v>
      </c>
      <c r="O2079" s="1" t="s">
        <v>34</v>
      </c>
      <c r="P2079" s="2">
        <v>1.1574074074074073E-5</v>
      </c>
      <c r="Q2079" s="1" t="str">
        <f>""</f>
        <v/>
      </c>
      <c r="R2079" s="1">
        <v>0</v>
      </c>
      <c r="S2079" s="1" t="str">
        <f>""</f>
        <v/>
      </c>
      <c r="T2079" s="1" t="s">
        <v>29</v>
      </c>
      <c r="U2079" s="1" t="s">
        <v>30</v>
      </c>
      <c r="V2079" s="1">
        <v>0</v>
      </c>
    </row>
    <row r="2080" spans="2:22" x14ac:dyDescent="0.15">
      <c r="B2080" s="1" t="str">
        <f>"0319018513353725"</f>
        <v>0319018513353725</v>
      </c>
      <c r="C2080" s="1" t="s">
        <v>379</v>
      </c>
      <c r="D2080" s="1" t="str">
        <f t="shared" si="207"/>
        <v>89177328</v>
      </c>
      <c r="E2080" s="1" t="s">
        <v>24</v>
      </c>
      <c r="F2080" s="1" t="str">
        <f t="shared" si="208"/>
        <v>0010</v>
      </c>
      <c r="G2080" s="1" t="str">
        <f>""</f>
        <v/>
      </c>
      <c r="H2080" s="1" t="str">
        <f>"0033"</f>
        <v>0033</v>
      </c>
      <c r="I2080" s="1" t="s">
        <v>106</v>
      </c>
      <c r="J2080" s="1" t="str">
        <f>"01043977567"</f>
        <v>01043977567</v>
      </c>
      <c r="K2080" s="1" t="str">
        <f>"2017-03-25 11:18:17"</f>
        <v>2017-03-25 11:18:17</v>
      </c>
      <c r="L2080" s="1" t="str">
        <f>"2017-03-25 11:18:25"</f>
        <v>2017-03-25 11:18:25</v>
      </c>
      <c r="M2080" s="2">
        <v>1.4421296296296295E-2</v>
      </c>
      <c r="N2080" s="1" t="s">
        <v>26</v>
      </c>
      <c r="O2080" s="1" t="s">
        <v>27</v>
      </c>
      <c r="P2080" s="2">
        <v>1.4513888888888889E-2</v>
      </c>
      <c r="Q2080" s="1" t="s">
        <v>1500</v>
      </c>
      <c r="R2080" s="1">
        <v>0</v>
      </c>
      <c r="S2080" s="1" t="str">
        <f>""</f>
        <v/>
      </c>
      <c r="T2080" s="1" t="s">
        <v>29</v>
      </c>
      <c r="U2080" s="1" t="s">
        <v>30</v>
      </c>
      <c r="V2080" s="1">
        <v>0</v>
      </c>
    </row>
    <row r="2081" spans="2:22" x14ac:dyDescent="0.15">
      <c r="B2081" s="1" t="str">
        <f>"010****7921"</f>
        <v>010****7921</v>
      </c>
      <c r="C2081" s="1" t="s">
        <v>23</v>
      </c>
      <c r="D2081" s="1" t="str">
        <f t="shared" si="207"/>
        <v>89177328</v>
      </c>
      <c r="E2081" s="1" t="s">
        <v>24</v>
      </c>
      <c r="F2081" s="1" t="str">
        <f t="shared" si="208"/>
        <v>0010</v>
      </c>
      <c r="G2081" s="1" t="str">
        <f>""</f>
        <v/>
      </c>
      <c r="H2081" s="1" t="str">
        <f>"0031"</f>
        <v>0031</v>
      </c>
      <c r="I2081" s="1" t="s">
        <v>95</v>
      </c>
      <c r="J2081" s="1" t="str">
        <f>"01043977565"</f>
        <v>01043977565</v>
      </c>
      <c r="K2081" s="1" t="str">
        <f>"2017-03-25 11:05:43"</f>
        <v>2017-03-25 11:05:43</v>
      </c>
      <c r="L2081" s="1" t="str">
        <f>"2017-03-25 11:05:51"</f>
        <v>2017-03-25 11:05:51</v>
      </c>
      <c r="M2081" s="2">
        <v>3.530092592592592E-3</v>
      </c>
      <c r="N2081" s="1" t="s">
        <v>26</v>
      </c>
      <c r="O2081" s="1" t="s">
        <v>27</v>
      </c>
      <c r="P2081" s="2">
        <v>3.6226851851851854E-3</v>
      </c>
      <c r="Q2081" s="1" t="s">
        <v>1501</v>
      </c>
      <c r="R2081" s="1">
        <v>0</v>
      </c>
      <c r="S2081" s="1" t="str">
        <f>""</f>
        <v/>
      </c>
      <c r="T2081" s="1" t="s">
        <v>29</v>
      </c>
      <c r="U2081" s="1" t="s">
        <v>30</v>
      </c>
      <c r="V2081" s="1">
        <v>0</v>
      </c>
    </row>
    <row r="2082" spans="2:22" x14ac:dyDescent="0.15">
      <c r="B2082" s="1" t="str">
        <f>"159****8050"</f>
        <v>159****8050</v>
      </c>
      <c r="C2082" s="1" t="s">
        <v>23</v>
      </c>
      <c r="D2082" s="1" t="str">
        <f t="shared" si="207"/>
        <v>89177328</v>
      </c>
      <c r="E2082" s="1" t="s">
        <v>24</v>
      </c>
      <c r="F2082" s="1" t="str">
        <f t="shared" si="208"/>
        <v>0010</v>
      </c>
      <c r="G2082" s="1" t="str">
        <f>""</f>
        <v/>
      </c>
      <c r="H2082" s="1" t="str">
        <f>"0034"</f>
        <v>0034</v>
      </c>
      <c r="I2082" s="1" t="s">
        <v>31</v>
      </c>
      <c r="J2082" s="1" t="str">
        <f>"01043977568"</f>
        <v>01043977568</v>
      </c>
      <c r="K2082" s="1" t="str">
        <f>"2017-03-25 10:43:08"</f>
        <v>2017-03-25 10:43:08</v>
      </c>
      <c r="L2082" s="1" t="str">
        <f>"2017-03-25 10:43:15"</f>
        <v>2017-03-25 10:43:15</v>
      </c>
      <c r="M2082" s="2">
        <v>2.0370370370370373E-3</v>
      </c>
      <c r="N2082" s="1" t="s">
        <v>26</v>
      </c>
      <c r="O2082" s="1" t="s">
        <v>34</v>
      </c>
      <c r="P2082" s="2">
        <v>2.1180555555555553E-3</v>
      </c>
      <c r="Q2082" s="1" t="s">
        <v>1502</v>
      </c>
      <c r="R2082" s="1">
        <v>0</v>
      </c>
      <c r="S2082" s="1" t="str">
        <f>""</f>
        <v/>
      </c>
      <c r="T2082" s="1" t="s">
        <v>29</v>
      </c>
      <c r="U2082" s="1" t="s">
        <v>30</v>
      </c>
      <c r="V2082" s="1">
        <v>0</v>
      </c>
    </row>
    <row r="2083" spans="2:22" x14ac:dyDescent="0.15">
      <c r="B2083" s="1" t="str">
        <f>"136****6723"</f>
        <v>136****6723</v>
      </c>
      <c r="C2083" s="1" t="s">
        <v>23</v>
      </c>
      <c r="D2083" s="1" t="str">
        <f t="shared" si="207"/>
        <v>89177328</v>
      </c>
      <c r="E2083" s="1" t="s">
        <v>24</v>
      </c>
      <c r="F2083" s="1" t="str">
        <f t="shared" si="208"/>
        <v>0010</v>
      </c>
      <c r="G2083" s="1" t="str">
        <f>""</f>
        <v/>
      </c>
      <c r="H2083" s="1" t="str">
        <f>"0012"</f>
        <v>0012</v>
      </c>
      <c r="I2083" s="1" t="s">
        <v>612</v>
      </c>
      <c r="J2083" s="1" t="str">
        <f>"01043989720"</f>
        <v>01043989720</v>
      </c>
      <c r="K2083" s="1" t="str">
        <f>"2017-03-25 10:41:49"</f>
        <v>2017-03-25 10:41:49</v>
      </c>
      <c r="L2083" s="1" t="str">
        <f>"2017-03-25 10:42:01"</f>
        <v>2017-03-25 10:42:01</v>
      </c>
      <c r="M2083" s="2">
        <v>1.1527777777777777E-2</v>
      </c>
      <c r="N2083" s="1" t="s">
        <v>26</v>
      </c>
      <c r="O2083" s="1" t="s">
        <v>27</v>
      </c>
      <c r="P2083" s="2">
        <v>1.1666666666666667E-2</v>
      </c>
      <c r="Q2083" s="1" t="s">
        <v>1503</v>
      </c>
      <c r="R2083" s="1">
        <v>0</v>
      </c>
      <c r="S2083" s="1" t="str">
        <f>""</f>
        <v/>
      </c>
      <c r="T2083" s="1" t="s">
        <v>29</v>
      </c>
      <c r="U2083" s="1" t="s">
        <v>30</v>
      </c>
      <c r="V2083" s="1">
        <v>0</v>
      </c>
    </row>
    <row r="2084" spans="2:22" x14ac:dyDescent="0.15">
      <c r="B2084" s="1" t="str">
        <f>"186****5721"</f>
        <v>186****5721</v>
      </c>
      <c r="C2084" s="1" t="s">
        <v>23</v>
      </c>
      <c r="D2084" s="1" t="str">
        <f t="shared" si="207"/>
        <v>89177328</v>
      </c>
      <c r="E2084" s="1" t="s">
        <v>24</v>
      </c>
      <c r="F2084" s="1" t="str">
        <f t="shared" si="208"/>
        <v>0010</v>
      </c>
      <c r="G2084" s="1" t="str">
        <f>""</f>
        <v/>
      </c>
      <c r="H2084" s="1" t="str">
        <f>"0033"</f>
        <v>0033</v>
      </c>
      <c r="I2084" s="1" t="s">
        <v>106</v>
      </c>
      <c r="J2084" s="1" t="str">
        <f>"01043977567"</f>
        <v>01043977567</v>
      </c>
      <c r="K2084" s="1" t="str">
        <f>"2017-03-25 10:37:02"</f>
        <v>2017-03-25 10:37:02</v>
      </c>
      <c r="L2084" s="1" t="str">
        <f>"2017-03-25 10:37:10"</f>
        <v>2017-03-25 10:37:10</v>
      </c>
      <c r="M2084" s="2">
        <v>9.4444444444444445E-3</v>
      </c>
      <c r="N2084" s="1" t="s">
        <v>26</v>
      </c>
      <c r="O2084" s="1" t="s">
        <v>27</v>
      </c>
      <c r="P2084" s="2">
        <v>9.5370370370370366E-3</v>
      </c>
      <c r="Q2084" s="1" t="s">
        <v>1504</v>
      </c>
      <c r="R2084" s="1">
        <v>0</v>
      </c>
      <c r="S2084" s="1" t="str">
        <f>""</f>
        <v/>
      </c>
      <c r="T2084" s="1" t="s">
        <v>29</v>
      </c>
      <c r="U2084" s="1" t="s">
        <v>30</v>
      </c>
      <c r="V2084" s="1">
        <v>0</v>
      </c>
    </row>
    <row r="2085" spans="2:22" x14ac:dyDescent="0.15">
      <c r="B2085" s="1" t="str">
        <f>"187****9388"</f>
        <v>187****9388</v>
      </c>
      <c r="C2085" s="1" t="s">
        <v>1505</v>
      </c>
      <c r="D2085" s="1" t="str">
        <f t="shared" si="207"/>
        <v>89177328</v>
      </c>
      <c r="E2085" s="1" t="s">
        <v>24</v>
      </c>
      <c r="F2085" s="1" t="str">
        <f t="shared" si="208"/>
        <v>0010</v>
      </c>
      <c r="G2085" s="1" t="str">
        <f>""</f>
        <v/>
      </c>
      <c r="H2085" s="1" t="str">
        <f>"0034"</f>
        <v>0034</v>
      </c>
      <c r="I2085" s="1" t="s">
        <v>31</v>
      </c>
      <c r="J2085" s="1" t="str">
        <f>"01043977568"</f>
        <v>01043977568</v>
      </c>
      <c r="K2085" s="1" t="str">
        <f>"2017-03-25 10:31:50"</f>
        <v>2017-03-25 10:31:50</v>
      </c>
      <c r="L2085" s="1" t="str">
        <f>"2017-03-25 10:31:59"</f>
        <v>2017-03-25 10:31:59</v>
      </c>
      <c r="M2085" s="2">
        <v>2.5231481481481481E-3</v>
      </c>
      <c r="N2085" s="1" t="s">
        <v>26</v>
      </c>
      <c r="O2085" s="1" t="s">
        <v>27</v>
      </c>
      <c r="P2085" s="2">
        <v>2.627314814814815E-3</v>
      </c>
      <c r="Q2085" s="1" t="s">
        <v>1506</v>
      </c>
      <c r="R2085" s="1">
        <v>0</v>
      </c>
      <c r="S2085" s="1" t="str">
        <f>""</f>
        <v/>
      </c>
      <c r="T2085" s="1" t="s">
        <v>29</v>
      </c>
      <c r="U2085" s="1" t="s">
        <v>30</v>
      </c>
      <c r="V2085" s="1">
        <v>0</v>
      </c>
    </row>
    <row r="2086" spans="2:22" x14ac:dyDescent="0.15">
      <c r="B2086" s="1" t="str">
        <f>"180****8205"</f>
        <v>180****8205</v>
      </c>
      <c r="C2086" s="1" t="s">
        <v>193</v>
      </c>
      <c r="D2086" s="1" t="str">
        <f t="shared" si="207"/>
        <v>89177328</v>
      </c>
      <c r="E2086" s="1" t="s">
        <v>24</v>
      </c>
      <c r="F2086" s="1" t="str">
        <f t="shared" si="208"/>
        <v>0010</v>
      </c>
      <c r="G2086" s="1" t="str">
        <f>""</f>
        <v/>
      </c>
      <c r="H2086" s="1" t="str">
        <f>"0033"</f>
        <v>0033</v>
      </c>
      <c r="I2086" s="1" t="s">
        <v>106</v>
      </c>
      <c r="J2086" s="1" t="str">
        <f>"01043977567"</f>
        <v>01043977567</v>
      </c>
      <c r="K2086" s="1" t="str">
        <f>"2017-03-25 10:05:13"</f>
        <v>2017-03-25 10:05:13</v>
      </c>
      <c r="L2086" s="1" t="str">
        <f>"2017-03-25 10:05:21"</f>
        <v>2017-03-25 10:05:21</v>
      </c>
      <c r="M2086" s="2">
        <v>9.7222222222222224E-3</v>
      </c>
      <c r="N2086" s="1" t="s">
        <v>26</v>
      </c>
      <c r="O2086" s="1" t="s">
        <v>27</v>
      </c>
      <c r="P2086" s="2">
        <v>9.8148148148148144E-3</v>
      </c>
      <c r="Q2086" s="1" t="s">
        <v>1507</v>
      </c>
      <c r="R2086" s="1">
        <v>0</v>
      </c>
      <c r="S2086" s="1" t="str">
        <f>""</f>
        <v/>
      </c>
      <c r="T2086" s="1" t="s">
        <v>29</v>
      </c>
      <c r="U2086" s="1" t="s">
        <v>30</v>
      </c>
      <c r="V2086" s="1">
        <v>0</v>
      </c>
    </row>
    <row r="2087" spans="2:22" x14ac:dyDescent="0.15">
      <c r="B2087" s="1" t="str">
        <f>"135****7759"</f>
        <v>135****7759</v>
      </c>
      <c r="C2087" s="1" t="s">
        <v>23</v>
      </c>
      <c r="D2087" s="1" t="str">
        <f t="shared" si="207"/>
        <v>89177328</v>
      </c>
      <c r="E2087" s="1" t="s">
        <v>24</v>
      </c>
      <c r="F2087" s="1" t="str">
        <f t="shared" si="208"/>
        <v>0010</v>
      </c>
      <c r="G2087" s="1" t="str">
        <f>""</f>
        <v/>
      </c>
      <c r="H2087" s="1" t="str">
        <f>"0034"</f>
        <v>0034</v>
      </c>
      <c r="I2087" s="1" t="s">
        <v>31</v>
      </c>
      <c r="J2087" s="1" t="str">
        <f>"01043977568"</f>
        <v>01043977568</v>
      </c>
      <c r="K2087" s="1" t="str">
        <f>"2017-03-25 09:59:32"</f>
        <v>2017-03-25 09:59:32</v>
      </c>
      <c r="L2087" s="1" t="str">
        <f>"2017-03-25 09:59:42"</f>
        <v>2017-03-25 09:59:42</v>
      </c>
      <c r="M2087" s="2">
        <v>6.2499999999999995E-3</v>
      </c>
      <c r="N2087" s="1" t="s">
        <v>26</v>
      </c>
      <c r="O2087" s="1" t="s">
        <v>34</v>
      </c>
      <c r="P2087" s="2">
        <v>6.3657407407407404E-3</v>
      </c>
      <c r="Q2087" s="1" t="s">
        <v>1508</v>
      </c>
      <c r="R2087" s="1">
        <v>0</v>
      </c>
      <c r="S2087" s="1" t="str">
        <f>""</f>
        <v/>
      </c>
      <c r="T2087" s="1" t="s">
        <v>29</v>
      </c>
      <c r="U2087" s="1" t="s">
        <v>30</v>
      </c>
      <c r="V2087" s="1">
        <v>0</v>
      </c>
    </row>
    <row r="2088" spans="2:22" x14ac:dyDescent="0.15">
      <c r="B2088" s="1" t="str">
        <f>"156****2371"</f>
        <v>156****2371</v>
      </c>
      <c r="C2088" s="1" t="s">
        <v>23</v>
      </c>
      <c r="D2088" s="1" t="str">
        <f t="shared" si="207"/>
        <v>89177328</v>
      </c>
      <c r="E2088" s="1" t="s">
        <v>24</v>
      </c>
      <c r="F2088" s="1" t="str">
        <f t="shared" si="208"/>
        <v>0010</v>
      </c>
      <c r="G2088" s="1" t="str">
        <f>""</f>
        <v/>
      </c>
      <c r="H2088" s="1" t="str">
        <f>"0033"</f>
        <v>0033</v>
      </c>
      <c r="I2088" s="1" t="s">
        <v>106</v>
      </c>
      <c r="J2088" s="1" t="str">
        <f>"01043977567"</f>
        <v>01043977567</v>
      </c>
      <c r="K2088" s="1" t="str">
        <f>"2017-03-25 09:51:17"</f>
        <v>2017-03-25 09:51:17</v>
      </c>
      <c r="L2088" s="1" t="str">
        <f>"2017-03-25 09:51:27"</f>
        <v>2017-03-25 09:51:27</v>
      </c>
      <c r="M2088" s="2">
        <v>3.4953703703703705E-3</v>
      </c>
      <c r="N2088" s="1" t="s">
        <v>26</v>
      </c>
      <c r="O2088" s="1" t="s">
        <v>27</v>
      </c>
      <c r="P2088" s="2">
        <v>3.6111111111111114E-3</v>
      </c>
      <c r="Q2088" s="1" t="s">
        <v>1509</v>
      </c>
      <c r="R2088" s="1">
        <v>0</v>
      </c>
      <c r="S2088" s="1" t="str">
        <f>""</f>
        <v/>
      </c>
      <c r="T2088" s="1" t="s">
        <v>29</v>
      </c>
      <c r="U2088" s="1" t="s">
        <v>30</v>
      </c>
      <c r="V2088" s="1">
        <v>0</v>
      </c>
    </row>
    <row r="2089" spans="2:22" x14ac:dyDescent="0.15">
      <c r="B2089" s="1" t="str">
        <f>"158****1908"</f>
        <v>158****1908</v>
      </c>
      <c r="C2089" s="1" t="s">
        <v>872</v>
      </c>
      <c r="D2089" s="1" t="str">
        <f t="shared" si="207"/>
        <v>89177328</v>
      </c>
      <c r="E2089" s="1" t="s">
        <v>24</v>
      </c>
      <c r="F2089" s="1" t="str">
        <f t="shared" si="208"/>
        <v>0010</v>
      </c>
      <c r="G2089" s="1" t="str">
        <f>""</f>
        <v/>
      </c>
      <c r="H2089" s="1" t="str">
        <f>"0034"</f>
        <v>0034</v>
      </c>
      <c r="I2089" s="1" t="s">
        <v>31</v>
      </c>
      <c r="J2089" s="1" t="str">
        <f>"01043977568"</f>
        <v>01043977568</v>
      </c>
      <c r="K2089" s="1" t="str">
        <f>"2017-03-25 09:41:06"</f>
        <v>2017-03-25 09:41:06</v>
      </c>
      <c r="L2089" s="1" t="str">
        <f>"2017-03-25 09:41:17"</f>
        <v>2017-03-25 09:41:17</v>
      </c>
      <c r="M2089" s="2">
        <v>8.7037037037037031E-3</v>
      </c>
      <c r="N2089" s="1" t="s">
        <v>26</v>
      </c>
      <c r="O2089" s="1" t="s">
        <v>34</v>
      </c>
      <c r="P2089" s="2">
        <v>8.8310185185185176E-3</v>
      </c>
      <c r="Q2089" s="1" t="s">
        <v>1510</v>
      </c>
      <c r="R2089" s="1">
        <v>0</v>
      </c>
      <c r="S2089" s="1" t="str">
        <f>""</f>
        <v/>
      </c>
      <c r="T2089" s="1" t="s">
        <v>29</v>
      </c>
      <c r="U2089" s="1" t="s">
        <v>30</v>
      </c>
      <c r="V2089" s="1">
        <v>0</v>
      </c>
    </row>
    <row r="2090" spans="2:22" x14ac:dyDescent="0.15">
      <c r="B2090" s="1" t="str">
        <f>"186****5983"</f>
        <v>186****5983</v>
      </c>
      <c r="C2090" s="1" t="s">
        <v>872</v>
      </c>
      <c r="D2090" s="1" t="str">
        <f t="shared" si="207"/>
        <v>89177328</v>
      </c>
      <c r="E2090" s="1" t="s">
        <v>24</v>
      </c>
      <c r="F2090" s="1" t="str">
        <f t="shared" si="208"/>
        <v>0010</v>
      </c>
      <c r="G2090" s="1" t="str">
        <f>""</f>
        <v/>
      </c>
      <c r="H2090" s="1" t="str">
        <f>"0034"</f>
        <v>0034</v>
      </c>
      <c r="I2090" s="1" t="s">
        <v>31</v>
      </c>
      <c r="J2090" s="1" t="str">
        <f>"01043977568"</f>
        <v>01043977568</v>
      </c>
      <c r="K2090" s="1" t="str">
        <f>"2017-03-25 09:34:16"</f>
        <v>2017-03-25 09:34:16</v>
      </c>
      <c r="L2090" s="1" t="str">
        <f>"-"</f>
        <v>-</v>
      </c>
      <c r="M2090" s="2">
        <v>0</v>
      </c>
      <c r="N2090" s="1" t="s">
        <v>33</v>
      </c>
      <c r="O2090" s="1" t="s">
        <v>34</v>
      </c>
      <c r="P2090" s="2">
        <v>2.3148148148148147E-5</v>
      </c>
      <c r="Q2090" s="1" t="str">
        <f>""</f>
        <v/>
      </c>
      <c r="R2090" s="1">
        <v>0</v>
      </c>
      <c r="S2090" s="1" t="str">
        <f>""</f>
        <v/>
      </c>
      <c r="T2090" s="1" t="s">
        <v>29</v>
      </c>
      <c r="U2090" s="1" t="s">
        <v>30</v>
      </c>
      <c r="V2090" s="1">
        <v>0</v>
      </c>
    </row>
    <row r="2091" spans="2:22" x14ac:dyDescent="0.15">
      <c r="B2091" s="1" t="str">
        <f>"189****1619"</f>
        <v>189****1619</v>
      </c>
      <c r="C2091" s="1" t="s">
        <v>23</v>
      </c>
      <c r="D2091" s="1" t="str">
        <f t="shared" si="207"/>
        <v>89177328</v>
      </c>
      <c r="E2091" s="1" t="s">
        <v>24</v>
      </c>
      <c r="F2091" s="1" t="str">
        <f t="shared" si="208"/>
        <v>0010</v>
      </c>
      <c r="G2091" s="1" t="str">
        <f>""</f>
        <v/>
      </c>
      <c r="H2091" s="1" t="str">
        <f>"0034"</f>
        <v>0034</v>
      </c>
      <c r="I2091" s="1" t="s">
        <v>31</v>
      </c>
      <c r="J2091" s="1" t="str">
        <f>"01043977568"</f>
        <v>01043977568</v>
      </c>
      <c r="K2091" s="1" t="str">
        <f>"2017-03-25 09:16:54"</f>
        <v>2017-03-25 09:16:54</v>
      </c>
      <c r="L2091" s="1" t="str">
        <f>"2017-03-25 09:17:05"</f>
        <v>2017-03-25 09:17:05</v>
      </c>
      <c r="M2091" s="2">
        <v>1.5046296296296294E-3</v>
      </c>
      <c r="N2091" s="1" t="s">
        <v>26</v>
      </c>
      <c r="O2091" s="1" t="s">
        <v>34</v>
      </c>
      <c r="P2091" s="2">
        <v>1.6319444444444445E-3</v>
      </c>
      <c r="Q2091" s="1" t="s">
        <v>1511</v>
      </c>
      <c r="R2091" s="1">
        <v>0</v>
      </c>
      <c r="S2091" s="1" t="str">
        <f>""</f>
        <v/>
      </c>
      <c r="T2091" s="1" t="s">
        <v>29</v>
      </c>
      <c r="U2091" s="1" t="s">
        <v>30</v>
      </c>
      <c r="V2091" s="1">
        <v>0</v>
      </c>
    </row>
    <row r="2092" spans="2:22" x14ac:dyDescent="0.15">
      <c r="B2092" s="1" t="str">
        <f>"150****0688"</f>
        <v>150****0688</v>
      </c>
      <c r="C2092" s="1" t="s">
        <v>1512</v>
      </c>
      <c r="D2092" s="1" t="str">
        <f t="shared" si="207"/>
        <v>89177328</v>
      </c>
      <c r="E2092" s="1" t="s">
        <v>24</v>
      </c>
      <c r="F2092" s="1" t="str">
        <f t="shared" si="208"/>
        <v>0010</v>
      </c>
      <c r="G2092" s="1" t="str">
        <f>""</f>
        <v/>
      </c>
      <c r="H2092" s="1" t="str">
        <f>"0033"</f>
        <v>0033</v>
      </c>
      <c r="I2092" s="1" t="s">
        <v>106</v>
      </c>
      <c r="J2092" s="1" t="str">
        <f>"01043977567"</f>
        <v>01043977567</v>
      </c>
      <c r="K2092" s="1" t="str">
        <f>"2017-03-25 08:57:09"</f>
        <v>2017-03-25 08:57:09</v>
      </c>
      <c r="L2092" s="1" t="str">
        <f>"-"</f>
        <v>-</v>
      </c>
      <c r="M2092" s="2">
        <v>0</v>
      </c>
      <c r="N2092" s="1" t="s">
        <v>33</v>
      </c>
      <c r="O2092" s="1" t="s">
        <v>34</v>
      </c>
      <c r="P2092" s="2">
        <v>1.1574074074074073E-5</v>
      </c>
      <c r="Q2092" s="1" t="str">
        <f>""</f>
        <v/>
      </c>
      <c r="R2092" s="1">
        <v>0</v>
      </c>
      <c r="S2092" s="1" t="str">
        <f>""</f>
        <v/>
      </c>
      <c r="T2092" s="1" t="s">
        <v>29</v>
      </c>
      <c r="U2092" s="1" t="s">
        <v>30</v>
      </c>
      <c r="V2092" s="1">
        <v>0</v>
      </c>
    </row>
    <row r="2093" spans="2:22" x14ac:dyDescent="0.15">
      <c r="B2093" s="1" t="str">
        <f>"136****6020"</f>
        <v>136****6020</v>
      </c>
      <c r="C2093" s="1" t="s">
        <v>23</v>
      </c>
      <c r="D2093" s="1" t="str">
        <f t="shared" si="207"/>
        <v>89177328</v>
      </c>
      <c r="E2093" s="1" t="s">
        <v>24</v>
      </c>
      <c r="F2093" s="1" t="str">
        <f t="shared" si="208"/>
        <v>0010</v>
      </c>
      <c r="G2093" s="1" t="str">
        <f>""</f>
        <v/>
      </c>
      <c r="H2093" s="1" t="str">
        <f>"0034"</f>
        <v>0034</v>
      </c>
      <c r="I2093" s="1" t="s">
        <v>31</v>
      </c>
      <c r="J2093" s="1" t="str">
        <f>"01043977568"</f>
        <v>01043977568</v>
      </c>
      <c r="K2093" s="1" t="str">
        <f>"2017-03-25 08:54:34"</f>
        <v>2017-03-25 08:54:34</v>
      </c>
      <c r="L2093" s="1" t="str">
        <f>"-"</f>
        <v>-</v>
      </c>
      <c r="M2093" s="2">
        <v>0</v>
      </c>
      <c r="N2093" s="1" t="s">
        <v>33</v>
      </c>
      <c r="O2093" s="1" t="s">
        <v>34</v>
      </c>
      <c r="P2093" s="2">
        <v>2.3148148148148147E-5</v>
      </c>
      <c r="Q2093" s="1" t="str">
        <f>""</f>
        <v/>
      </c>
      <c r="R2093" s="1">
        <v>0</v>
      </c>
      <c r="S2093" s="1" t="str">
        <f>""</f>
        <v/>
      </c>
      <c r="T2093" s="1" t="s">
        <v>29</v>
      </c>
      <c r="U2093" s="1" t="s">
        <v>30</v>
      </c>
      <c r="V2093" s="1">
        <v>0</v>
      </c>
    </row>
    <row r="2094" spans="2:22" x14ac:dyDescent="0.15">
      <c r="B2094" s="1" t="str">
        <f>"010****1296"</f>
        <v>010****1296</v>
      </c>
      <c r="C2094" s="1" t="s">
        <v>23</v>
      </c>
      <c r="D2094" s="1" t="str">
        <f t="shared" si="207"/>
        <v>89177328</v>
      </c>
      <c r="E2094" s="1" t="s">
        <v>24</v>
      </c>
      <c r="F2094" s="1" t="str">
        <f t="shared" si="208"/>
        <v>0010</v>
      </c>
      <c r="G2094" s="1" t="str">
        <f>""</f>
        <v/>
      </c>
      <c r="H2094" s="1" t="str">
        <f>"0034"</f>
        <v>0034</v>
      </c>
      <c r="I2094" s="1" t="s">
        <v>31</v>
      </c>
      <c r="J2094" s="1" t="str">
        <f>"01043977568"</f>
        <v>01043977568</v>
      </c>
      <c r="K2094" s="1" t="str">
        <f>"2017-03-25 08:40:09"</f>
        <v>2017-03-25 08:40:09</v>
      </c>
      <c r="L2094" s="1" t="str">
        <f>"2017-03-25 08:40:18"</f>
        <v>2017-03-25 08:40:18</v>
      </c>
      <c r="M2094" s="2">
        <v>5.208333333333333E-3</v>
      </c>
      <c r="N2094" s="1" t="s">
        <v>26</v>
      </c>
      <c r="O2094" s="1" t="s">
        <v>34</v>
      </c>
      <c r="P2094" s="2">
        <v>5.3125000000000004E-3</v>
      </c>
      <c r="Q2094" s="1" t="s">
        <v>1513</v>
      </c>
      <c r="R2094" s="1">
        <v>0</v>
      </c>
      <c r="S2094" s="1" t="str">
        <f>""</f>
        <v/>
      </c>
      <c r="T2094" s="1" t="s">
        <v>29</v>
      </c>
      <c r="U2094" s="1" t="s">
        <v>30</v>
      </c>
      <c r="V2094" s="1">
        <v>0</v>
      </c>
    </row>
    <row r="2095" spans="2:22" x14ac:dyDescent="0.15">
      <c r="B2095" s="1" t="str">
        <f>"159****5540"</f>
        <v>159****5540</v>
      </c>
      <c r="C2095" s="1" t="s">
        <v>568</v>
      </c>
      <c r="D2095" s="1" t="str">
        <f t="shared" si="207"/>
        <v>89177328</v>
      </c>
      <c r="E2095" s="1" t="s">
        <v>24</v>
      </c>
      <c r="F2095" s="1" t="str">
        <f t="shared" si="208"/>
        <v>0010</v>
      </c>
      <c r="G2095" s="1" t="str">
        <f>""</f>
        <v/>
      </c>
      <c r="H2095" s="1" t="str">
        <f>"0033"</f>
        <v>0033</v>
      </c>
      <c r="I2095" s="1" t="s">
        <v>106</v>
      </c>
      <c r="J2095" s="1" t="str">
        <f>"01043977567"</f>
        <v>01043977567</v>
      </c>
      <c r="K2095" s="1" t="str">
        <f>"2017-03-25 08:37:23"</f>
        <v>2017-03-25 08:37:23</v>
      </c>
      <c r="L2095" s="1" t="str">
        <f>"2017-03-25 08:37:34"</f>
        <v>2017-03-25 08:37:34</v>
      </c>
      <c r="M2095" s="2">
        <v>4.0393518518518521E-3</v>
      </c>
      <c r="N2095" s="1" t="s">
        <v>26</v>
      </c>
      <c r="O2095" s="1" t="s">
        <v>27</v>
      </c>
      <c r="P2095" s="2">
        <v>4.1666666666666666E-3</v>
      </c>
      <c r="Q2095" s="1" t="s">
        <v>1514</v>
      </c>
      <c r="R2095" s="1">
        <v>0</v>
      </c>
      <c r="S2095" s="1" t="str">
        <f>""</f>
        <v/>
      </c>
      <c r="T2095" s="1" t="s">
        <v>29</v>
      </c>
      <c r="U2095" s="1" t="s">
        <v>30</v>
      </c>
      <c r="V2095" s="1">
        <v>0</v>
      </c>
    </row>
    <row r="2096" spans="2:22" x14ac:dyDescent="0.15">
      <c r="B2096" s="1" t="str">
        <f>"041****2357"</f>
        <v>041****2357</v>
      </c>
      <c r="C2096" s="1" t="s">
        <v>273</v>
      </c>
      <c r="D2096" s="1" t="str">
        <f t="shared" si="207"/>
        <v>89177328</v>
      </c>
      <c r="E2096" s="1" t="s">
        <v>24</v>
      </c>
      <c r="F2096" s="1" t="str">
        <f t="shared" si="208"/>
        <v>0010</v>
      </c>
      <c r="G2096" s="1" t="str">
        <f>""</f>
        <v/>
      </c>
      <c r="H2096" s="1" t="str">
        <f>"0012"</f>
        <v>0012</v>
      </c>
      <c r="I2096" s="1" t="s">
        <v>612</v>
      </c>
      <c r="J2096" s="1" t="str">
        <f>"01043989720"</f>
        <v>01043989720</v>
      </c>
      <c r="K2096" s="1" t="str">
        <f>"2017-03-25 08:20:13"</f>
        <v>2017-03-25 08:20:13</v>
      </c>
      <c r="L2096" s="1" t="str">
        <f>"2017-03-25 08:20:27"</f>
        <v>2017-03-25 08:20:27</v>
      </c>
      <c r="M2096" s="2">
        <v>5.4282407407407404E-3</v>
      </c>
      <c r="N2096" s="1" t="s">
        <v>26</v>
      </c>
      <c r="O2096" s="1" t="s">
        <v>34</v>
      </c>
      <c r="P2096" s="2">
        <v>5.5902777777777782E-3</v>
      </c>
      <c r="Q2096" s="1" t="s">
        <v>1515</v>
      </c>
      <c r="R2096" s="1">
        <v>0</v>
      </c>
      <c r="S2096" s="1" t="str">
        <f>""</f>
        <v/>
      </c>
      <c r="T2096" s="1" t="s">
        <v>29</v>
      </c>
      <c r="U2096" s="1" t="s">
        <v>30</v>
      </c>
      <c r="V2096" s="1">
        <v>0</v>
      </c>
    </row>
    <row r="2097" spans="2:22" x14ac:dyDescent="0.15">
      <c r="B2097" s="1" t="str">
        <f>"041****2357"</f>
        <v>041****2357</v>
      </c>
      <c r="C2097" s="1" t="s">
        <v>273</v>
      </c>
      <c r="D2097" s="1" t="str">
        <f t="shared" si="207"/>
        <v>89177328</v>
      </c>
      <c r="E2097" s="1" t="s">
        <v>24</v>
      </c>
      <c r="F2097" s="1" t="str">
        <f t="shared" si="208"/>
        <v>0010</v>
      </c>
      <c r="G2097" s="1" t="str">
        <f>""</f>
        <v/>
      </c>
      <c r="H2097" s="1" t="str">
        <f>""</f>
        <v/>
      </c>
      <c r="I2097" s="1" t="str">
        <f>""</f>
        <v/>
      </c>
      <c r="J2097" s="1" t="str">
        <f>""</f>
        <v/>
      </c>
      <c r="K2097" s="1" t="str">
        <f>"2017-03-25 08:13:06"</f>
        <v>2017-03-25 08:13:06</v>
      </c>
      <c r="L2097" s="1" t="str">
        <f>"-"</f>
        <v>-</v>
      </c>
      <c r="M2097" s="2">
        <v>0</v>
      </c>
      <c r="N2097" s="1" t="s">
        <v>55</v>
      </c>
      <c r="O2097" s="1" t="s">
        <v>34</v>
      </c>
      <c r="P2097" s="2">
        <v>1.1574074074074073E-5</v>
      </c>
      <c r="Q2097" s="1" t="str">
        <f>""</f>
        <v/>
      </c>
      <c r="R2097" s="1">
        <v>0</v>
      </c>
      <c r="S2097" s="1" t="str">
        <f>""</f>
        <v/>
      </c>
      <c r="T2097" s="1" t="s">
        <v>29</v>
      </c>
      <c r="U2097" s="1" t="s">
        <v>30</v>
      </c>
      <c r="V2097" s="1">
        <v>0</v>
      </c>
    </row>
    <row r="2098" spans="2:22" x14ac:dyDescent="0.15">
      <c r="B2098" s="1" t="str">
        <f>"186****6546"</f>
        <v>186****6546</v>
      </c>
      <c r="C2098" s="1" t="s">
        <v>23</v>
      </c>
      <c r="D2098" s="1" t="str">
        <f t="shared" si="207"/>
        <v>89177328</v>
      </c>
      <c r="E2098" s="1" t="s">
        <v>181</v>
      </c>
      <c r="F2098" s="1" t="str">
        <f>""</f>
        <v/>
      </c>
      <c r="G2098" s="1" t="str">
        <f>""</f>
        <v/>
      </c>
      <c r="H2098" s="1" t="str">
        <f>""</f>
        <v/>
      </c>
      <c r="I2098" s="1" t="str">
        <f>""</f>
        <v/>
      </c>
      <c r="J2098" s="1" t="str">
        <f>""</f>
        <v/>
      </c>
      <c r="K2098" s="1" t="str">
        <f>"2017-03-25 07:59:02"</f>
        <v>2017-03-25 07:59:02</v>
      </c>
      <c r="L2098" s="1" t="str">
        <f>"-"</f>
        <v>-</v>
      </c>
      <c r="M2098" s="2">
        <v>0</v>
      </c>
      <c r="N2098" s="1" t="s">
        <v>55</v>
      </c>
      <c r="O2098" s="1" t="s">
        <v>34</v>
      </c>
      <c r="P2098" s="2">
        <v>1.1574074074074073E-4</v>
      </c>
      <c r="Q2098" s="1" t="str">
        <f>""</f>
        <v/>
      </c>
      <c r="R2098" s="1">
        <v>0</v>
      </c>
      <c r="S2098" s="1" t="str">
        <f>""</f>
        <v/>
      </c>
      <c r="T2098" s="1" t="s">
        <v>183</v>
      </c>
      <c r="U2098" s="1" t="s">
        <v>30</v>
      </c>
      <c r="V2098" s="1">
        <v>0</v>
      </c>
    </row>
    <row r="2099" spans="2:22" x14ac:dyDescent="0.15">
      <c r="B2099" s="1" t="str">
        <f>"188****9359"</f>
        <v>188****9359</v>
      </c>
      <c r="C2099" s="1" t="s">
        <v>23</v>
      </c>
      <c r="D2099" s="1" t="str">
        <f t="shared" si="207"/>
        <v>89177328</v>
      </c>
      <c r="E2099" s="1" t="s">
        <v>181</v>
      </c>
      <c r="F2099" s="1" t="str">
        <f>""</f>
        <v/>
      </c>
      <c r="G2099" s="1" t="str">
        <f>""</f>
        <v/>
      </c>
      <c r="H2099" s="1" t="str">
        <f>""</f>
        <v/>
      </c>
      <c r="I2099" s="1" t="str">
        <f>""</f>
        <v/>
      </c>
      <c r="J2099" s="1" t="str">
        <f>""</f>
        <v/>
      </c>
      <c r="K2099" s="1" t="str">
        <f>"2017-03-24 21:15:04"</f>
        <v>2017-03-24 21:15:04</v>
      </c>
      <c r="L2099" s="1" t="str">
        <f>"2017-03-24 21:15:15"</f>
        <v>2017-03-24 21:15:15</v>
      </c>
      <c r="M2099" s="2">
        <v>1.0300925925925926E-3</v>
      </c>
      <c r="N2099" s="1" t="s">
        <v>55</v>
      </c>
      <c r="O2099" s="1" t="s">
        <v>34</v>
      </c>
      <c r="P2099" s="2">
        <v>1.1574074074074073E-3</v>
      </c>
      <c r="Q2099" s="1" t="s">
        <v>1516</v>
      </c>
      <c r="R2099" s="1">
        <v>0</v>
      </c>
      <c r="S2099" s="1" t="str">
        <f>""</f>
        <v/>
      </c>
      <c r="T2099" s="1" t="s">
        <v>183</v>
      </c>
      <c r="U2099" s="1" t="s">
        <v>30</v>
      </c>
      <c r="V2099" s="1">
        <v>0</v>
      </c>
    </row>
    <row r="2100" spans="2:22" x14ac:dyDescent="0.15">
      <c r="B2100" s="1" t="str">
        <f>"186****1118"</f>
        <v>186****1118</v>
      </c>
      <c r="C2100" s="1" t="s">
        <v>1517</v>
      </c>
      <c r="D2100" s="1" t="str">
        <f t="shared" si="207"/>
        <v>89177328</v>
      </c>
      <c r="E2100" s="1" t="s">
        <v>24</v>
      </c>
      <c r="F2100" s="1" t="str">
        <f t="shared" ref="F2100:F2151" si="210">"0010"</f>
        <v>0010</v>
      </c>
      <c r="G2100" s="1" t="str">
        <f>""</f>
        <v/>
      </c>
      <c r="H2100" s="1" t="str">
        <f>"0018"</f>
        <v>0018</v>
      </c>
      <c r="I2100" s="1" t="s">
        <v>36</v>
      </c>
      <c r="J2100" s="1" t="str">
        <f>"01043989718"</f>
        <v>01043989718</v>
      </c>
      <c r="K2100" s="1" t="str">
        <f>"2017-03-24 20:42:02"</f>
        <v>2017-03-24 20:42:02</v>
      </c>
      <c r="L2100" s="1" t="str">
        <f>"2017-03-24 20:42:16"</f>
        <v>2017-03-24 20:42:16</v>
      </c>
      <c r="M2100" s="2">
        <v>6.0879629629629643E-3</v>
      </c>
      <c r="N2100" s="1" t="s">
        <v>26</v>
      </c>
      <c r="O2100" s="1" t="s">
        <v>34</v>
      </c>
      <c r="P2100" s="2">
        <v>6.2499999999999995E-3</v>
      </c>
      <c r="Q2100" s="1" t="s">
        <v>1518</v>
      </c>
      <c r="R2100" s="1">
        <v>0</v>
      </c>
      <c r="S2100" s="1" t="str">
        <f>""</f>
        <v/>
      </c>
      <c r="T2100" s="1" t="s">
        <v>29</v>
      </c>
      <c r="U2100" s="1" t="s">
        <v>30</v>
      </c>
      <c r="V2100" s="1">
        <v>0</v>
      </c>
    </row>
    <row r="2101" spans="2:22" x14ac:dyDescent="0.15">
      <c r="B2101" s="1" t="str">
        <f>"185****0735"</f>
        <v>185****0735</v>
      </c>
      <c r="C2101" s="1" t="s">
        <v>23</v>
      </c>
      <c r="D2101" s="1" t="str">
        <f t="shared" si="207"/>
        <v>89177328</v>
      </c>
      <c r="E2101" s="1" t="s">
        <v>24</v>
      </c>
      <c r="F2101" s="1" t="str">
        <f t="shared" si="210"/>
        <v>0010</v>
      </c>
      <c r="G2101" s="1" t="str">
        <f>""</f>
        <v/>
      </c>
      <c r="H2101" s="1" t="str">
        <f>"0018"</f>
        <v>0018</v>
      </c>
      <c r="I2101" s="1" t="s">
        <v>36</v>
      </c>
      <c r="J2101" s="1" t="str">
        <f>"01043989718"</f>
        <v>01043989718</v>
      </c>
      <c r="K2101" s="1" t="str">
        <f>"2017-03-24 20:12:45"</f>
        <v>2017-03-24 20:12:45</v>
      </c>
      <c r="L2101" s="1" t="str">
        <f>"2017-03-24 20:12:52"</f>
        <v>2017-03-24 20:12:52</v>
      </c>
      <c r="M2101" s="2">
        <v>5.138888888888889E-3</v>
      </c>
      <c r="N2101" s="1" t="s">
        <v>26</v>
      </c>
      <c r="O2101" s="1" t="s">
        <v>34</v>
      </c>
      <c r="P2101" s="2">
        <v>5.2199074074074066E-3</v>
      </c>
      <c r="Q2101" s="1" t="s">
        <v>1519</v>
      </c>
      <c r="R2101" s="1">
        <v>0</v>
      </c>
      <c r="S2101" s="1" t="str">
        <f>""</f>
        <v/>
      </c>
      <c r="T2101" s="1" t="s">
        <v>29</v>
      </c>
      <c r="U2101" s="1" t="s">
        <v>30</v>
      </c>
      <c r="V2101" s="1">
        <v>0</v>
      </c>
    </row>
    <row r="2102" spans="2:22" x14ac:dyDescent="0.15">
      <c r="B2102" s="1" t="str">
        <f>"0315133****1520"</f>
        <v>0315133****1520</v>
      </c>
      <c r="C2102" s="1" t="s">
        <v>76</v>
      </c>
      <c r="D2102" s="1" t="str">
        <f t="shared" si="207"/>
        <v>89177328</v>
      </c>
      <c r="E2102" s="1" t="s">
        <v>24</v>
      </c>
      <c r="F2102" s="1" t="str">
        <f t="shared" si="210"/>
        <v>0010</v>
      </c>
      <c r="G2102" s="1" t="str">
        <f>""</f>
        <v/>
      </c>
      <c r="H2102" s="1" t="str">
        <f>""</f>
        <v/>
      </c>
      <c r="I2102" s="1" t="str">
        <f>""</f>
        <v/>
      </c>
      <c r="J2102" s="1" t="str">
        <f>""</f>
        <v/>
      </c>
      <c r="K2102" s="1" t="str">
        <f>"2017-03-24 20:03:42"</f>
        <v>2017-03-24 20:03:42</v>
      </c>
      <c r="L2102" s="1" t="str">
        <f>"-"</f>
        <v>-</v>
      </c>
      <c r="M2102" s="2">
        <v>0</v>
      </c>
      <c r="N2102" s="1" t="s">
        <v>55</v>
      </c>
      <c r="O2102" s="1" t="s">
        <v>34</v>
      </c>
      <c r="P2102" s="2">
        <v>9.8379629629629642E-4</v>
      </c>
      <c r="Q2102" s="1" t="str">
        <f>""</f>
        <v/>
      </c>
      <c r="R2102" s="1">
        <v>0</v>
      </c>
      <c r="S2102" s="1" t="str">
        <f>""</f>
        <v/>
      </c>
      <c r="T2102" s="1" t="s">
        <v>29</v>
      </c>
      <c r="U2102" s="1" t="s">
        <v>30</v>
      </c>
      <c r="V2102" s="1">
        <v>0</v>
      </c>
    </row>
    <row r="2103" spans="2:22" x14ac:dyDescent="0.15">
      <c r="B2103" s="1" t="str">
        <f>"139****7253"</f>
        <v>139****7253</v>
      </c>
      <c r="C2103" s="1" t="s">
        <v>137</v>
      </c>
      <c r="D2103" s="1" t="str">
        <f t="shared" si="207"/>
        <v>89177328</v>
      </c>
      <c r="E2103" s="1" t="s">
        <v>24</v>
      </c>
      <c r="F2103" s="1" t="str">
        <f t="shared" si="210"/>
        <v>0010</v>
      </c>
      <c r="G2103" s="1" t="str">
        <f>""</f>
        <v/>
      </c>
      <c r="H2103" s="1" t="str">
        <f>"0018"</f>
        <v>0018</v>
      </c>
      <c r="I2103" s="1" t="s">
        <v>36</v>
      </c>
      <c r="J2103" s="1" t="str">
        <f>"01043989718"</f>
        <v>01043989718</v>
      </c>
      <c r="K2103" s="1" t="str">
        <f>"2017-03-24 20:02:23"</f>
        <v>2017-03-24 20:02:23</v>
      </c>
      <c r="L2103" s="1" t="str">
        <f>"2017-03-24 20:02:30"</f>
        <v>2017-03-24 20:02:30</v>
      </c>
      <c r="M2103" s="2">
        <v>3.3101851851851851E-3</v>
      </c>
      <c r="N2103" s="1" t="s">
        <v>26</v>
      </c>
      <c r="O2103" s="1" t="s">
        <v>34</v>
      </c>
      <c r="P2103" s="2">
        <v>3.3912037037037036E-3</v>
      </c>
      <c r="Q2103" s="1" t="s">
        <v>1520</v>
      </c>
      <c r="R2103" s="1">
        <v>0</v>
      </c>
      <c r="S2103" s="1" t="str">
        <f>""</f>
        <v/>
      </c>
      <c r="T2103" s="1" t="s">
        <v>29</v>
      </c>
      <c r="U2103" s="1" t="s">
        <v>30</v>
      </c>
      <c r="V2103" s="1">
        <v>0</v>
      </c>
    </row>
    <row r="2104" spans="2:22" x14ac:dyDescent="0.15">
      <c r="B2104" s="1" t="str">
        <f>"138****5769"</f>
        <v>138****5769</v>
      </c>
      <c r="C2104" s="1" t="s">
        <v>226</v>
      </c>
      <c r="D2104" s="1" t="str">
        <f t="shared" si="207"/>
        <v>89177328</v>
      </c>
      <c r="E2104" s="1" t="s">
        <v>24</v>
      </c>
      <c r="F2104" s="1" t="str">
        <f t="shared" si="210"/>
        <v>0010</v>
      </c>
      <c r="G2104" s="1" t="str">
        <f>""</f>
        <v/>
      </c>
      <c r="H2104" s="1" t="str">
        <f>""</f>
        <v/>
      </c>
      <c r="I2104" s="1" t="str">
        <f>""</f>
        <v/>
      </c>
      <c r="J2104" s="1" t="str">
        <f>""</f>
        <v/>
      </c>
      <c r="K2104" s="1" t="str">
        <f>"2017-03-24 19:58:51"</f>
        <v>2017-03-24 19:58:51</v>
      </c>
      <c r="L2104" s="1" t="str">
        <f>"-"</f>
        <v>-</v>
      </c>
      <c r="M2104" s="2">
        <v>0</v>
      </c>
      <c r="N2104" s="1" t="s">
        <v>55</v>
      </c>
      <c r="O2104" s="1" t="s">
        <v>34</v>
      </c>
      <c r="P2104" s="2">
        <v>5.5555555555555556E-4</v>
      </c>
      <c r="Q2104" s="1" t="str">
        <f>""</f>
        <v/>
      </c>
      <c r="R2104" s="1">
        <v>0</v>
      </c>
      <c r="S2104" s="1" t="str">
        <f>""</f>
        <v/>
      </c>
      <c r="T2104" s="1" t="s">
        <v>29</v>
      </c>
      <c r="U2104" s="1" t="s">
        <v>30</v>
      </c>
      <c r="V2104" s="1">
        <v>0</v>
      </c>
    </row>
    <row r="2105" spans="2:22" x14ac:dyDescent="0.15">
      <c r="B2105" s="1" t="str">
        <f>"135****0996"</f>
        <v>135****0996</v>
      </c>
      <c r="C2105" s="1" t="s">
        <v>23</v>
      </c>
      <c r="D2105" s="1" t="str">
        <f t="shared" si="207"/>
        <v>89177328</v>
      </c>
      <c r="E2105" s="1" t="s">
        <v>24</v>
      </c>
      <c r="F2105" s="1" t="str">
        <f t="shared" si="210"/>
        <v>0010</v>
      </c>
      <c r="G2105" s="1" t="str">
        <f>""</f>
        <v/>
      </c>
      <c r="H2105" s="1" t="str">
        <f>""</f>
        <v/>
      </c>
      <c r="I2105" s="1" t="str">
        <f>""</f>
        <v/>
      </c>
      <c r="J2105" s="1" t="str">
        <f>""</f>
        <v/>
      </c>
      <c r="K2105" s="1" t="str">
        <f>"2017-03-24 19:51:52"</f>
        <v>2017-03-24 19:51:52</v>
      </c>
      <c r="L2105" s="1" t="str">
        <f>"-"</f>
        <v>-</v>
      </c>
      <c r="M2105" s="2">
        <v>0</v>
      </c>
      <c r="N2105" s="1" t="s">
        <v>55</v>
      </c>
      <c r="O2105" s="1" t="s">
        <v>34</v>
      </c>
      <c r="P2105" s="2">
        <v>5.9027777777777778E-4</v>
      </c>
      <c r="Q2105" s="1" t="str">
        <f>""</f>
        <v/>
      </c>
      <c r="R2105" s="1">
        <v>0</v>
      </c>
      <c r="S2105" s="1" t="str">
        <f>""</f>
        <v/>
      </c>
      <c r="T2105" s="1" t="s">
        <v>29</v>
      </c>
      <c r="U2105" s="1" t="s">
        <v>30</v>
      </c>
      <c r="V2105" s="1">
        <v>0</v>
      </c>
    </row>
    <row r="2106" spans="2:22" x14ac:dyDescent="0.15">
      <c r="B2106" s="1" t="str">
        <f>"158****6080"</f>
        <v>158****6080</v>
      </c>
      <c r="C2106" s="1" t="s">
        <v>23</v>
      </c>
      <c r="D2106" s="1" t="str">
        <f t="shared" si="207"/>
        <v>89177328</v>
      </c>
      <c r="E2106" s="1" t="s">
        <v>24</v>
      </c>
      <c r="F2106" s="1" t="str">
        <f t="shared" si="210"/>
        <v>0010</v>
      </c>
      <c r="G2106" s="1" t="str">
        <f>""</f>
        <v/>
      </c>
      <c r="H2106" s="1" t="str">
        <f>"0018"</f>
        <v>0018</v>
      </c>
      <c r="I2106" s="1" t="s">
        <v>36</v>
      </c>
      <c r="J2106" s="1" t="str">
        <f>"01043989718"</f>
        <v>01043989718</v>
      </c>
      <c r="K2106" s="1" t="str">
        <f>"2017-03-24 19:45:00"</f>
        <v>2017-03-24 19:45:00</v>
      </c>
      <c r="L2106" s="1" t="str">
        <f>"2017-03-24 19:45:09"</f>
        <v>2017-03-24 19:45:09</v>
      </c>
      <c r="M2106" s="2">
        <v>9.9884259259259266E-3</v>
      </c>
      <c r="N2106" s="1" t="s">
        <v>26</v>
      </c>
      <c r="O2106" s="1" t="s">
        <v>34</v>
      </c>
      <c r="P2106" s="2">
        <v>1.0092592592592592E-2</v>
      </c>
      <c r="Q2106" s="1" t="s">
        <v>1521</v>
      </c>
      <c r="R2106" s="1">
        <v>0</v>
      </c>
      <c r="S2106" s="1" t="str">
        <f>""</f>
        <v/>
      </c>
      <c r="T2106" s="1" t="s">
        <v>29</v>
      </c>
      <c r="U2106" s="1" t="s">
        <v>30</v>
      </c>
      <c r="V2106" s="1">
        <v>0</v>
      </c>
    </row>
    <row r="2107" spans="2:22" x14ac:dyDescent="0.15">
      <c r="B2107" s="1" t="str">
        <f>"186****8989"</f>
        <v>186****8989</v>
      </c>
      <c r="C2107" s="1" t="s">
        <v>23</v>
      </c>
      <c r="D2107" s="1" t="str">
        <f t="shared" si="207"/>
        <v>89177328</v>
      </c>
      <c r="E2107" s="1" t="s">
        <v>24</v>
      </c>
      <c r="F2107" s="1" t="str">
        <f t="shared" si="210"/>
        <v>0010</v>
      </c>
      <c r="G2107" s="1" t="str">
        <f>""</f>
        <v/>
      </c>
      <c r="H2107" s="1" t="str">
        <f>"0032"</f>
        <v>0032</v>
      </c>
      <c r="I2107" s="1" t="s">
        <v>119</v>
      </c>
      <c r="J2107" s="1" t="str">
        <f>"01043977566"</f>
        <v>01043977566</v>
      </c>
      <c r="K2107" s="1" t="str">
        <f>"2017-03-24 19:25:00"</f>
        <v>2017-03-24 19:25:00</v>
      </c>
      <c r="L2107" s="1" t="str">
        <f>"2017-03-24 19:25:10"</f>
        <v>2017-03-24 19:25:10</v>
      </c>
      <c r="M2107" s="2">
        <v>7.3611111111111108E-3</v>
      </c>
      <c r="N2107" s="1" t="s">
        <v>26</v>
      </c>
      <c r="O2107" s="1" t="s">
        <v>34</v>
      </c>
      <c r="P2107" s="2">
        <v>7.4768518518518526E-3</v>
      </c>
      <c r="Q2107" s="1" t="s">
        <v>1522</v>
      </c>
      <c r="R2107" s="1">
        <v>0</v>
      </c>
      <c r="S2107" s="1" t="str">
        <f>""</f>
        <v/>
      </c>
      <c r="T2107" s="1" t="s">
        <v>29</v>
      </c>
      <c r="U2107" s="1" t="s">
        <v>30</v>
      </c>
      <c r="V2107" s="1">
        <v>0</v>
      </c>
    </row>
    <row r="2108" spans="2:22" x14ac:dyDescent="0.15">
      <c r="B2108" s="1" t="str">
        <f>"135****5700"</f>
        <v>135****5700</v>
      </c>
      <c r="C2108" s="1" t="s">
        <v>1523</v>
      </c>
      <c r="D2108" s="1" t="str">
        <f t="shared" si="207"/>
        <v>89177328</v>
      </c>
      <c r="E2108" s="1" t="s">
        <v>24</v>
      </c>
      <c r="F2108" s="1" t="str">
        <f t="shared" si="210"/>
        <v>0010</v>
      </c>
      <c r="G2108" s="1" t="str">
        <f>""</f>
        <v/>
      </c>
      <c r="H2108" s="1" t="str">
        <f>"0018"</f>
        <v>0018</v>
      </c>
      <c r="I2108" s="1" t="s">
        <v>36</v>
      </c>
      <c r="J2108" s="1" t="str">
        <f>"01043989718"</f>
        <v>01043989718</v>
      </c>
      <c r="K2108" s="1" t="str">
        <f>"2017-03-24 19:24:06"</f>
        <v>2017-03-24 19:24:06</v>
      </c>
      <c r="L2108" s="1" t="str">
        <f>"2017-03-24 19:24:15"</f>
        <v>2017-03-24 19:24:15</v>
      </c>
      <c r="M2108" s="2">
        <v>1.2361111111111113E-2</v>
      </c>
      <c r="N2108" s="1" t="s">
        <v>26</v>
      </c>
      <c r="O2108" s="1" t="s">
        <v>34</v>
      </c>
      <c r="P2108" s="2">
        <v>1.2465277777777777E-2</v>
      </c>
      <c r="Q2108" s="1" t="s">
        <v>1524</v>
      </c>
      <c r="R2108" s="1">
        <v>0</v>
      </c>
      <c r="S2108" s="1" t="str">
        <f>""</f>
        <v/>
      </c>
      <c r="T2108" s="1" t="s">
        <v>29</v>
      </c>
      <c r="U2108" s="1" t="s">
        <v>30</v>
      </c>
      <c r="V2108" s="1">
        <v>0</v>
      </c>
    </row>
    <row r="2109" spans="2:22" x14ac:dyDescent="0.15">
      <c r="B2109" s="1" t="str">
        <f>"187****7352"</f>
        <v>187****7352</v>
      </c>
      <c r="C2109" s="1" t="s">
        <v>795</v>
      </c>
      <c r="D2109" s="1" t="str">
        <f t="shared" si="207"/>
        <v>89177328</v>
      </c>
      <c r="E2109" s="1" t="s">
        <v>24</v>
      </c>
      <c r="F2109" s="1" t="str">
        <f t="shared" si="210"/>
        <v>0010</v>
      </c>
      <c r="G2109" s="1" t="str">
        <f>""</f>
        <v/>
      </c>
      <c r="H2109" s="1" t="str">
        <f>"0032"</f>
        <v>0032</v>
      </c>
      <c r="I2109" s="1" t="s">
        <v>119</v>
      </c>
      <c r="J2109" s="1" t="str">
        <f>"01043977566"</f>
        <v>01043977566</v>
      </c>
      <c r="K2109" s="1" t="str">
        <f>"2017-03-24 19:00:10"</f>
        <v>2017-03-24 19:00:10</v>
      </c>
      <c r="L2109" s="1" t="str">
        <f>"2017-03-24 19:00:19"</f>
        <v>2017-03-24 19:00:19</v>
      </c>
      <c r="M2109" s="2">
        <v>7.8009259259259256E-3</v>
      </c>
      <c r="N2109" s="1" t="s">
        <v>26</v>
      </c>
      <c r="O2109" s="1" t="s">
        <v>34</v>
      </c>
      <c r="P2109" s="2">
        <v>7.905092592592592E-3</v>
      </c>
      <c r="Q2109" s="1" t="s">
        <v>1525</v>
      </c>
      <c r="R2109" s="1">
        <v>0</v>
      </c>
      <c r="S2109" s="1" t="str">
        <f>""</f>
        <v/>
      </c>
      <c r="T2109" s="1" t="s">
        <v>29</v>
      </c>
      <c r="U2109" s="1" t="s">
        <v>30</v>
      </c>
      <c r="V2109" s="1">
        <v>0</v>
      </c>
    </row>
    <row r="2110" spans="2:22" x14ac:dyDescent="0.15">
      <c r="B2110" s="1" t="str">
        <f>"158****6369"</f>
        <v>158****6369</v>
      </c>
      <c r="C2110" s="1" t="s">
        <v>23</v>
      </c>
      <c r="D2110" s="1" t="str">
        <f t="shared" si="207"/>
        <v>89177328</v>
      </c>
      <c r="E2110" s="1" t="s">
        <v>24</v>
      </c>
      <c r="F2110" s="1" t="str">
        <f t="shared" si="210"/>
        <v>0010</v>
      </c>
      <c r="G2110" s="1" t="str">
        <f>""</f>
        <v/>
      </c>
      <c r="H2110" s="1" t="str">
        <f>"0017"</f>
        <v>0017</v>
      </c>
      <c r="I2110" s="1" t="s">
        <v>135</v>
      </c>
      <c r="J2110" s="1" t="str">
        <f>"01043989717"</f>
        <v>01043989717</v>
      </c>
      <c r="K2110" s="1" t="str">
        <f>"2017-03-24 18:08:11"</f>
        <v>2017-03-24 18:08:11</v>
      </c>
      <c r="L2110" s="1" t="str">
        <f>"2017-03-24 18:08:17"</f>
        <v>2017-03-24 18:08:17</v>
      </c>
      <c r="M2110" s="2">
        <v>3.2060185185185191E-3</v>
      </c>
      <c r="N2110" s="1" t="s">
        <v>26</v>
      </c>
      <c r="O2110" s="1" t="s">
        <v>27</v>
      </c>
      <c r="P2110" s="2">
        <v>3.2754629629629631E-3</v>
      </c>
      <c r="Q2110" s="1" t="s">
        <v>1526</v>
      </c>
      <c r="R2110" s="1">
        <v>0</v>
      </c>
      <c r="S2110" s="1" t="str">
        <f>""</f>
        <v/>
      </c>
      <c r="T2110" s="1" t="s">
        <v>29</v>
      </c>
      <c r="U2110" s="1" t="s">
        <v>30</v>
      </c>
      <c r="V2110" s="1">
        <v>0</v>
      </c>
    </row>
    <row r="2111" spans="2:22" x14ac:dyDescent="0.15">
      <c r="B2111" s="1" t="str">
        <f>"188****1100"</f>
        <v>188****1100</v>
      </c>
      <c r="C2111" s="1" t="s">
        <v>23</v>
      </c>
      <c r="D2111" s="1" t="str">
        <f t="shared" si="207"/>
        <v>89177328</v>
      </c>
      <c r="E2111" s="1" t="s">
        <v>24</v>
      </c>
      <c r="F2111" s="1" t="str">
        <f t="shared" si="210"/>
        <v>0010</v>
      </c>
      <c r="G2111" s="1" t="str">
        <f>""</f>
        <v/>
      </c>
      <c r="H2111" s="1" t="str">
        <f>"0032"</f>
        <v>0032</v>
      </c>
      <c r="I2111" s="1" t="s">
        <v>119</v>
      </c>
      <c r="J2111" s="1" t="str">
        <f>"01043977566"</f>
        <v>01043977566</v>
      </c>
      <c r="K2111" s="1" t="str">
        <f>"2017-03-24 17:41:56"</f>
        <v>2017-03-24 17:41:56</v>
      </c>
      <c r="L2111" s="1" t="str">
        <f t="shared" ref="L2111:L2119" si="211">"-"</f>
        <v>-</v>
      </c>
      <c r="M2111" s="2">
        <v>0</v>
      </c>
      <c r="N2111" s="1" t="s">
        <v>33</v>
      </c>
      <c r="O2111" s="1" t="s">
        <v>34</v>
      </c>
      <c r="P2111" s="2">
        <v>5.7870370370370366E-5</v>
      </c>
      <c r="Q2111" s="1" t="str">
        <f>""</f>
        <v/>
      </c>
      <c r="R2111" s="1">
        <v>0</v>
      </c>
      <c r="S2111" s="1" t="str">
        <f>""</f>
        <v/>
      </c>
      <c r="T2111" s="1" t="s">
        <v>29</v>
      </c>
      <c r="U2111" s="1" t="s">
        <v>30</v>
      </c>
      <c r="V2111" s="1">
        <v>0</v>
      </c>
    </row>
    <row r="2112" spans="2:22" x14ac:dyDescent="0.15">
      <c r="B2112" s="1" t="str">
        <f>"188****1100"</f>
        <v>188****1100</v>
      </c>
      <c r="C2112" s="1" t="s">
        <v>23</v>
      </c>
      <c r="D2112" s="1" t="str">
        <f t="shared" si="207"/>
        <v>89177328</v>
      </c>
      <c r="E2112" s="1" t="s">
        <v>24</v>
      </c>
      <c r="F2112" s="1" t="str">
        <f t="shared" si="210"/>
        <v>0010</v>
      </c>
      <c r="G2112" s="1" t="str">
        <f>""</f>
        <v/>
      </c>
      <c r="H2112" s="1" t="str">
        <f>"0018"</f>
        <v>0018</v>
      </c>
      <c r="I2112" s="1" t="s">
        <v>36</v>
      </c>
      <c r="J2112" s="1" t="str">
        <f>"01043989718"</f>
        <v>01043989718</v>
      </c>
      <c r="K2112" s="1" t="str">
        <f>"2017-03-24 17:40:06"</f>
        <v>2017-03-24 17:40:06</v>
      </c>
      <c r="L2112" s="1" t="str">
        <f t="shared" si="211"/>
        <v>-</v>
      </c>
      <c r="M2112" s="2">
        <v>0</v>
      </c>
      <c r="N2112" s="1" t="s">
        <v>33</v>
      </c>
      <c r="O2112" s="1" t="s">
        <v>34</v>
      </c>
      <c r="P2112" s="2">
        <v>5.7870370370370366E-5</v>
      </c>
      <c r="Q2112" s="1" t="str">
        <f>""</f>
        <v/>
      </c>
      <c r="R2112" s="1">
        <v>0</v>
      </c>
      <c r="S2112" s="1" t="str">
        <f>""</f>
        <v/>
      </c>
      <c r="T2112" s="1" t="s">
        <v>29</v>
      </c>
      <c r="U2112" s="1" t="s">
        <v>30</v>
      </c>
      <c r="V2112" s="1">
        <v>0</v>
      </c>
    </row>
    <row r="2113" spans="2:22" x14ac:dyDescent="0.15">
      <c r="B2113" s="1" t="str">
        <f>"188****1100"</f>
        <v>188****1100</v>
      </c>
      <c r="C2113" s="1" t="s">
        <v>23</v>
      </c>
      <c r="D2113" s="1" t="str">
        <f t="shared" si="207"/>
        <v>89177328</v>
      </c>
      <c r="E2113" s="1" t="s">
        <v>24</v>
      </c>
      <c r="F2113" s="1" t="str">
        <f t="shared" si="210"/>
        <v>0010</v>
      </c>
      <c r="G2113" s="1" t="str">
        <f>""</f>
        <v/>
      </c>
      <c r="H2113" s="1" t="str">
        <f>"0018"</f>
        <v>0018</v>
      </c>
      <c r="I2113" s="1" t="s">
        <v>36</v>
      </c>
      <c r="J2113" s="1" t="str">
        <f>"01043989718"</f>
        <v>01043989718</v>
      </c>
      <c r="K2113" s="1" t="str">
        <f>"2017-03-24 17:37:09"</f>
        <v>2017-03-24 17:37:09</v>
      </c>
      <c r="L2113" s="1" t="str">
        <f t="shared" si="211"/>
        <v>-</v>
      </c>
      <c r="M2113" s="2">
        <v>0</v>
      </c>
      <c r="N2113" s="1" t="s">
        <v>33</v>
      </c>
      <c r="O2113" s="1" t="s">
        <v>34</v>
      </c>
      <c r="P2113" s="2">
        <v>5.7870370370370366E-5</v>
      </c>
      <c r="Q2113" s="1" t="str">
        <f>""</f>
        <v/>
      </c>
      <c r="R2113" s="1">
        <v>0</v>
      </c>
      <c r="S2113" s="1" t="str">
        <f>""</f>
        <v/>
      </c>
      <c r="T2113" s="1" t="s">
        <v>29</v>
      </c>
      <c r="U2113" s="1" t="s">
        <v>30</v>
      </c>
      <c r="V2113" s="1">
        <v>0</v>
      </c>
    </row>
    <row r="2114" spans="2:22" x14ac:dyDescent="0.15">
      <c r="B2114" s="1" t="str">
        <f>"186****0604"</f>
        <v>186****0604</v>
      </c>
      <c r="C2114" s="1" t="s">
        <v>23</v>
      </c>
      <c r="D2114" s="1" t="str">
        <f t="shared" si="207"/>
        <v>89177328</v>
      </c>
      <c r="E2114" s="1" t="s">
        <v>24</v>
      </c>
      <c r="F2114" s="1" t="str">
        <f t="shared" si="210"/>
        <v>0010</v>
      </c>
      <c r="G2114" s="1" t="str">
        <f>""</f>
        <v/>
      </c>
      <c r="H2114" s="1" t="str">
        <f>"0034"</f>
        <v>0034</v>
      </c>
      <c r="I2114" s="1" t="s">
        <v>31</v>
      </c>
      <c r="J2114" s="1" t="str">
        <f>"01043977568"</f>
        <v>01043977568</v>
      </c>
      <c r="K2114" s="1" t="str">
        <f>"2017-03-24 17:31:11"</f>
        <v>2017-03-24 17:31:11</v>
      </c>
      <c r="L2114" s="1" t="str">
        <f t="shared" si="211"/>
        <v>-</v>
      </c>
      <c r="M2114" s="2">
        <v>0</v>
      </c>
      <c r="N2114" s="1" t="s">
        <v>33</v>
      </c>
      <c r="O2114" s="1" t="s">
        <v>34</v>
      </c>
      <c r="P2114" s="2">
        <v>5.7870370370370366E-5</v>
      </c>
      <c r="Q2114" s="1" t="str">
        <f>""</f>
        <v/>
      </c>
      <c r="R2114" s="1">
        <v>0</v>
      </c>
      <c r="S2114" s="1" t="str">
        <f>""</f>
        <v/>
      </c>
      <c r="T2114" s="1" t="s">
        <v>29</v>
      </c>
      <c r="U2114" s="1" t="s">
        <v>30</v>
      </c>
      <c r="V2114" s="1">
        <v>0</v>
      </c>
    </row>
    <row r="2115" spans="2:22" x14ac:dyDescent="0.15">
      <c r="B2115" s="1" t="str">
        <f>"157****4678"</f>
        <v>157****4678</v>
      </c>
      <c r="C2115" s="1" t="s">
        <v>23</v>
      </c>
      <c r="D2115" s="1" t="str">
        <f t="shared" si="207"/>
        <v>89177328</v>
      </c>
      <c r="E2115" s="1" t="s">
        <v>24</v>
      </c>
      <c r="F2115" s="1" t="str">
        <f t="shared" si="210"/>
        <v>0010</v>
      </c>
      <c r="G2115" s="1" t="str">
        <f>""</f>
        <v/>
      </c>
      <c r="H2115" s="1" t="str">
        <f>"0034"</f>
        <v>0034</v>
      </c>
      <c r="I2115" s="1" t="s">
        <v>31</v>
      </c>
      <c r="J2115" s="1" t="str">
        <f>"01043977568"</f>
        <v>01043977568</v>
      </c>
      <c r="K2115" s="1" t="str">
        <f>"2017-03-24 17:29:40"</f>
        <v>2017-03-24 17:29:40</v>
      </c>
      <c r="L2115" s="1" t="str">
        <f t="shared" si="211"/>
        <v>-</v>
      </c>
      <c r="M2115" s="2">
        <v>0</v>
      </c>
      <c r="N2115" s="1" t="s">
        <v>33</v>
      </c>
      <c r="O2115" s="1" t="s">
        <v>34</v>
      </c>
      <c r="P2115" s="2">
        <v>9.2592592592592588E-5</v>
      </c>
      <c r="Q2115" s="1" t="str">
        <f>""</f>
        <v/>
      </c>
      <c r="R2115" s="1">
        <v>0</v>
      </c>
      <c r="S2115" s="1" t="str">
        <f>""</f>
        <v/>
      </c>
      <c r="T2115" s="1" t="s">
        <v>29</v>
      </c>
      <c r="U2115" s="1" t="s">
        <v>30</v>
      </c>
      <c r="V2115" s="1">
        <v>0</v>
      </c>
    </row>
    <row r="2116" spans="2:22" x14ac:dyDescent="0.15">
      <c r="B2116" s="1" t="str">
        <f>"186****0604"</f>
        <v>186****0604</v>
      </c>
      <c r="C2116" s="1" t="s">
        <v>23</v>
      </c>
      <c r="D2116" s="1" t="str">
        <f t="shared" si="207"/>
        <v>89177328</v>
      </c>
      <c r="E2116" s="1" t="s">
        <v>24</v>
      </c>
      <c r="F2116" s="1" t="str">
        <f t="shared" si="210"/>
        <v>0010</v>
      </c>
      <c r="G2116" s="1" t="str">
        <f>""</f>
        <v/>
      </c>
      <c r="H2116" s="1" t="str">
        <f>"0034"</f>
        <v>0034</v>
      </c>
      <c r="I2116" s="1" t="s">
        <v>31</v>
      </c>
      <c r="J2116" s="1" t="str">
        <f>"01043977568"</f>
        <v>01043977568</v>
      </c>
      <c r="K2116" s="1" t="str">
        <f>"2017-03-24 17:29:01"</f>
        <v>2017-03-24 17:29:01</v>
      </c>
      <c r="L2116" s="1" t="str">
        <f t="shared" si="211"/>
        <v>-</v>
      </c>
      <c r="M2116" s="2">
        <v>0</v>
      </c>
      <c r="N2116" s="1" t="s">
        <v>33</v>
      </c>
      <c r="O2116" s="1" t="s">
        <v>34</v>
      </c>
      <c r="P2116" s="2">
        <v>6.9444444444444444E-5</v>
      </c>
      <c r="Q2116" s="1" t="str">
        <f>""</f>
        <v/>
      </c>
      <c r="R2116" s="1">
        <v>0</v>
      </c>
      <c r="S2116" s="1" t="str">
        <f>""</f>
        <v/>
      </c>
      <c r="T2116" s="1" t="s">
        <v>29</v>
      </c>
      <c r="U2116" s="1" t="s">
        <v>30</v>
      </c>
      <c r="V2116" s="1">
        <v>0</v>
      </c>
    </row>
    <row r="2117" spans="2:22" x14ac:dyDescent="0.15">
      <c r="B2117" s="1" t="str">
        <f>"157****4678"</f>
        <v>157****4678</v>
      </c>
      <c r="C2117" s="1" t="s">
        <v>23</v>
      </c>
      <c r="D2117" s="1" t="str">
        <f t="shared" si="207"/>
        <v>89177328</v>
      </c>
      <c r="E2117" s="1" t="s">
        <v>24</v>
      </c>
      <c r="F2117" s="1" t="str">
        <f t="shared" si="210"/>
        <v>0010</v>
      </c>
      <c r="G2117" s="1" t="str">
        <f>""</f>
        <v/>
      </c>
      <c r="H2117" s="1" t="str">
        <f>"0034"</f>
        <v>0034</v>
      </c>
      <c r="I2117" s="1" t="s">
        <v>31</v>
      </c>
      <c r="J2117" s="1" t="str">
        <f>"01043977568"</f>
        <v>01043977568</v>
      </c>
      <c r="K2117" s="1" t="str">
        <f>"2017-03-24 17:28:26"</f>
        <v>2017-03-24 17:28:26</v>
      </c>
      <c r="L2117" s="1" t="str">
        <f t="shared" si="211"/>
        <v>-</v>
      </c>
      <c r="M2117" s="2">
        <v>0</v>
      </c>
      <c r="N2117" s="1" t="s">
        <v>33</v>
      </c>
      <c r="O2117" s="1" t="s">
        <v>34</v>
      </c>
      <c r="P2117" s="2">
        <v>8.1018518518518516E-5</v>
      </c>
      <c r="Q2117" s="1" t="str">
        <f>""</f>
        <v/>
      </c>
      <c r="R2117" s="1">
        <v>0</v>
      </c>
      <c r="S2117" s="1" t="str">
        <f>""</f>
        <v/>
      </c>
      <c r="T2117" s="1" t="s">
        <v>29</v>
      </c>
      <c r="U2117" s="1" t="s">
        <v>30</v>
      </c>
      <c r="V2117" s="1">
        <v>0</v>
      </c>
    </row>
    <row r="2118" spans="2:22" x14ac:dyDescent="0.15">
      <c r="B2118" s="1" t="str">
        <f>"188****1100"</f>
        <v>188****1100</v>
      </c>
      <c r="C2118" s="1" t="s">
        <v>23</v>
      </c>
      <c r="D2118" s="1" t="str">
        <f t="shared" si="207"/>
        <v>89177328</v>
      </c>
      <c r="E2118" s="1" t="s">
        <v>24</v>
      </c>
      <c r="F2118" s="1" t="str">
        <f t="shared" si="210"/>
        <v>0010</v>
      </c>
      <c r="G2118" s="1" t="str">
        <f>""</f>
        <v/>
      </c>
      <c r="H2118" s="1" t="str">
        <f>"0034"</f>
        <v>0034</v>
      </c>
      <c r="I2118" s="1" t="s">
        <v>31</v>
      </c>
      <c r="J2118" s="1" t="str">
        <f>"01043977568"</f>
        <v>01043977568</v>
      </c>
      <c r="K2118" s="1" t="str">
        <f>"2017-03-24 17:27:14"</f>
        <v>2017-03-24 17:27:14</v>
      </c>
      <c r="L2118" s="1" t="str">
        <f t="shared" si="211"/>
        <v>-</v>
      </c>
      <c r="M2118" s="2">
        <v>0</v>
      </c>
      <c r="N2118" s="1" t="s">
        <v>33</v>
      </c>
      <c r="O2118" s="1" t="s">
        <v>34</v>
      </c>
      <c r="P2118" s="2">
        <v>8.1018518518518516E-5</v>
      </c>
      <c r="Q2118" s="1" t="str">
        <f>""</f>
        <v/>
      </c>
      <c r="R2118" s="1">
        <v>0</v>
      </c>
      <c r="S2118" s="1" t="str">
        <f>""</f>
        <v/>
      </c>
      <c r="T2118" s="1" t="s">
        <v>29</v>
      </c>
      <c r="U2118" s="1" t="s">
        <v>30</v>
      </c>
      <c r="V2118" s="1">
        <v>0</v>
      </c>
    </row>
    <row r="2119" spans="2:22" x14ac:dyDescent="0.15">
      <c r="B2119" s="1" t="str">
        <f>"130****5656"</f>
        <v>130****5656</v>
      </c>
      <c r="C2119" s="1" t="s">
        <v>112</v>
      </c>
      <c r="D2119" s="1" t="str">
        <f t="shared" si="207"/>
        <v>89177328</v>
      </c>
      <c r="E2119" s="1" t="s">
        <v>24</v>
      </c>
      <c r="F2119" s="1" t="str">
        <f t="shared" si="210"/>
        <v>0010</v>
      </c>
      <c r="G2119" s="1" t="str">
        <f>""</f>
        <v/>
      </c>
      <c r="H2119" s="1" t="str">
        <f>"0017"</f>
        <v>0017</v>
      </c>
      <c r="I2119" s="1" t="s">
        <v>135</v>
      </c>
      <c r="J2119" s="1" t="str">
        <f>"01043989717"</f>
        <v>01043989717</v>
      </c>
      <c r="K2119" s="1" t="str">
        <f>"2017-03-24 17:26:09"</f>
        <v>2017-03-24 17:26:09</v>
      </c>
      <c r="L2119" s="1" t="str">
        <f t="shared" si="211"/>
        <v>-</v>
      </c>
      <c r="M2119" s="2">
        <v>0</v>
      </c>
      <c r="N2119" s="1" t="s">
        <v>33</v>
      </c>
      <c r="O2119" s="1" t="s">
        <v>34</v>
      </c>
      <c r="P2119" s="2">
        <v>4.6296296296296294E-5</v>
      </c>
      <c r="Q2119" s="1" t="str">
        <f>""</f>
        <v/>
      </c>
      <c r="R2119" s="1">
        <v>0</v>
      </c>
      <c r="S2119" s="1" t="str">
        <f>""</f>
        <v/>
      </c>
      <c r="T2119" s="1" t="s">
        <v>29</v>
      </c>
      <c r="U2119" s="1" t="s">
        <v>30</v>
      </c>
      <c r="V2119" s="1">
        <v>0</v>
      </c>
    </row>
    <row r="2120" spans="2:22" x14ac:dyDescent="0.15">
      <c r="B2120" s="1" t="str">
        <f>"114"</f>
        <v>114</v>
      </c>
      <c r="C2120" s="1" t="s">
        <v>159</v>
      </c>
      <c r="D2120" s="1" t="str">
        <f t="shared" si="207"/>
        <v>89177328</v>
      </c>
      <c r="E2120" s="1" t="s">
        <v>24</v>
      </c>
      <c r="F2120" s="1" t="str">
        <f t="shared" si="210"/>
        <v>0010</v>
      </c>
      <c r="G2120" s="1" t="str">
        <f>""</f>
        <v/>
      </c>
      <c r="H2120" s="1" t="str">
        <f>"0018"</f>
        <v>0018</v>
      </c>
      <c r="I2120" s="1" t="s">
        <v>36</v>
      </c>
      <c r="J2120" s="1" t="str">
        <f>"01043989718"</f>
        <v>01043989718</v>
      </c>
      <c r="K2120" s="1" t="str">
        <f>"2017-03-24 17:25:45"</f>
        <v>2017-03-24 17:25:45</v>
      </c>
      <c r="L2120" s="1" t="str">
        <f>"2017-03-24 17:25:50"</f>
        <v>2017-03-24 17:25:50</v>
      </c>
      <c r="M2120" s="2">
        <v>1.1574074074074073E-4</v>
      </c>
      <c r="N2120" s="1" t="s">
        <v>26</v>
      </c>
      <c r="O2120" s="1" t="s">
        <v>27</v>
      </c>
      <c r="P2120" s="2">
        <v>1.7361111111111112E-4</v>
      </c>
      <c r="Q2120" s="1" t="s">
        <v>1527</v>
      </c>
      <c r="R2120" s="1">
        <v>0</v>
      </c>
      <c r="S2120" s="1" t="str">
        <f>""</f>
        <v/>
      </c>
      <c r="T2120" s="1" t="s">
        <v>29</v>
      </c>
      <c r="U2120" s="1" t="s">
        <v>30</v>
      </c>
      <c r="V2120" s="1">
        <v>0</v>
      </c>
    </row>
    <row r="2121" spans="2:22" x14ac:dyDescent="0.15">
      <c r="B2121" s="1" t="str">
        <f>"130****5656"</f>
        <v>130****5656</v>
      </c>
      <c r="C2121" s="1" t="s">
        <v>112</v>
      </c>
      <c r="D2121" s="1" t="str">
        <f t="shared" si="207"/>
        <v>89177328</v>
      </c>
      <c r="E2121" s="1" t="s">
        <v>24</v>
      </c>
      <c r="F2121" s="1" t="str">
        <f t="shared" si="210"/>
        <v>0010</v>
      </c>
      <c r="G2121" s="1" t="str">
        <f>""</f>
        <v/>
      </c>
      <c r="H2121" s="1" t="str">
        <f>"0017"</f>
        <v>0017</v>
      </c>
      <c r="I2121" s="1" t="s">
        <v>135</v>
      </c>
      <c r="J2121" s="1" t="str">
        <f>"01043989717"</f>
        <v>01043989717</v>
      </c>
      <c r="K2121" s="1" t="str">
        <f>"2017-03-24 17:24:42"</f>
        <v>2017-03-24 17:24:42</v>
      </c>
      <c r="L2121" s="1" t="str">
        <f>"-"</f>
        <v>-</v>
      </c>
      <c r="M2121" s="2">
        <v>0</v>
      </c>
      <c r="N2121" s="1" t="s">
        <v>33</v>
      </c>
      <c r="O2121" s="1" t="s">
        <v>34</v>
      </c>
      <c r="P2121" s="2">
        <v>5.7870370370370366E-5</v>
      </c>
      <c r="Q2121" s="1" t="str">
        <f>""</f>
        <v/>
      </c>
      <c r="R2121" s="1">
        <v>0</v>
      </c>
      <c r="S2121" s="1" t="str">
        <f>""</f>
        <v/>
      </c>
      <c r="T2121" s="1" t="s">
        <v>29</v>
      </c>
      <c r="U2121" s="1" t="s">
        <v>30</v>
      </c>
      <c r="V2121" s="1">
        <v>0</v>
      </c>
    </row>
    <row r="2122" spans="2:22" x14ac:dyDescent="0.15">
      <c r="B2122" s="1" t="str">
        <f>"116114"</f>
        <v>116114</v>
      </c>
      <c r="C2122" s="1" t="s">
        <v>159</v>
      </c>
      <c r="D2122" s="1" t="str">
        <f t="shared" si="207"/>
        <v>89177328</v>
      </c>
      <c r="E2122" s="1" t="s">
        <v>24</v>
      </c>
      <c r="F2122" s="1" t="str">
        <f t="shared" si="210"/>
        <v>0010</v>
      </c>
      <c r="G2122" s="1" t="str">
        <f>""</f>
        <v/>
      </c>
      <c r="H2122" s="1" t="str">
        <f>"0032"</f>
        <v>0032</v>
      </c>
      <c r="I2122" s="1" t="s">
        <v>119</v>
      </c>
      <c r="J2122" s="1" t="str">
        <f>"01043977566"</f>
        <v>01043977566</v>
      </c>
      <c r="K2122" s="1" t="str">
        <f>"2017-03-24 17:24:39"</f>
        <v>2017-03-24 17:24:39</v>
      </c>
      <c r="L2122" s="1" t="str">
        <f>"-"</f>
        <v>-</v>
      </c>
      <c r="M2122" s="2">
        <v>0</v>
      </c>
      <c r="N2122" s="1" t="s">
        <v>33</v>
      </c>
      <c r="O2122" s="1" t="s">
        <v>34</v>
      </c>
      <c r="P2122" s="2">
        <v>1.5046296296296297E-4</v>
      </c>
      <c r="Q2122" s="1" t="str">
        <f>""</f>
        <v/>
      </c>
      <c r="R2122" s="1">
        <v>0</v>
      </c>
      <c r="S2122" s="1" t="str">
        <f>""</f>
        <v/>
      </c>
      <c r="T2122" s="1" t="s">
        <v>29</v>
      </c>
      <c r="U2122" s="1" t="s">
        <v>30</v>
      </c>
      <c r="V2122" s="1">
        <v>0</v>
      </c>
    </row>
    <row r="2123" spans="2:22" x14ac:dyDescent="0.15">
      <c r="B2123" s="1" t="str">
        <f>"151****4668"</f>
        <v>151****4668</v>
      </c>
      <c r="C2123" s="1" t="s">
        <v>902</v>
      </c>
      <c r="D2123" s="1" t="str">
        <f t="shared" si="207"/>
        <v>89177328</v>
      </c>
      <c r="E2123" s="1" t="s">
        <v>24</v>
      </c>
      <c r="F2123" s="1" t="str">
        <f t="shared" si="210"/>
        <v>0010</v>
      </c>
      <c r="G2123" s="1" t="str">
        <f>""</f>
        <v/>
      </c>
      <c r="H2123" s="1" t="str">
        <f t="shared" ref="H2123:H2130" si="212">"0018"</f>
        <v>0018</v>
      </c>
      <c r="I2123" s="1" t="s">
        <v>36</v>
      </c>
      <c r="J2123" s="1" t="str">
        <f t="shared" ref="J2123:J2130" si="213">"01043989718"</f>
        <v>01043989718</v>
      </c>
      <c r="K2123" s="1" t="str">
        <f>"2017-03-24 17:24:22"</f>
        <v>2017-03-24 17:24:22</v>
      </c>
      <c r="L2123" s="1" t="str">
        <f>"2017-03-24 17:24:31"</f>
        <v>2017-03-24 17:24:31</v>
      </c>
      <c r="M2123" s="2">
        <v>3.2407407407407406E-4</v>
      </c>
      <c r="N2123" s="1" t="s">
        <v>26</v>
      </c>
      <c r="O2123" s="1" t="s">
        <v>34</v>
      </c>
      <c r="P2123" s="2">
        <v>4.2824074074074075E-4</v>
      </c>
      <c r="Q2123" s="1" t="s">
        <v>1528</v>
      </c>
      <c r="R2123" s="1">
        <v>0</v>
      </c>
      <c r="S2123" s="1" t="str">
        <f>""</f>
        <v/>
      </c>
      <c r="T2123" s="1" t="s">
        <v>29</v>
      </c>
      <c r="U2123" s="1" t="s">
        <v>30</v>
      </c>
      <c r="V2123" s="1">
        <v>0</v>
      </c>
    </row>
    <row r="2124" spans="2:22" x14ac:dyDescent="0.15">
      <c r="B2124" s="1" t="str">
        <f>"183****4280"</f>
        <v>183****4280</v>
      </c>
      <c r="C2124" s="1" t="s">
        <v>23</v>
      </c>
      <c r="D2124" s="1" t="str">
        <f t="shared" si="207"/>
        <v>89177328</v>
      </c>
      <c r="E2124" s="1" t="s">
        <v>24</v>
      </c>
      <c r="F2124" s="1" t="str">
        <f t="shared" si="210"/>
        <v>0010</v>
      </c>
      <c r="G2124" s="1" t="str">
        <f>""</f>
        <v/>
      </c>
      <c r="H2124" s="1" t="str">
        <f t="shared" si="212"/>
        <v>0018</v>
      </c>
      <c r="I2124" s="1" t="s">
        <v>36</v>
      </c>
      <c r="J2124" s="1" t="str">
        <f t="shared" si="213"/>
        <v>01043989718</v>
      </c>
      <c r="K2124" s="1" t="str">
        <f>"2017-03-24 17:23:59"</f>
        <v>2017-03-24 17:23:59</v>
      </c>
      <c r="L2124" s="1" t="str">
        <f t="shared" ref="L2124:L2133" si="214">"-"</f>
        <v>-</v>
      </c>
      <c r="M2124" s="2">
        <v>0</v>
      </c>
      <c r="N2124" s="1" t="s">
        <v>33</v>
      </c>
      <c r="O2124" s="1" t="s">
        <v>34</v>
      </c>
      <c r="P2124" s="2">
        <v>1.1574074074074073E-5</v>
      </c>
      <c r="Q2124" s="1" t="str">
        <f>""</f>
        <v/>
      </c>
      <c r="R2124" s="1">
        <v>0</v>
      </c>
      <c r="S2124" s="1" t="str">
        <f>""</f>
        <v/>
      </c>
      <c r="T2124" s="1" t="s">
        <v>29</v>
      </c>
      <c r="U2124" s="1" t="s">
        <v>30</v>
      </c>
      <c r="V2124" s="1">
        <v>0</v>
      </c>
    </row>
    <row r="2125" spans="2:22" x14ac:dyDescent="0.15">
      <c r="B2125" s="1" t="str">
        <f>"114"</f>
        <v>114</v>
      </c>
      <c r="C2125" s="1" t="s">
        <v>159</v>
      </c>
      <c r="D2125" s="1" t="str">
        <f t="shared" si="207"/>
        <v>89177328</v>
      </c>
      <c r="E2125" s="1" t="s">
        <v>24</v>
      </c>
      <c r="F2125" s="1" t="str">
        <f t="shared" si="210"/>
        <v>0010</v>
      </c>
      <c r="G2125" s="1" t="str">
        <f>""</f>
        <v/>
      </c>
      <c r="H2125" s="1" t="str">
        <f t="shared" si="212"/>
        <v>0018</v>
      </c>
      <c r="I2125" s="1" t="s">
        <v>36</v>
      </c>
      <c r="J2125" s="1" t="str">
        <f t="shared" si="213"/>
        <v>01043989718</v>
      </c>
      <c r="K2125" s="1" t="str">
        <f>"2017-03-24 17:22:37"</f>
        <v>2017-03-24 17:22:37</v>
      </c>
      <c r="L2125" s="1" t="str">
        <f t="shared" si="214"/>
        <v>-</v>
      </c>
      <c r="M2125" s="2">
        <v>0</v>
      </c>
      <c r="N2125" s="1" t="s">
        <v>33</v>
      </c>
      <c r="O2125" s="1" t="s">
        <v>34</v>
      </c>
      <c r="P2125" s="2">
        <v>8.1018518518518516E-5</v>
      </c>
      <c r="Q2125" s="1" t="str">
        <f>""</f>
        <v/>
      </c>
      <c r="R2125" s="1">
        <v>0</v>
      </c>
      <c r="S2125" s="1" t="str">
        <f>""</f>
        <v/>
      </c>
      <c r="T2125" s="1" t="s">
        <v>29</v>
      </c>
      <c r="U2125" s="1" t="s">
        <v>30</v>
      </c>
      <c r="V2125" s="1">
        <v>0</v>
      </c>
    </row>
    <row r="2126" spans="2:22" x14ac:dyDescent="0.15">
      <c r="B2126" s="1" t="str">
        <f>"130****5656"</f>
        <v>130****5656</v>
      </c>
      <c r="C2126" s="1" t="s">
        <v>112</v>
      </c>
      <c r="D2126" s="1" t="str">
        <f t="shared" si="207"/>
        <v>89177328</v>
      </c>
      <c r="E2126" s="1" t="s">
        <v>24</v>
      </c>
      <c r="F2126" s="1" t="str">
        <f t="shared" si="210"/>
        <v>0010</v>
      </c>
      <c r="G2126" s="1" t="str">
        <f>""</f>
        <v/>
      </c>
      <c r="H2126" s="1" t="str">
        <f t="shared" si="212"/>
        <v>0018</v>
      </c>
      <c r="I2126" s="1" t="s">
        <v>36</v>
      </c>
      <c r="J2126" s="1" t="str">
        <f t="shared" si="213"/>
        <v>01043989718</v>
      </c>
      <c r="K2126" s="1" t="str">
        <f>"2017-03-24 17:22:22"</f>
        <v>2017-03-24 17:22:22</v>
      </c>
      <c r="L2126" s="1" t="str">
        <f t="shared" si="214"/>
        <v>-</v>
      </c>
      <c r="M2126" s="2">
        <v>0</v>
      </c>
      <c r="N2126" s="1" t="s">
        <v>33</v>
      </c>
      <c r="O2126" s="1" t="s">
        <v>34</v>
      </c>
      <c r="P2126" s="2">
        <v>5.7870370370370366E-5</v>
      </c>
      <c r="Q2126" s="1" t="str">
        <f>""</f>
        <v/>
      </c>
      <c r="R2126" s="1">
        <v>0</v>
      </c>
      <c r="S2126" s="1" t="str">
        <f>""</f>
        <v/>
      </c>
      <c r="T2126" s="1" t="s">
        <v>29</v>
      </c>
      <c r="U2126" s="1" t="s">
        <v>30</v>
      </c>
      <c r="V2126" s="1">
        <v>0</v>
      </c>
    </row>
    <row r="2127" spans="2:22" x14ac:dyDescent="0.15">
      <c r="B2127" s="1" t="str">
        <f>"183****4280"</f>
        <v>183****4280</v>
      </c>
      <c r="C2127" s="1" t="s">
        <v>23</v>
      </c>
      <c r="D2127" s="1" t="str">
        <f t="shared" si="207"/>
        <v>89177328</v>
      </c>
      <c r="E2127" s="1" t="s">
        <v>24</v>
      </c>
      <c r="F2127" s="1" t="str">
        <f t="shared" si="210"/>
        <v>0010</v>
      </c>
      <c r="G2127" s="1" t="str">
        <f>""</f>
        <v/>
      </c>
      <c r="H2127" s="1" t="str">
        <f t="shared" si="212"/>
        <v>0018</v>
      </c>
      <c r="I2127" s="1" t="s">
        <v>36</v>
      </c>
      <c r="J2127" s="1" t="str">
        <f t="shared" si="213"/>
        <v>01043989718</v>
      </c>
      <c r="K2127" s="1" t="str">
        <f>"2017-03-24 17:21:44"</f>
        <v>2017-03-24 17:21:44</v>
      </c>
      <c r="L2127" s="1" t="str">
        <f t="shared" si="214"/>
        <v>-</v>
      </c>
      <c r="M2127" s="2">
        <v>0</v>
      </c>
      <c r="N2127" s="1" t="s">
        <v>33</v>
      </c>
      <c r="O2127" s="1" t="s">
        <v>34</v>
      </c>
      <c r="P2127" s="2">
        <v>1.1574074074074073E-4</v>
      </c>
      <c r="Q2127" s="1" t="str">
        <f>""</f>
        <v/>
      </c>
      <c r="R2127" s="1">
        <v>0</v>
      </c>
      <c r="S2127" s="1" t="str">
        <f>""</f>
        <v/>
      </c>
      <c r="T2127" s="1" t="s">
        <v>29</v>
      </c>
      <c r="U2127" s="1" t="s">
        <v>30</v>
      </c>
      <c r="V2127" s="1">
        <v>0</v>
      </c>
    </row>
    <row r="2128" spans="2:22" x14ac:dyDescent="0.15">
      <c r="B2128" s="1" t="str">
        <f>"133****9597"</f>
        <v>133****9597</v>
      </c>
      <c r="C2128" s="1" t="s">
        <v>23</v>
      </c>
      <c r="D2128" s="1" t="str">
        <f t="shared" si="207"/>
        <v>89177328</v>
      </c>
      <c r="E2128" s="1" t="s">
        <v>24</v>
      </c>
      <c r="F2128" s="1" t="str">
        <f t="shared" si="210"/>
        <v>0010</v>
      </c>
      <c r="G2128" s="1" t="str">
        <f>""</f>
        <v/>
      </c>
      <c r="H2128" s="1" t="str">
        <f t="shared" si="212"/>
        <v>0018</v>
      </c>
      <c r="I2128" s="1" t="s">
        <v>36</v>
      </c>
      <c r="J2128" s="1" t="str">
        <f t="shared" si="213"/>
        <v>01043989718</v>
      </c>
      <c r="K2128" s="1" t="str">
        <f>"2017-03-24 17:21:07"</f>
        <v>2017-03-24 17:21:07</v>
      </c>
      <c r="L2128" s="1" t="str">
        <f t="shared" si="214"/>
        <v>-</v>
      </c>
      <c r="M2128" s="2">
        <v>0</v>
      </c>
      <c r="N2128" s="1" t="s">
        <v>33</v>
      </c>
      <c r="O2128" s="1" t="s">
        <v>34</v>
      </c>
      <c r="P2128" s="2">
        <v>9.2592592592592588E-5</v>
      </c>
      <c r="Q2128" s="1" t="str">
        <f>""</f>
        <v/>
      </c>
      <c r="R2128" s="1">
        <v>0</v>
      </c>
      <c r="S2128" s="1" t="str">
        <f>""</f>
        <v/>
      </c>
      <c r="T2128" s="1" t="s">
        <v>29</v>
      </c>
      <c r="U2128" s="1" t="s">
        <v>30</v>
      </c>
      <c r="V2128" s="1">
        <v>0</v>
      </c>
    </row>
    <row r="2129" spans="2:22" x14ac:dyDescent="0.15">
      <c r="B2129" s="1" t="str">
        <f>"130****5656"</f>
        <v>130****5656</v>
      </c>
      <c r="C2129" s="1" t="s">
        <v>112</v>
      </c>
      <c r="D2129" s="1" t="str">
        <f t="shared" si="207"/>
        <v>89177328</v>
      </c>
      <c r="E2129" s="1" t="s">
        <v>24</v>
      </c>
      <c r="F2129" s="1" t="str">
        <f t="shared" si="210"/>
        <v>0010</v>
      </c>
      <c r="G2129" s="1" t="str">
        <f>""</f>
        <v/>
      </c>
      <c r="H2129" s="1" t="str">
        <f t="shared" si="212"/>
        <v>0018</v>
      </c>
      <c r="I2129" s="1" t="s">
        <v>36</v>
      </c>
      <c r="J2129" s="1" t="str">
        <f t="shared" si="213"/>
        <v>01043989718</v>
      </c>
      <c r="K2129" s="1" t="str">
        <f>"2017-03-24 17:20:54"</f>
        <v>2017-03-24 17:20:54</v>
      </c>
      <c r="L2129" s="1" t="str">
        <f t="shared" si="214"/>
        <v>-</v>
      </c>
      <c r="M2129" s="2">
        <v>0</v>
      </c>
      <c r="N2129" s="1" t="s">
        <v>33</v>
      </c>
      <c r="O2129" s="1" t="s">
        <v>34</v>
      </c>
      <c r="P2129" s="2">
        <v>5.7870370370370366E-5</v>
      </c>
      <c r="Q2129" s="1" t="str">
        <f>""</f>
        <v/>
      </c>
      <c r="R2129" s="1">
        <v>0</v>
      </c>
      <c r="S2129" s="1" t="str">
        <f>""</f>
        <v/>
      </c>
      <c r="T2129" s="1" t="s">
        <v>29</v>
      </c>
      <c r="U2129" s="1" t="s">
        <v>30</v>
      </c>
      <c r="V2129" s="1">
        <v>0</v>
      </c>
    </row>
    <row r="2130" spans="2:22" x14ac:dyDescent="0.15">
      <c r="B2130" s="1" t="str">
        <f>"183****4280"</f>
        <v>183****4280</v>
      </c>
      <c r="C2130" s="1" t="s">
        <v>23</v>
      </c>
      <c r="D2130" s="1" t="str">
        <f t="shared" ref="D2130:D2152" si="215">"89177328"</f>
        <v>89177328</v>
      </c>
      <c r="E2130" s="1" t="s">
        <v>24</v>
      </c>
      <c r="F2130" s="1" t="str">
        <f t="shared" si="210"/>
        <v>0010</v>
      </c>
      <c r="G2130" s="1" t="str">
        <f>""</f>
        <v/>
      </c>
      <c r="H2130" s="1" t="str">
        <f t="shared" si="212"/>
        <v>0018</v>
      </c>
      <c r="I2130" s="1" t="s">
        <v>36</v>
      </c>
      <c r="J2130" s="1" t="str">
        <f t="shared" si="213"/>
        <v>01043989718</v>
      </c>
      <c r="K2130" s="1" t="str">
        <f>"2017-03-24 17:19:40"</f>
        <v>2017-03-24 17:19:40</v>
      </c>
      <c r="L2130" s="1" t="str">
        <f t="shared" si="214"/>
        <v>-</v>
      </c>
      <c r="M2130" s="2">
        <v>0</v>
      </c>
      <c r="N2130" s="1" t="s">
        <v>33</v>
      </c>
      <c r="O2130" s="1" t="s">
        <v>34</v>
      </c>
      <c r="P2130" s="2">
        <v>1.1574074074074073E-5</v>
      </c>
      <c r="Q2130" s="1" t="str">
        <f>""</f>
        <v/>
      </c>
      <c r="R2130" s="1">
        <v>0</v>
      </c>
      <c r="S2130" s="1" t="str">
        <f>""</f>
        <v/>
      </c>
      <c r="T2130" s="1" t="s">
        <v>29</v>
      </c>
      <c r="U2130" s="1" t="s">
        <v>30</v>
      </c>
      <c r="V2130" s="1">
        <v>0</v>
      </c>
    </row>
    <row r="2131" spans="2:22" x14ac:dyDescent="0.15">
      <c r="B2131" s="1" t="str">
        <f>"130****5656"</f>
        <v>130****5656</v>
      </c>
      <c r="C2131" s="1" t="s">
        <v>112</v>
      </c>
      <c r="D2131" s="1" t="str">
        <f t="shared" si="215"/>
        <v>89177328</v>
      </c>
      <c r="E2131" s="1" t="s">
        <v>24</v>
      </c>
      <c r="F2131" s="1" t="str">
        <f t="shared" si="210"/>
        <v>0010</v>
      </c>
      <c r="G2131" s="1" t="str">
        <f>""</f>
        <v/>
      </c>
      <c r="H2131" s="1" t="str">
        <f>"0017"</f>
        <v>0017</v>
      </c>
      <c r="I2131" s="1" t="s">
        <v>135</v>
      </c>
      <c r="J2131" s="1" t="str">
        <f>"01043989717"</f>
        <v>01043989717</v>
      </c>
      <c r="K2131" s="1" t="str">
        <f>"2017-03-24 17:19:13"</f>
        <v>2017-03-24 17:19:13</v>
      </c>
      <c r="L2131" s="1" t="str">
        <f t="shared" si="214"/>
        <v>-</v>
      </c>
      <c r="M2131" s="2">
        <v>0</v>
      </c>
      <c r="N2131" s="1" t="s">
        <v>33</v>
      </c>
      <c r="O2131" s="1" t="s">
        <v>34</v>
      </c>
      <c r="P2131" s="2">
        <v>6.9444444444444444E-5</v>
      </c>
      <c r="Q2131" s="1" t="str">
        <f>""</f>
        <v/>
      </c>
      <c r="R2131" s="1">
        <v>0</v>
      </c>
      <c r="S2131" s="1" t="str">
        <f>""</f>
        <v/>
      </c>
      <c r="T2131" s="1" t="s">
        <v>29</v>
      </c>
      <c r="U2131" s="1" t="s">
        <v>30</v>
      </c>
      <c r="V2131" s="1">
        <v>0</v>
      </c>
    </row>
    <row r="2132" spans="2:22" x14ac:dyDescent="0.15">
      <c r="B2132" s="1" t="str">
        <f>"133****9597"</f>
        <v>133****9597</v>
      </c>
      <c r="C2132" s="1" t="s">
        <v>23</v>
      </c>
      <c r="D2132" s="1" t="str">
        <f t="shared" si="215"/>
        <v>89177328</v>
      </c>
      <c r="E2132" s="1" t="s">
        <v>24</v>
      </c>
      <c r="F2132" s="1" t="str">
        <f t="shared" si="210"/>
        <v>0010</v>
      </c>
      <c r="G2132" s="1" t="str">
        <f>""</f>
        <v/>
      </c>
      <c r="H2132" s="1" t="str">
        <f>"0018"</f>
        <v>0018</v>
      </c>
      <c r="I2132" s="1" t="s">
        <v>36</v>
      </c>
      <c r="J2132" s="1" t="str">
        <f>"01043989718"</f>
        <v>01043989718</v>
      </c>
      <c r="K2132" s="1" t="str">
        <f>"2017-03-24 17:19:07"</f>
        <v>2017-03-24 17:19:07</v>
      </c>
      <c r="L2132" s="1" t="str">
        <f t="shared" si="214"/>
        <v>-</v>
      </c>
      <c r="M2132" s="2">
        <v>0</v>
      </c>
      <c r="N2132" s="1" t="s">
        <v>33</v>
      </c>
      <c r="O2132" s="1" t="s">
        <v>34</v>
      </c>
      <c r="P2132" s="2">
        <v>9.2592592592592588E-5</v>
      </c>
      <c r="Q2132" s="1" t="str">
        <f>""</f>
        <v/>
      </c>
      <c r="R2132" s="1">
        <v>0</v>
      </c>
      <c r="S2132" s="1" t="str">
        <f>""</f>
        <v/>
      </c>
      <c r="T2132" s="1" t="s">
        <v>29</v>
      </c>
      <c r="U2132" s="1" t="s">
        <v>30</v>
      </c>
      <c r="V2132" s="1">
        <v>0</v>
      </c>
    </row>
    <row r="2133" spans="2:22" x14ac:dyDescent="0.15">
      <c r="B2133" s="1" t="str">
        <f>"183****4280"</f>
        <v>183****4280</v>
      </c>
      <c r="C2133" s="1" t="s">
        <v>23</v>
      </c>
      <c r="D2133" s="1" t="str">
        <f t="shared" si="215"/>
        <v>89177328</v>
      </c>
      <c r="E2133" s="1" t="s">
        <v>24</v>
      </c>
      <c r="F2133" s="1" t="str">
        <f t="shared" si="210"/>
        <v>0010</v>
      </c>
      <c r="G2133" s="1" t="str">
        <f>""</f>
        <v/>
      </c>
      <c r="H2133" s="1" t="str">
        <f>"0018"</f>
        <v>0018</v>
      </c>
      <c r="I2133" s="1" t="s">
        <v>36</v>
      </c>
      <c r="J2133" s="1" t="str">
        <f>"01043989718"</f>
        <v>01043989718</v>
      </c>
      <c r="K2133" s="1" t="str">
        <f>"2017-03-24 17:17:00"</f>
        <v>2017-03-24 17:17:00</v>
      </c>
      <c r="L2133" s="1" t="str">
        <f t="shared" si="214"/>
        <v>-</v>
      </c>
      <c r="M2133" s="2">
        <v>0</v>
      </c>
      <c r="N2133" s="1" t="s">
        <v>33</v>
      </c>
      <c r="O2133" s="1" t="s">
        <v>34</v>
      </c>
      <c r="P2133" s="2">
        <v>5.7870370370370366E-5</v>
      </c>
      <c r="Q2133" s="1" t="str">
        <f>""</f>
        <v/>
      </c>
      <c r="R2133" s="1">
        <v>0</v>
      </c>
      <c r="S2133" s="1" t="str">
        <f>""</f>
        <v/>
      </c>
      <c r="T2133" s="1" t="s">
        <v>29</v>
      </c>
      <c r="U2133" s="1" t="s">
        <v>30</v>
      </c>
      <c r="V2133" s="1">
        <v>0</v>
      </c>
    </row>
    <row r="2134" spans="2:22" x14ac:dyDescent="0.15">
      <c r="B2134" s="1" t="str">
        <f>"133****8865"</f>
        <v>133****8865</v>
      </c>
      <c r="C2134" s="1" t="s">
        <v>1336</v>
      </c>
      <c r="D2134" s="1" t="str">
        <f t="shared" si="215"/>
        <v>89177328</v>
      </c>
      <c r="E2134" s="1" t="s">
        <v>24</v>
      </c>
      <c r="F2134" s="1" t="str">
        <f t="shared" si="210"/>
        <v>0010</v>
      </c>
      <c r="G2134" s="1" t="str">
        <f>""</f>
        <v/>
      </c>
      <c r="H2134" s="1" t="str">
        <f>"0032"</f>
        <v>0032</v>
      </c>
      <c r="I2134" s="1" t="s">
        <v>119</v>
      </c>
      <c r="J2134" s="1" t="str">
        <f>"01043977566"</f>
        <v>01043977566</v>
      </c>
      <c r="K2134" s="1" t="str">
        <f>"2017-03-24 17:11:15"</f>
        <v>2017-03-24 17:11:15</v>
      </c>
      <c r="L2134" s="1" t="str">
        <f>"2017-03-24 17:11:29"</f>
        <v>2017-03-24 17:11:29</v>
      </c>
      <c r="M2134" s="2">
        <v>8.2638888888888883E-3</v>
      </c>
      <c r="N2134" s="1" t="s">
        <v>26</v>
      </c>
      <c r="O2134" s="1" t="s">
        <v>34</v>
      </c>
      <c r="P2134" s="2">
        <v>8.4259259259259253E-3</v>
      </c>
      <c r="Q2134" s="1" t="s">
        <v>1529</v>
      </c>
      <c r="R2134" s="1">
        <v>0</v>
      </c>
      <c r="S2134" s="1" t="str">
        <f>""</f>
        <v/>
      </c>
      <c r="T2134" s="1" t="s">
        <v>29</v>
      </c>
      <c r="U2134" s="1" t="s">
        <v>30</v>
      </c>
      <c r="V2134" s="1">
        <v>0</v>
      </c>
    </row>
    <row r="2135" spans="2:22" x14ac:dyDescent="0.15">
      <c r="B2135" s="1" t="str">
        <f>"157****4678"</f>
        <v>157****4678</v>
      </c>
      <c r="C2135" s="1" t="s">
        <v>23</v>
      </c>
      <c r="D2135" s="1" t="str">
        <f t="shared" si="215"/>
        <v>89177328</v>
      </c>
      <c r="E2135" s="1" t="s">
        <v>24</v>
      </c>
      <c r="F2135" s="1" t="str">
        <f t="shared" si="210"/>
        <v>0010</v>
      </c>
      <c r="G2135" s="1" t="str">
        <f>""</f>
        <v/>
      </c>
      <c r="H2135" s="1" t="str">
        <f>"0031"</f>
        <v>0031</v>
      </c>
      <c r="I2135" s="1" t="s">
        <v>95</v>
      </c>
      <c r="J2135" s="1" t="str">
        <f>"01043977565"</f>
        <v>01043977565</v>
      </c>
      <c r="K2135" s="1" t="str">
        <f>"2017-03-24 17:09:19"</f>
        <v>2017-03-24 17:09:19</v>
      </c>
      <c r="L2135" s="1" t="str">
        <f>"-"</f>
        <v>-</v>
      </c>
      <c r="M2135" s="2">
        <v>0</v>
      </c>
      <c r="N2135" s="1" t="s">
        <v>33</v>
      </c>
      <c r="O2135" s="1" t="s">
        <v>34</v>
      </c>
      <c r="P2135" s="2">
        <v>6.9444444444444444E-5</v>
      </c>
      <c r="Q2135" s="1" t="str">
        <f>""</f>
        <v/>
      </c>
      <c r="R2135" s="1">
        <v>0</v>
      </c>
      <c r="S2135" s="1" t="str">
        <f>""</f>
        <v/>
      </c>
      <c r="T2135" s="1" t="s">
        <v>29</v>
      </c>
      <c r="U2135" s="1" t="s">
        <v>30</v>
      </c>
      <c r="V2135" s="1">
        <v>0</v>
      </c>
    </row>
    <row r="2136" spans="2:22" x14ac:dyDescent="0.15">
      <c r="B2136" s="1" t="str">
        <f>"157****4678"</f>
        <v>157****4678</v>
      </c>
      <c r="C2136" s="1" t="s">
        <v>23</v>
      </c>
      <c r="D2136" s="1" t="str">
        <f t="shared" si="215"/>
        <v>89177328</v>
      </c>
      <c r="E2136" s="1" t="s">
        <v>24</v>
      </c>
      <c r="F2136" s="1" t="str">
        <f t="shared" si="210"/>
        <v>0010</v>
      </c>
      <c r="G2136" s="1" t="str">
        <f>""</f>
        <v/>
      </c>
      <c r="H2136" s="1" t="str">
        <f>"0031"</f>
        <v>0031</v>
      </c>
      <c r="I2136" s="1" t="s">
        <v>95</v>
      </c>
      <c r="J2136" s="1" t="str">
        <f>"01043977565"</f>
        <v>01043977565</v>
      </c>
      <c r="K2136" s="1" t="str">
        <f>"2017-03-24 17:06:56"</f>
        <v>2017-03-24 17:06:56</v>
      </c>
      <c r="L2136" s="1" t="str">
        <f>"-"</f>
        <v>-</v>
      </c>
      <c r="M2136" s="2">
        <v>0</v>
      </c>
      <c r="N2136" s="1" t="s">
        <v>33</v>
      </c>
      <c r="O2136" s="1" t="s">
        <v>34</v>
      </c>
      <c r="P2136" s="2">
        <v>6.9444444444444444E-5</v>
      </c>
      <c r="Q2136" s="1" t="str">
        <f>""</f>
        <v/>
      </c>
      <c r="R2136" s="1">
        <v>0</v>
      </c>
      <c r="S2136" s="1" t="str">
        <f>""</f>
        <v/>
      </c>
      <c r="T2136" s="1" t="s">
        <v>29</v>
      </c>
      <c r="U2136" s="1" t="s">
        <v>30</v>
      </c>
      <c r="V2136" s="1">
        <v>0</v>
      </c>
    </row>
    <row r="2137" spans="2:22" x14ac:dyDescent="0.15">
      <c r="B2137" s="1" t="str">
        <f>"157****4678"</f>
        <v>157****4678</v>
      </c>
      <c r="C2137" s="1" t="s">
        <v>23</v>
      </c>
      <c r="D2137" s="1" t="str">
        <f t="shared" si="215"/>
        <v>89177328</v>
      </c>
      <c r="E2137" s="1" t="s">
        <v>24</v>
      </c>
      <c r="F2137" s="1" t="str">
        <f t="shared" si="210"/>
        <v>0010</v>
      </c>
      <c r="G2137" s="1" t="str">
        <f>""</f>
        <v/>
      </c>
      <c r="H2137" s="1" t="str">
        <f>"0032"</f>
        <v>0032</v>
      </c>
      <c r="I2137" s="1" t="s">
        <v>119</v>
      </c>
      <c r="J2137" s="1" t="str">
        <f>"01043977566"</f>
        <v>01043977566</v>
      </c>
      <c r="K2137" s="1" t="str">
        <f>"2017-03-24 17:04:39"</f>
        <v>2017-03-24 17:04:39</v>
      </c>
      <c r="L2137" s="1" t="str">
        <f>"-"</f>
        <v>-</v>
      </c>
      <c r="M2137" s="2">
        <v>0</v>
      </c>
      <c r="N2137" s="1" t="s">
        <v>33</v>
      </c>
      <c r="O2137" s="1" t="s">
        <v>34</v>
      </c>
      <c r="P2137" s="2">
        <v>4.6296296296296294E-5</v>
      </c>
      <c r="Q2137" s="1" t="str">
        <f>""</f>
        <v/>
      </c>
      <c r="R2137" s="1">
        <v>0</v>
      </c>
      <c r="S2137" s="1" t="str">
        <f>""</f>
        <v/>
      </c>
      <c r="T2137" s="1" t="s">
        <v>29</v>
      </c>
      <c r="U2137" s="1" t="s">
        <v>30</v>
      </c>
      <c r="V2137" s="1">
        <v>0</v>
      </c>
    </row>
    <row r="2138" spans="2:22" x14ac:dyDescent="0.15">
      <c r="B2138" s="1" t="str">
        <f>"186****5521"</f>
        <v>186****5521</v>
      </c>
      <c r="C2138" s="1" t="s">
        <v>23</v>
      </c>
      <c r="D2138" s="1" t="str">
        <f t="shared" si="215"/>
        <v>89177328</v>
      </c>
      <c r="E2138" s="1" t="s">
        <v>24</v>
      </c>
      <c r="F2138" s="1" t="str">
        <f t="shared" si="210"/>
        <v>0010</v>
      </c>
      <c r="G2138" s="1" t="str">
        <f>""</f>
        <v/>
      </c>
      <c r="H2138" s="1" t="str">
        <f>"0034"</f>
        <v>0034</v>
      </c>
      <c r="I2138" s="1" t="s">
        <v>31</v>
      </c>
      <c r="J2138" s="1" t="str">
        <f>"01043977568"</f>
        <v>01043977568</v>
      </c>
      <c r="K2138" s="1" t="str">
        <f>"2017-03-24 17:02:44"</f>
        <v>2017-03-24 17:02:44</v>
      </c>
      <c r="L2138" s="1" t="str">
        <f>"2017-03-24 17:02:52"</f>
        <v>2017-03-24 17:02:52</v>
      </c>
      <c r="M2138" s="2">
        <v>1.622685185185185E-2</v>
      </c>
      <c r="N2138" s="1" t="s">
        <v>26</v>
      </c>
      <c r="O2138" s="1" t="s">
        <v>34</v>
      </c>
      <c r="P2138" s="2">
        <v>1.6319444444444445E-2</v>
      </c>
      <c r="Q2138" s="1" t="s">
        <v>1530</v>
      </c>
      <c r="R2138" s="1">
        <v>0</v>
      </c>
      <c r="S2138" s="1" t="str">
        <f>""</f>
        <v/>
      </c>
      <c r="T2138" s="1" t="s">
        <v>29</v>
      </c>
      <c r="U2138" s="1" t="s">
        <v>30</v>
      </c>
      <c r="V2138" s="1">
        <v>0</v>
      </c>
    </row>
    <row r="2139" spans="2:22" x14ac:dyDescent="0.15">
      <c r="B2139" s="1" t="str">
        <f>"153****9065"</f>
        <v>153****9065</v>
      </c>
      <c r="C2139" s="1" t="s">
        <v>23</v>
      </c>
      <c r="D2139" s="1" t="str">
        <f t="shared" si="215"/>
        <v>89177328</v>
      </c>
      <c r="E2139" s="1" t="s">
        <v>24</v>
      </c>
      <c r="F2139" s="1" t="str">
        <f t="shared" si="210"/>
        <v>0010</v>
      </c>
      <c r="G2139" s="1" t="str">
        <f>""</f>
        <v/>
      </c>
      <c r="H2139" s="1" t="str">
        <f>"0034"</f>
        <v>0034</v>
      </c>
      <c r="I2139" s="1" t="s">
        <v>31</v>
      </c>
      <c r="J2139" s="1" t="str">
        <f>"01043977568"</f>
        <v>01043977568</v>
      </c>
      <c r="K2139" s="1" t="str">
        <f>"2017-03-24 16:57:58"</f>
        <v>2017-03-24 16:57:58</v>
      </c>
      <c r="L2139" s="1" t="str">
        <f>"2017-03-24 16:58:06"</f>
        <v>2017-03-24 16:58:06</v>
      </c>
      <c r="M2139" s="2">
        <v>1.1111111111111111E-3</v>
      </c>
      <c r="N2139" s="1" t="s">
        <v>26</v>
      </c>
      <c r="O2139" s="1" t="s">
        <v>27</v>
      </c>
      <c r="P2139" s="2">
        <v>1.2037037037037038E-3</v>
      </c>
      <c r="Q2139" s="1" t="s">
        <v>1531</v>
      </c>
      <c r="R2139" s="1">
        <v>0</v>
      </c>
      <c r="S2139" s="1" t="str">
        <f>""</f>
        <v/>
      </c>
      <c r="T2139" s="1" t="s">
        <v>29</v>
      </c>
      <c r="U2139" s="1" t="s">
        <v>30</v>
      </c>
      <c r="V2139" s="1">
        <v>0</v>
      </c>
    </row>
    <row r="2140" spans="2:22" x14ac:dyDescent="0.15">
      <c r="B2140" s="1" t="str">
        <f>"150****8314"</f>
        <v>150****8314</v>
      </c>
      <c r="C2140" s="1" t="s">
        <v>1532</v>
      </c>
      <c r="D2140" s="1" t="str">
        <f t="shared" si="215"/>
        <v>89177328</v>
      </c>
      <c r="E2140" s="1" t="s">
        <v>24</v>
      </c>
      <c r="F2140" s="1" t="str">
        <f t="shared" si="210"/>
        <v>0010</v>
      </c>
      <c r="G2140" s="1" t="str">
        <f>""</f>
        <v/>
      </c>
      <c r="H2140" s="1" t="str">
        <f>"0032"</f>
        <v>0032</v>
      </c>
      <c r="I2140" s="1" t="s">
        <v>119</v>
      </c>
      <c r="J2140" s="1" t="str">
        <f>"01043977566"</f>
        <v>01043977566</v>
      </c>
      <c r="K2140" s="1" t="str">
        <f>"2017-03-24 16:57:38"</f>
        <v>2017-03-24 16:57:38</v>
      </c>
      <c r="L2140" s="1" t="str">
        <f>"2017-03-24 16:57:48"</f>
        <v>2017-03-24 16:57:48</v>
      </c>
      <c r="M2140" s="2">
        <v>5.0925925925925921E-4</v>
      </c>
      <c r="N2140" s="1" t="s">
        <v>26</v>
      </c>
      <c r="O2140" s="1" t="s">
        <v>34</v>
      </c>
      <c r="P2140" s="2">
        <v>6.2500000000000001E-4</v>
      </c>
      <c r="Q2140" s="1" t="s">
        <v>1533</v>
      </c>
      <c r="R2140" s="1">
        <v>0</v>
      </c>
      <c r="S2140" s="1" t="str">
        <f>""</f>
        <v/>
      </c>
      <c r="T2140" s="1" t="s">
        <v>29</v>
      </c>
      <c r="U2140" s="1" t="s">
        <v>30</v>
      </c>
      <c r="V2140" s="1">
        <v>0</v>
      </c>
    </row>
    <row r="2141" spans="2:22" x14ac:dyDescent="0.15">
      <c r="B2141" s="1" t="str">
        <f>"131****9527"</f>
        <v>131****9527</v>
      </c>
      <c r="C2141" s="1" t="s">
        <v>23</v>
      </c>
      <c r="D2141" s="1" t="str">
        <f t="shared" si="215"/>
        <v>89177328</v>
      </c>
      <c r="E2141" s="1" t="s">
        <v>24</v>
      </c>
      <c r="F2141" s="1" t="str">
        <f t="shared" si="210"/>
        <v>0010</v>
      </c>
      <c r="G2141" s="1" t="str">
        <f>""</f>
        <v/>
      </c>
      <c r="H2141" s="1" t="str">
        <f>"0017"</f>
        <v>0017</v>
      </c>
      <c r="I2141" s="1" t="s">
        <v>135</v>
      </c>
      <c r="J2141" s="1" t="str">
        <f>"01043989717"</f>
        <v>01043989717</v>
      </c>
      <c r="K2141" s="1" t="str">
        <f>"2017-03-24 16:55:23"</f>
        <v>2017-03-24 16:55:23</v>
      </c>
      <c r="L2141" s="1" t="str">
        <f>"2017-03-24 16:55:30"</f>
        <v>2017-03-24 16:55:30</v>
      </c>
      <c r="M2141" s="2">
        <v>8.726851851851852E-3</v>
      </c>
      <c r="N2141" s="1" t="s">
        <v>26</v>
      </c>
      <c r="O2141" s="1" t="s">
        <v>27</v>
      </c>
      <c r="P2141" s="2">
        <v>8.8078703703703704E-3</v>
      </c>
      <c r="Q2141" s="1" t="s">
        <v>1534</v>
      </c>
      <c r="R2141" s="1">
        <v>0</v>
      </c>
      <c r="S2141" s="1" t="str">
        <f>""</f>
        <v/>
      </c>
      <c r="T2141" s="1" t="s">
        <v>29</v>
      </c>
      <c r="U2141" s="1" t="s">
        <v>30</v>
      </c>
      <c r="V2141" s="1">
        <v>0</v>
      </c>
    </row>
    <row r="2142" spans="2:22" x14ac:dyDescent="0.15">
      <c r="B2142" s="1" t="str">
        <f>"137****8565"</f>
        <v>137****8565</v>
      </c>
      <c r="C2142" s="1" t="s">
        <v>51</v>
      </c>
      <c r="D2142" s="1" t="str">
        <f t="shared" si="215"/>
        <v>89177328</v>
      </c>
      <c r="E2142" s="1" t="s">
        <v>24</v>
      </c>
      <c r="F2142" s="1" t="str">
        <f t="shared" si="210"/>
        <v>0010</v>
      </c>
      <c r="G2142" s="1" t="str">
        <f>""</f>
        <v/>
      </c>
      <c r="H2142" s="1" t="str">
        <f>"0031"</f>
        <v>0031</v>
      </c>
      <c r="I2142" s="1" t="s">
        <v>95</v>
      </c>
      <c r="J2142" s="1" t="str">
        <f>"01043977565"</f>
        <v>01043977565</v>
      </c>
      <c r="K2142" s="1" t="str">
        <f>"2017-03-24 16:29:15"</f>
        <v>2017-03-24 16:29:15</v>
      </c>
      <c r="L2142" s="1" t="str">
        <f>"2017-03-24 16:29:22"</f>
        <v>2017-03-24 16:29:22</v>
      </c>
      <c r="M2142" s="2">
        <v>4.8958333333333328E-3</v>
      </c>
      <c r="N2142" s="1" t="s">
        <v>26</v>
      </c>
      <c r="O2142" s="1" t="s">
        <v>27</v>
      </c>
      <c r="P2142" s="2">
        <v>4.9768518518518521E-3</v>
      </c>
      <c r="Q2142" s="1" t="s">
        <v>1535</v>
      </c>
      <c r="R2142" s="1">
        <v>0</v>
      </c>
      <c r="S2142" s="1" t="str">
        <f>""</f>
        <v/>
      </c>
      <c r="T2142" s="1" t="s">
        <v>29</v>
      </c>
      <c r="U2142" s="1" t="s">
        <v>30</v>
      </c>
      <c r="V2142" s="1">
        <v>0</v>
      </c>
    </row>
    <row r="2143" spans="2:22" x14ac:dyDescent="0.15">
      <c r="B2143" s="1" t="str">
        <f>"031****8508"</f>
        <v>031****8508</v>
      </c>
      <c r="C2143" s="1" t="s">
        <v>76</v>
      </c>
      <c r="D2143" s="1" t="str">
        <f t="shared" si="215"/>
        <v>89177328</v>
      </c>
      <c r="E2143" s="1" t="s">
        <v>24</v>
      </c>
      <c r="F2143" s="1" t="str">
        <f t="shared" si="210"/>
        <v>0010</v>
      </c>
      <c r="G2143" s="1" t="str">
        <f>""</f>
        <v/>
      </c>
      <c r="H2143" s="1" t="str">
        <f>"0033"</f>
        <v>0033</v>
      </c>
      <c r="I2143" s="1" t="s">
        <v>106</v>
      </c>
      <c r="J2143" s="1" t="str">
        <f>"01043977567"</f>
        <v>01043977567</v>
      </c>
      <c r="K2143" s="1" t="str">
        <f>"2017-03-24 16:29:06"</f>
        <v>2017-03-24 16:29:06</v>
      </c>
      <c r="L2143" s="1" t="str">
        <f>"2017-03-24 16:29:15"</f>
        <v>2017-03-24 16:29:15</v>
      </c>
      <c r="M2143" s="2">
        <v>2.1064814814814814E-2</v>
      </c>
      <c r="N2143" s="1" t="s">
        <v>26</v>
      </c>
      <c r="O2143" s="1" t="s">
        <v>27</v>
      </c>
      <c r="P2143" s="2">
        <v>2.1168981481481483E-2</v>
      </c>
      <c r="Q2143" s="1" t="s">
        <v>1536</v>
      </c>
      <c r="R2143" s="1">
        <v>0</v>
      </c>
      <c r="S2143" s="1" t="str">
        <f>""</f>
        <v/>
      </c>
      <c r="T2143" s="1" t="s">
        <v>29</v>
      </c>
      <c r="U2143" s="1" t="s">
        <v>30</v>
      </c>
      <c r="V2143" s="1">
        <v>0</v>
      </c>
    </row>
    <row r="2144" spans="2:22" x14ac:dyDescent="0.15">
      <c r="B2144" s="1" t="str">
        <f>"185****3546"</f>
        <v>185****3546</v>
      </c>
      <c r="C2144" s="1" t="s">
        <v>23</v>
      </c>
      <c r="D2144" s="1" t="str">
        <f t="shared" si="215"/>
        <v>89177328</v>
      </c>
      <c r="E2144" s="1" t="s">
        <v>24</v>
      </c>
      <c r="F2144" s="1" t="str">
        <f t="shared" si="210"/>
        <v>0010</v>
      </c>
      <c r="G2144" s="1" t="str">
        <f>""</f>
        <v/>
      </c>
      <c r="H2144" s="1" t="str">
        <f>"0012"</f>
        <v>0012</v>
      </c>
      <c r="I2144" s="1" t="s">
        <v>612</v>
      </c>
      <c r="J2144" s="1" t="str">
        <f>"01043989720"</f>
        <v>01043989720</v>
      </c>
      <c r="K2144" s="1" t="str">
        <f>"2017-03-24 16:18:25"</f>
        <v>2017-03-24 16:18:25</v>
      </c>
      <c r="L2144" s="1" t="str">
        <f>"2017-03-24 16:18:39"</f>
        <v>2017-03-24 16:18:39</v>
      </c>
      <c r="M2144" s="2">
        <v>1.5277777777777779E-3</v>
      </c>
      <c r="N2144" s="1" t="s">
        <v>26</v>
      </c>
      <c r="O2144" s="1" t="s">
        <v>34</v>
      </c>
      <c r="P2144" s="2">
        <v>1.689814814814815E-3</v>
      </c>
      <c r="Q2144" s="1" t="s">
        <v>1537</v>
      </c>
      <c r="R2144" s="1">
        <v>0</v>
      </c>
      <c r="S2144" s="1" t="str">
        <f>""</f>
        <v/>
      </c>
      <c r="T2144" s="1" t="s">
        <v>29</v>
      </c>
      <c r="U2144" s="1" t="s">
        <v>30</v>
      </c>
      <c r="V2144" s="1">
        <v>0</v>
      </c>
    </row>
    <row r="2145" spans="2:22" x14ac:dyDescent="0.15">
      <c r="B2145" s="1" t="str">
        <f>"139****9232"</f>
        <v>139****9232</v>
      </c>
      <c r="C2145" s="1" t="s">
        <v>127</v>
      </c>
      <c r="D2145" s="1" t="str">
        <f t="shared" si="215"/>
        <v>89177328</v>
      </c>
      <c r="E2145" s="1" t="s">
        <v>24</v>
      </c>
      <c r="F2145" s="1" t="str">
        <f t="shared" si="210"/>
        <v>0010</v>
      </c>
      <c r="G2145" s="1" t="str">
        <f>""</f>
        <v/>
      </c>
      <c r="H2145" s="1" t="str">
        <f>"0018"</f>
        <v>0018</v>
      </c>
      <c r="I2145" s="1" t="s">
        <v>36</v>
      </c>
      <c r="J2145" s="1" t="str">
        <f>"01043989718"</f>
        <v>01043989718</v>
      </c>
      <c r="K2145" s="1" t="str">
        <f>"2017-03-24 16:13:41"</f>
        <v>2017-03-24 16:13:41</v>
      </c>
      <c r="L2145" s="1" t="str">
        <f>"2017-03-24 16:13:49"</f>
        <v>2017-03-24 16:13:49</v>
      </c>
      <c r="M2145" s="2">
        <v>6.9444444444444447E-4</v>
      </c>
      <c r="N2145" s="1" t="s">
        <v>26</v>
      </c>
      <c r="O2145" s="1" t="s">
        <v>34</v>
      </c>
      <c r="P2145" s="2">
        <v>7.8703703703703705E-4</v>
      </c>
      <c r="Q2145" s="1" t="s">
        <v>1538</v>
      </c>
      <c r="R2145" s="1">
        <v>0</v>
      </c>
      <c r="S2145" s="1" t="str">
        <f>""</f>
        <v/>
      </c>
      <c r="T2145" s="1" t="s">
        <v>29</v>
      </c>
      <c r="U2145" s="1" t="s">
        <v>30</v>
      </c>
      <c r="V2145" s="1">
        <v>0</v>
      </c>
    </row>
    <row r="2146" spans="2:22" x14ac:dyDescent="0.15">
      <c r="B2146" s="1" t="str">
        <f>"181****6686"</f>
        <v>181****6686</v>
      </c>
      <c r="C2146" s="1" t="s">
        <v>137</v>
      </c>
      <c r="D2146" s="1" t="str">
        <f t="shared" si="215"/>
        <v>89177328</v>
      </c>
      <c r="E2146" s="1" t="s">
        <v>24</v>
      </c>
      <c r="F2146" s="1" t="str">
        <f t="shared" si="210"/>
        <v>0010</v>
      </c>
      <c r="G2146" s="1" t="str">
        <f>""</f>
        <v/>
      </c>
      <c r="H2146" s="1" t="str">
        <f>"0012"</f>
        <v>0012</v>
      </c>
      <c r="I2146" s="1" t="s">
        <v>612</v>
      </c>
      <c r="J2146" s="1" t="str">
        <f>"01043989720"</f>
        <v>01043989720</v>
      </c>
      <c r="K2146" s="1" t="str">
        <f>"2017-03-24 16:10:54"</f>
        <v>2017-03-24 16:10:54</v>
      </c>
      <c r="L2146" s="1" t="str">
        <f>"2017-03-24 16:11:08"</f>
        <v>2017-03-24 16:11:08</v>
      </c>
      <c r="M2146" s="2">
        <v>4.5370370370370365E-3</v>
      </c>
      <c r="N2146" s="1" t="s">
        <v>26</v>
      </c>
      <c r="O2146" s="1" t="s">
        <v>27</v>
      </c>
      <c r="P2146" s="2">
        <v>4.6990740740740743E-3</v>
      </c>
      <c r="Q2146" s="1" t="s">
        <v>1539</v>
      </c>
      <c r="R2146" s="1">
        <v>0</v>
      </c>
      <c r="S2146" s="1" t="str">
        <f>""</f>
        <v/>
      </c>
      <c r="T2146" s="1" t="s">
        <v>29</v>
      </c>
      <c r="U2146" s="1" t="s">
        <v>30</v>
      </c>
      <c r="V2146" s="1">
        <v>0</v>
      </c>
    </row>
    <row r="2147" spans="2:22" x14ac:dyDescent="0.15">
      <c r="B2147" s="1" t="str">
        <f>"153****6188"</f>
        <v>153****6188</v>
      </c>
      <c r="C2147" s="1" t="s">
        <v>831</v>
      </c>
      <c r="D2147" s="1" t="str">
        <f t="shared" si="215"/>
        <v>89177328</v>
      </c>
      <c r="E2147" s="1" t="s">
        <v>24</v>
      </c>
      <c r="F2147" s="1" t="str">
        <f t="shared" si="210"/>
        <v>0010</v>
      </c>
      <c r="G2147" s="1" t="str">
        <f>""</f>
        <v/>
      </c>
      <c r="H2147" s="1" t="str">
        <f>"0032"</f>
        <v>0032</v>
      </c>
      <c r="I2147" s="1" t="s">
        <v>119</v>
      </c>
      <c r="J2147" s="1" t="str">
        <f>"01043977566"</f>
        <v>01043977566</v>
      </c>
      <c r="K2147" s="1" t="str">
        <f>"2017-03-24 16:06:07"</f>
        <v>2017-03-24 16:06:07</v>
      </c>
      <c r="L2147" s="1" t="str">
        <f>"2017-03-24 16:06:17"</f>
        <v>2017-03-24 16:06:17</v>
      </c>
      <c r="M2147" s="2">
        <v>1.8194444444444444E-2</v>
      </c>
      <c r="N2147" s="1" t="s">
        <v>26</v>
      </c>
      <c r="O2147" s="1" t="s">
        <v>34</v>
      </c>
      <c r="P2147" s="2">
        <v>1.8310185185185186E-2</v>
      </c>
      <c r="Q2147" s="1" t="s">
        <v>1540</v>
      </c>
      <c r="R2147" s="1">
        <v>0</v>
      </c>
      <c r="S2147" s="1" t="str">
        <f>""</f>
        <v/>
      </c>
      <c r="T2147" s="1" t="s">
        <v>29</v>
      </c>
      <c r="U2147" s="1" t="s">
        <v>30</v>
      </c>
      <c r="V2147" s="1">
        <v>0</v>
      </c>
    </row>
    <row r="2148" spans="2:22" x14ac:dyDescent="0.15">
      <c r="B2148" s="1" t="str">
        <f>"181****8552"</f>
        <v>181****8552</v>
      </c>
      <c r="C2148" s="1" t="s">
        <v>1541</v>
      </c>
      <c r="D2148" s="1" t="str">
        <f t="shared" si="215"/>
        <v>89177328</v>
      </c>
      <c r="E2148" s="1" t="s">
        <v>24</v>
      </c>
      <c r="F2148" s="1" t="str">
        <f t="shared" si="210"/>
        <v>0010</v>
      </c>
      <c r="G2148" s="1" t="str">
        <f>""</f>
        <v/>
      </c>
      <c r="H2148" s="1" t="str">
        <f>"0031"</f>
        <v>0031</v>
      </c>
      <c r="I2148" s="1" t="s">
        <v>95</v>
      </c>
      <c r="J2148" s="1" t="str">
        <f>"01043977565"</f>
        <v>01043977565</v>
      </c>
      <c r="K2148" s="1" t="str">
        <f>"2017-03-24 15:56:46"</f>
        <v>2017-03-24 15:56:46</v>
      </c>
      <c r="L2148" s="1" t="str">
        <f>"2017-03-24 15:56:54"</f>
        <v>2017-03-24 15:56:54</v>
      </c>
      <c r="M2148" s="2">
        <v>3.7962962962962963E-3</v>
      </c>
      <c r="N2148" s="1" t="s">
        <v>26</v>
      </c>
      <c r="O2148" s="1" t="s">
        <v>27</v>
      </c>
      <c r="P2148" s="2">
        <v>3.8888888888888883E-3</v>
      </c>
      <c r="Q2148" s="1" t="s">
        <v>1542</v>
      </c>
      <c r="R2148" s="1">
        <v>0</v>
      </c>
      <c r="S2148" s="1" t="str">
        <f>""</f>
        <v/>
      </c>
      <c r="T2148" s="1" t="s">
        <v>29</v>
      </c>
      <c r="U2148" s="1" t="s">
        <v>30</v>
      </c>
      <c r="V2148" s="1">
        <v>0</v>
      </c>
    </row>
    <row r="2149" spans="2:22" x14ac:dyDescent="0.15">
      <c r="B2149" s="1" t="str">
        <f>"136****6881"</f>
        <v>136****6881</v>
      </c>
      <c r="C2149" s="1" t="s">
        <v>23</v>
      </c>
      <c r="D2149" s="1" t="str">
        <f t="shared" si="215"/>
        <v>89177328</v>
      </c>
      <c r="E2149" s="1" t="s">
        <v>24</v>
      </c>
      <c r="F2149" s="1" t="str">
        <f t="shared" si="210"/>
        <v>0010</v>
      </c>
      <c r="G2149" s="1" t="str">
        <f>""</f>
        <v/>
      </c>
      <c r="H2149" s="1" t="str">
        <f>"0031"</f>
        <v>0031</v>
      </c>
      <c r="I2149" s="1" t="s">
        <v>95</v>
      </c>
      <c r="J2149" s="1" t="str">
        <f>"01043977565"</f>
        <v>01043977565</v>
      </c>
      <c r="K2149" s="1" t="str">
        <f>"2017-03-24 15:46:44"</f>
        <v>2017-03-24 15:46:44</v>
      </c>
      <c r="L2149" s="1" t="str">
        <f>"2017-03-24 15:46:50"</f>
        <v>2017-03-24 15:46:50</v>
      </c>
      <c r="M2149" s="2">
        <v>2.1064814814814813E-3</v>
      </c>
      <c r="N2149" s="1" t="s">
        <v>26</v>
      </c>
      <c r="O2149" s="1" t="s">
        <v>27</v>
      </c>
      <c r="P2149" s="2">
        <v>2.1759259259259258E-3</v>
      </c>
      <c r="Q2149" s="1" t="s">
        <v>1543</v>
      </c>
      <c r="R2149" s="1">
        <v>0</v>
      </c>
      <c r="S2149" s="1" t="str">
        <f>""</f>
        <v/>
      </c>
      <c r="T2149" s="1" t="s">
        <v>29</v>
      </c>
      <c r="U2149" s="1" t="s">
        <v>30</v>
      </c>
      <c r="V2149" s="1">
        <v>0</v>
      </c>
    </row>
    <row r="2150" spans="2:22" x14ac:dyDescent="0.15">
      <c r="B2150" s="1" t="str">
        <f>"134****3443"</f>
        <v>134****3443</v>
      </c>
      <c r="C2150" s="1" t="s">
        <v>23</v>
      </c>
      <c r="D2150" s="1" t="str">
        <f t="shared" si="215"/>
        <v>89177328</v>
      </c>
      <c r="E2150" s="1" t="s">
        <v>24</v>
      </c>
      <c r="F2150" s="1" t="str">
        <f t="shared" si="210"/>
        <v>0010</v>
      </c>
      <c r="G2150" s="1" t="str">
        <f>""</f>
        <v/>
      </c>
      <c r="H2150" s="1" t="str">
        <f>"0034"</f>
        <v>0034</v>
      </c>
      <c r="I2150" s="1" t="s">
        <v>31</v>
      </c>
      <c r="J2150" s="1" t="str">
        <f>"01043977568"</f>
        <v>01043977568</v>
      </c>
      <c r="K2150" s="1" t="str">
        <f>"2017-03-24 15:35:09"</f>
        <v>2017-03-24 15:35:09</v>
      </c>
      <c r="L2150" s="1" t="str">
        <f>"2017-03-24 15:35:17"</f>
        <v>2017-03-24 15:35:17</v>
      </c>
      <c r="M2150" s="2">
        <v>4.5949074074074078E-3</v>
      </c>
      <c r="N2150" s="1" t="s">
        <v>26</v>
      </c>
      <c r="O2150" s="1" t="s">
        <v>34</v>
      </c>
      <c r="P2150" s="2">
        <v>4.6874999999999998E-3</v>
      </c>
      <c r="Q2150" s="1" t="s">
        <v>1544</v>
      </c>
      <c r="R2150" s="1">
        <v>0</v>
      </c>
      <c r="S2150" s="1" t="str">
        <f>""</f>
        <v/>
      </c>
      <c r="T2150" s="1" t="s">
        <v>29</v>
      </c>
      <c r="U2150" s="1" t="s">
        <v>30</v>
      </c>
      <c r="V2150" s="1">
        <v>0</v>
      </c>
    </row>
    <row r="2151" spans="2:22" x14ac:dyDescent="0.15">
      <c r="B2151" s="1" t="str">
        <f>"041****6018"</f>
        <v>041****6018</v>
      </c>
      <c r="C2151" s="1" t="s">
        <v>1545</v>
      </c>
      <c r="D2151" s="1" t="str">
        <f t="shared" si="215"/>
        <v>89177328</v>
      </c>
      <c r="E2151" s="1" t="s">
        <v>24</v>
      </c>
      <c r="F2151" s="1" t="str">
        <f t="shared" si="210"/>
        <v>0010</v>
      </c>
      <c r="G2151" s="1" t="str">
        <f>""</f>
        <v/>
      </c>
      <c r="H2151" s="1" t="str">
        <f>"0018"</f>
        <v>0018</v>
      </c>
      <c r="I2151" s="1" t="s">
        <v>36</v>
      </c>
      <c r="J2151" s="1" t="str">
        <f>"01043989718"</f>
        <v>01043989718</v>
      </c>
      <c r="K2151" s="1" t="str">
        <f>"2017-03-24 15:26:41"</f>
        <v>2017-03-24 15:26:41</v>
      </c>
      <c r="L2151" s="1" t="str">
        <f>"2017-03-24 15:26:51"</f>
        <v>2017-03-24 15:26:51</v>
      </c>
      <c r="M2151" s="2">
        <v>5.7986111111111112E-3</v>
      </c>
      <c r="N2151" s="1" t="s">
        <v>26</v>
      </c>
      <c r="O2151" s="1" t="s">
        <v>34</v>
      </c>
      <c r="P2151" s="2">
        <v>5.9143518518518521E-3</v>
      </c>
      <c r="Q2151" s="1" t="s">
        <v>1546</v>
      </c>
      <c r="R2151" s="1">
        <v>0</v>
      </c>
      <c r="S2151" s="1" t="str">
        <f>""</f>
        <v/>
      </c>
      <c r="T2151" s="1" t="s">
        <v>29</v>
      </c>
      <c r="U2151" s="1" t="s">
        <v>30</v>
      </c>
      <c r="V2151" s="1">
        <v>0</v>
      </c>
    </row>
    <row r="2152" spans="2:22" x14ac:dyDescent="0.15">
      <c r="B2152" s="1" t="str">
        <f>"010****7570"</f>
        <v>010****7570</v>
      </c>
      <c r="C2152" s="1" t="s">
        <v>23</v>
      </c>
      <c r="D2152" s="1" t="str">
        <f t="shared" si="215"/>
        <v>89177328</v>
      </c>
      <c r="E2152" s="1" t="str">
        <f>""</f>
        <v/>
      </c>
      <c r="F2152" s="1" t="str">
        <f>""</f>
        <v/>
      </c>
      <c r="G2152" s="1" t="str">
        <f>""</f>
        <v/>
      </c>
      <c r="H2152" s="1" t="str">
        <f>""</f>
        <v/>
      </c>
      <c r="I2152" s="1" t="str">
        <f>""</f>
        <v/>
      </c>
      <c r="J2152" s="1" t="str">
        <f>""</f>
        <v/>
      </c>
      <c r="K2152" s="1" t="str">
        <f>"2017-03-24 15:16:55"</f>
        <v>2017-03-24 15:16:55</v>
      </c>
      <c r="L2152" s="1" t="str">
        <f>"-"</f>
        <v>-</v>
      </c>
      <c r="M2152" s="2">
        <v>0</v>
      </c>
      <c r="N2152" s="1" t="s">
        <v>393</v>
      </c>
      <c r="O2152" s="1" t="s">
        <v>34</v>
      </c>
      <c r="P2152" s="2">
        <v>0</v>
      </c>
      <c r="Q2152" s="1" t="str">
        <f>""</f>
        <v/>
      </c>
      <c r="R2152" s="1">
        <v>0</v>
      </c>
      <c r="S2152" s="1" t="str">
        <f>""</f>
        <v/>
      </c>
      <c r="T2152" s="1" t="s">
        <v>29</v>
      </c>
      <c r="U2152" s="1" t="s">
        <v>30</v>
      </c>
      <c r="V2152" s="1">
        <v>0</v>
      </c>
    </row>
    <row r="2153" spans="2:22" x14ac:dyDescent="0.15">
      <c r="B2153" s="1" t="str">
        <f>"133****9117"</f>
        <v>133****9117</v>
      </c>
      <c r="C2153" s="1" t="s">
        <v>23</v>
      </c>
      <c r="D2153" s="1" t="str">
        <f>"4000108333"</f>
        <v>4000108333</v>
      </c>
      <c r="E2153" s="1" t="s">
        <v>53</v>
      </c>
      <c r="F2153" s="1" t="str">
        <f>"0000"</f>
        <v>0000</v>
      </c>
      <c r="G2153" s="1" t="str">
        <f>""</f>
        <v/>
      </c>
      <c r="H2153" s="1" t="str">
        <f>"1010"</f>
        <v>1010</v>
      </c>
      <c r="I2153" s="1" t="s">
        <v>148</v>
      </c>
      <c r="J2153" s="1" t="str">
        <f>"13718091869"</f>
        <v>13718091869</v>
      </c>
      <c r="K2153" s="1" t="str">
        <f>"2017-03-24 15:16:15"</f>
        <v>2017-03-24 15:16:15</v>
      </c>
      <c r="L2153" s="1" t="str">
        <f>"2017-03-24 15:16:45"</f>
        <v>2017-03-24 15:16:45</v>
      </c>
      <c r="M2153" s="2">
        <v>1.3807870370370371E-2</v>
      </c>
      <c r="N2153" s="1" t="s">
        <v>26</v>
      </c>
      <c r="O2153" s="1" t="s">
        <v>27</v>
      </c>
      <c r="P2153" s="2">
        <v>1.4155092592592592E-2</v>
      </c>
      <c r="Q2153" s="1" t="s">
        <v>1547</v>
      </c>
      <c r="R2153" s="1">
        <v>2.52</v>
      </c>
      <c r="S2153" s="1" t="str">
        <f>""</f>
        <v/>
      </c>
      <c r="T2153" s="1" t="s">
        <v>29</v>
      </c>
      <c r="U2153" s="1" t="s">
        <v>30</v>
      </c>
      <c r="V2153" s="1">
        <v>0</v>
      </c>
    </row>
    <row r="2154" spans="2:22" x14ac:dyDescent="0.15">
      <c r="B2154" s="1" t="str">
        <f>"010****7570"</f>
        <v>010****7570</v>
      </c>
      <c r="C2154" s="1" t="s">
        <v>23</v>
      </c>
      <c r="D2154" s="1" t="str">
        <f t="shared" ref="D2154:D2191" si="216">"89177328"</f>
        <v>89177328</v>
      </c>
      <c r="E2154" s="1" t="s">
        <v>24</v>
      </c>
      <c r="F2154" s="1" t="str">
        <f t="shared" ref="F2154:F2191" si="217">"0010"</f>
        <v>0010</v>
      </c>
      <c r="G2154" s="1" t="str">
        <f>""</f>
        <v/>
      </c>
      <c r="H2154" s="1" t="str">
        <f>"0033"</f>
        <v>0033</v>
      </c>
      <c r="I2154" s="1" t="s">
        <v>106</v>
      </c>
      <c r="J2154" s="1" t="str">
        <f>"01043977567"</f>
        <v>01043977567</v>
      </c>
      <c r="K2154" s="1" t="str">
        <f>"2017-03-24 15:11:31"</f>
        <v>2017-03-24 15:11:31</v>
      </c>
      <c r="L2154" s="1" t="str">
        <f>"-"</f>
        <v>-</v>
      </c>
      <c r="M2154" s="2">
        <v>0</v>
      </c>
      <c r="N2154" s="1" t="s">
        <v>33</v>
      </c>
      <c r="O2154" s="1" t="s">
        <v>34</v>
      </c>
      <c r="P2154" s="2">
        <v>6.9444444444444444E-5</v>
      </c>
      <c r="Q2154" s="1" t="str">
        <f>""</f>
        <v/>
      </c>
      <c r="R2154" s="1">
        <v>0</v>
      </c>
      <c r="S2154" s="1" t="str">
        <f>""</f>
        <v/>
      </c>
      <c r="T2154" s="1" t="s">
        <v>29</v>
      </c>
      <c r="U2154" s="1" t="s">
        <v>30</v>
      </c>
      <c r="V2154" s="1">
        <v>0</v>
      </c>
    </row>
    <row r="2155" spans="2:22" x14ac:dyDescent="0.15">
      <c r="B2155" s="1" t="str">
        <f>"180****3391"</f>
        <v>180****3391</v>
      </c>
      <c r="C2155" s="1" t="s">
        <v>23</v>
      </c>
      <c r="D2155" s="1" t="str">
        <f t="shared" si="216"/>
        <v>89177328</v>
      </c>
      <c r="E2155" s="1" t="s">
        <v>24</v>
      </c>
      <c r="F2155" s="1" t="str">
        <f t="shared" si="217"/>
        <v>0010</v>
      </c>
      <c r="G2155" s="1" t="str">
        <f>""</f>
        <v/>
      </c>
      <c r="H2155" s="1" t="str">
        <f>"0034"</f>
        <v>0034</v>
      </c>
      <c r="I2155" s="1" t="s">
        <v>31</v>
      </c>
      <c r="J2155" s="1" t="str">
        <f>"01043977568"</f>
        <v>01043977568</v>
      </c>
      <c r="K2155" s="1" t="str">
        <f>"2017-03-24 15:03:28"</f>
        <v>2017-03-24 15:03:28</v>
      </c>
      <c r="L2155" s="1" t="str">
        <f>"2017-03-24 15:03:38"</f>
        <v>2017-03-24 15:03:38</v>
      </c>
      <c r="M2155" s="2">
        <v>1.7812499999999998E-2</v>
      </c>
      <c r="N2155" s="1" t="s">
        <v>26</v>
      </c>
      <c r="O2155" s="1" t="s">
        <v>34</v>
      </c>
      <c r="P2155" s="2">
        <v>1.7928240740740741E-2</v>
      </c>
      <c r="Q2155" s="1" t="s">
        <v>1548</v>
      </c>
      <c r="R2155" s="1">
        <v>0</v>
      </c>
      <c r="S2155" s="1" t="str">
        <f>""</f>
        <v/>
      </c>
      <c r="T2155" s="1" t="s">
        <v>29</v>
      </c>
      <c r="U2155" s="1" t="s">
        <v>30</v>
      </c>
      <c r="V2155" s="1">
        <v>0</v>
      </c>
    </row>
    <row r="2156" spans="2:22" x14ac:dyDescent="0.15">
      <c r="B2156" s="1" t="str">
        <f>"182****5580"</f>
        <v>182****5580</v>
      </c>
      <c r="C2156" s="1" t="s">
        <v>23</v>
      </c>
      <c r="D2156" s="1" t="str">
        <f t="shared" si="216"/>
        <v>89177328</v>
      </c>
      <c r="E2156" s="1" t="s">
        <v>24</v>
      </c>
      <c r="F2156" s="1" t="str">
        <f t="shared" si="217"/>
        <v>0010</v>
      </c>
      <c r="G2156" s="1" t="str">
        <f>""</f>
        <v/>
      </c>
      <c r="H2156" s="1" t="str">
        <f>"0032"</f>
        <v>0032</v>
      </c>
      <c r="I2156" s="1" t="s">
        <v>119</v>
      </c>
      <c r="J2156" s="1" t="str">
        <f>"01043977566"</f>
        <v>01043977566</v>
      </c>
      <c r="K2156" s="1" t="str">
        <f>"2017-03-24 14:58:50"</f>
        <v>2017-03-24 14:58:50</v>
      </c>
      <c r="L2156" s="1" t="str">
        <f>"2017-03-24 14:58:59"</f>
        <v>2017-03-24 14:58:59</v>
      </c>
      <c r="M2156" s="2">
        <v>4.4560185185185189E-3</v>
      </c>
      <c r="N2156" s="1" t="s">
        <v>26</v>
      </c>
      <c r="O2156" s="1" t="s">
        <v>34</v>
      </c>
      <c r="P2156" s="2">
        <v>4.5601851851851853E-3</v>
      </c>
      <c r="Q2156" s="1" t="s">
        <v>1549</v>
      </c>
      <c r="R2156" s="1">
        <v>0</v>
      </c>
      <c r="S2156" s="1" t="str">
        <f>""</f>
        <v/>
      </c>
      <c r="T2156" s="1" t="s">
        <v>29</v>
      </c>
      <c r="U2156" s="1" t="s">
        <v>30</v>
      </c>
      <c r="V2156" s="1">
        <v>0</v>
      </c>
    </row>
    <row r="2157" spans="2:22" x14ac:dyDescent="0.15">
      <c r="B2157" s="1" t="str">
        <f>"136****7522"</f>
        <v>136****7522</v>
      </c>
      <c r="C2157" s="1" t="s">
        <v>23</v>
      </c>
      <c r="D2157" s="1" t="str">
        <f t="shared" si="216"/>
        <v>89177328</v>
      </c>
      <c r="E2157" s="1" t="s">
        <v>24</v>
      </c>
      <c r="F2157" s="1" t="str">
        <f t="shared" si="217"/>
        <v>0010</v>
      </c>
      <c r="G2157" s="1" t="str">
        <f>""</f>
        <v/>
      </c>
      <c r="H2157" s="1" t="str">
        <f>"0012"</f>
        <v>0012</v>
      </c>
      <c r="I2157" s="1" t="s">
        <v>612</v>
      </c>
      <c r="J2157" s="1" t="str">
        <f>"01043989720"</f>
        <v>01043989720</v>
      </c>
      <c r="K2157" s="1" t="str">
        <f>"2017-03-24 14:56:56"</f>
        <v>2017-03-24 14:56:56</v>
      </c>
      <c r="L2157" s="1" t="str">
        <f>"2017-03-24 14:57:04"</f>
        <v>2017-03-24 14:57:04</v>
      </c>
      <c r="M2157" s="2">
        <v>1.2268518518518518E-3</v>
      </c>
      <c r="N2157" s="1" t="s">
        <v>26</v>
      </c>
      <c r="O2157" s="1" t="s">
        <v>27</v>
      </c>
      <c r="P2157" s="2">
        <v>1.3194444444444443E-3</v>
      </c>
      <c r="Q2157" s="1" t="s">
        <v>1550</v>
      </c>
      <c r="R2157" s="1">
        <v>0</v>
      </c>
      <c r="S2157" s="1" t="str">
        <f>""</f>
        <v/>
      </c>
      <c r="T2157" s="1" t="s">
        <v>29</v>
      </c>
      <c r="U2157" s="1" t="s">
        <v>30</v>
      </c>
      <c r="V2157" s="1">
        <v>0</v>
      </c>
    </row>
    <row r="2158" spans="2:22" x14ac:dyDescent="0.15">
      <c r="B2158" s="1" t="str">
        <f>"010****7570"</f>
        <v>010****7570</v>
      </c>
      <c r="C2158" s="1" t="s">
        <v>23</v>
      </c>
      <c r="D2158" s="1" t="str">
        <f t="shared" si="216"/>
        <v>89177328</v>
      </c>
      <c r="E2158" s="1" t="s">
        <v>24</v>
      </c>
      <c r="F2158" s="1" t="str">
        <f t="shared" si="217"/>
        <v>0010</v>
      </c>
      <c r="G2158" s="1" t="str">
        <f>""</f>
        <v/>
      </c>
      <c r="H2158" s="1" t="str">
        <f>"0012"</f>
        <v>0012</v>
      </c>
      <c r="I2158" s="1" t="s">
        <v>612</v>
      </c>
      <c r="J2158" s="1" t="str">
        <f>"01043989720"</f>
        <v>01043989720</v>
      </c>
      <c r="K2158" s="1" t="str">
        <f>"2017-03-24 14:54:35"</f>
        <v>2017-03-24 14:54:35</v>
      </c>
      <c r="L2158" s="1" t="str">
        <f>"-"</f>
        <v>-</v>
      </c>
      <c r="M2158" s="2">
        <v>0</v>
      </c>
      <c r="N2158" s="1" t="s">
        <v>33</v>
      </c>
      <c r="O2158" s="1" t="s">
        <v>34</v>
      </c>
      <c r="P2158" s="2">
        <v>2.3148148148148147E-5</v>
      </c>
      <c r="Q2158" s="1" t="str">
        <f>""</f>
        <v/>
      </c>
      <c r="R2158" s="1">
        <v>0</v>
      </c>
      <c r="S2158" s="1" t="str">
        <f>""</f>
        <v/>
      </c>
      <c r="T2158" s="1" t="s">
        <v>29</v>
      </c>
      <c r="U2158" s="1" t="s">
        <v>30</v>
      </c>
      <c r="V2158" s="1">
        <v>0</v>
      </c>
    </row>
    <row r="2159" spans="2:22" x14ac:dyDescent="0.15">
      <c r="B2159" s="1" t="str">
        <f>"010****7570"</f>
        <v>010****7570</v>
      </c>
      <c r="C2159" s="1" t="s">
        <v>23</v>
      </c>
      <c r="D2159" s="1" t="str">
        <f t="shared" si="216"/>
        <v>89177328</v>
      </c>
      <c r="E2159" s="1" t="s">
        <v>24</v>
      </c>
      <c r="F2159" s="1" t="str">
        <f t="shared" si="217"/>
        <v>0010</v>
      </c>
      <c r="G2159" s="1" t="str">
        <f>""</f>
        <v/>
      </c>
      <c r="H2159" s="1" t="str">
        <f>"0012"</f>
        <v>0012</v>
      </c>
      <c r="I2159" s="1" t="s">
        <v>612</v>
      </c>
      <c r="J2159" s="1" t="str">
        <f>"01043989720"</f>
        <v>01043989720</v>
      </c>
      <c r="K2159" s="1" t="str">
        <f>"2017-03-24 14:51:36"</f>
        <v>2017-03-24 14:51:36</v>
      </c>
      <c r="L2159" s="1" t="str">
        <f>"-"</f>
        <v>-</v>
      </c>
      <c r="M2159" s="2">
        <v>0</v>
      </c>
      <c r="N2159" s="1" t="s">
        <v>33</v>
      </c>
      <c r="O2159" s="1" t="s">
        <v>34</v>
      </c>
      <c r="P2159" s="2">
        <v>5.7870370370370366E-5</v>
      </c>
      <c r="Q2159" s="1" t="str">
        <f>""</f>
        <v/>
      </c>
      <c r="R2159" s="1">
        <v>0</v>
      </c>
      <c r="S2159" s="1" t="str">
        <f>""</f>
        <v/>
      </c>
      <c r="T2159" s="1" t="s">
        <v>29</v>
      </c>
      <c r="U2159" s="1" t="s">
        <v>30</v>
      </c>
      <c r="V2159" s="1">
        <v>0</v>
      </c>
    </row>
    <row r="2160" spans="2:22" x14ac:dyDescent="0.15">
      <c r="B2160" s="1" t="str">
        <f>"136****8693"</f>
        <v>136****8693</v>
      </c>
      <c r="C2160" s="1" t="s">
        <v>23</v>
      </c>
      <c r="D2160" s="1" t="str">
        <f t="shared" si="216"/>
        <v>89177328</v>
      </c>
      <c r="E2160" s="1" t="s">
        <v>24</v>
      </c>
      <c r="F2160" s="1" t="str">
        <f t="shared" si="217"/>
        <v>0010</v>
      </c>
      <c r="G2160" s="1" t="str">
        <f>""</f>
        <v/>
      </c>
      <c r="H2160" s="1" t="str">
        <f>"0012"</f>
        <v>0012</v>
      </c>
      <c r="I2160" s="1" t="s">
        <v>612</v>
      </c>
      <c r="J2160" s="1" t="str">
        <f>"01043989720"</f>
        <v>01043989720</v>
      </c>
      <c r="K2160" s="1" t="str">
        <f>"2017-03-24 14:43:02"</f>
        <v>2017-03-24 14:43:02</v>
      </c>
      <c r="L2160" s="1" t="str">
        <f>"2017-03-24 14:43:16"</f>
        <v>2017-03-24 14:43:16</v>
      </c>
      <c r="M2160" s="2">
        <v>2.5925925925925925E-3</v>
      </c>
      <c r="N2160" s="1" t="s">
        <v>26</v>
      </c>
      <c r="O2160" s="1" t="s">
        <v>27</v>
      </c>
      <c r="P2160" s="2">
        <v>2.7546296296296294E-3</v>
      </c>
      <c r="Q2160" s="1" t="s">
        <v>1551</v>
      </c>
      <c r="R2160" s="1">
        <v>0</v>
      </c>
      <c r="S2160" s="1" t="str">
        <f>""</f>
        <v/>
      </c>
      <c r="T2160" s="1" t="s">
        <v>29</v>
      </c>
      <c r="U2160" s="1" t="s">
        <v>30</v>
      </c>
      <c r="V2160" s="1">
        <v>0</v>
      </c>
    </row>
    <row r="2161" spans="2:22" x14ac:dyDescent="0.15">
      <c r="B2161" s="1" t="str">
        <f>"182****8140"</f>
        <v>182****8140</v>
      </c>
      <c r="C2161" s="1" t="s">
        <v>226</v>
      </c>
      <c r="D2161" s="1" t="str">
        <f t="shared" si="216"/>
        <v>89177328</v>
      </c>
      <c r="E2161" s="1" t="s">
        <v>24</v>
      </c>
      <c r="F2161" s="1" t="str">
        <f t="shared" si="217"/>
        <v>0010</v>
      </c>
      <c r="G2161" s="1" t="str">
        <f>""</f>
        <v/>
      </c>
      <c r="H2161" s="1" t="str">
        <f>"0012"</f>
        <v>0012</v>
      </c>
      <c r="I2161" s="1" t="s">
        <v>612</v>
      </c>
      <c r="J2161" s="1" t="str">
        <f>"01043989720"</f>
        <v>01043989720</v>
      </c>
      <c r="K2161" s="1" t="str">
        <f>"2017-03-24 14:19:05"</f>
        <v>2017-03-24 14:19:05</v>
      </c>
      <c r="L2161" s="1" t="str">
        <f>"2017-03-24 14:19:19"</f>
        <v>2017-03-24 14:19:19</v>
      </c>
      <c r="M2161" s="2">
        <v>1.3622685185185184E-2</v>
      </c>
      <c r="N2161" s="1" t="s">
        <v>26</v>
      </c>
      <c r="O2161" s="1" t="s">
        <v>34</v>
      </c>
      <c r="P2161" s="2">
        <v>1.3784722222222224E-2</v>
      </c>
      <c r="Q2161" s="1" t="s">
        <v>1552</v>
      </c>
      <c r="R2161" s="1">
        <v>0</v>
      </c>
      <c r="S2161" s="1" t="str">
        <f>""</f>
        <v/>
      </c>
      <c r="T2161" s="1" t="s">
        <v>29</v>
      </c>
      <c r="U2161" s="1" t="s">
        <v>30</v>
      </c>
      <c r="V2161" s="1">
        <v>0</v>
      </c>
    </row>
    <row r="2162" spans="2:22" x14ac:dyDescent="0.15">
      <c r="B2162" s="1" t="str">
        <f>"159****3117"</f>
        <v>159****3117</v>
      </c>
      <c r="C2162" s="1" t="s">
        <v>23</v>
      </c>
      <c r="D2162" s="1" t="str">
        <f t="shared" si="216"/>
        <v>89177328</v>
      </c>
      <c r="E2162" s="1" t="s">
        <v>24</v>
      </c>
      <c r="F2162" s="1" t="str">
        <f t="shared" si="217"/>
        <v>0010</v>
      </c>
      <c r="G2162" s="1" t="str">
        <f>""</f>
        <v/>
      </c>
      <c r="H2162" s="1" t="str">
        <f>"0033"</f>
        <v>0033</v>
      </c>
      <c r="I2162" s="1" t="s">
        <v>106</v>
      </c>
      <c r="J2162" s="1" t="str">
        <f>"01043977567"</f>
        <v>01043977567</v>
      </c>
      <c r="K2162" s="1" t="str">
        <f>"2017-03-24 14:16:15"</f>
        <v>2017-03-24 14:16:15</v>
      </c>
      <c r="L2162" s="1" t="str">
        <f>"2017-03-24 14:16:24"</f>
        <v>2017-03-24 14:16:24</v>
      </c>
      <c r="M2162" s="2">
        <v>4.340277777777778E-3</v>
      </c>
      <c r="N2162" s="1" t="s">
        <v>26</v>
      </c>
      <c r="O2162" s="1" t="s">
        <v>27</v>
      </c>
      <c r="P2162" s="2">
        <v>4.4444444444444444E-3</v>
      </c>
      <c r="Q2162" s="1" t="s">
        <v>1553</v>
      </c>
      <c r="R2162" s="1">
        <v>0</v>
      </c>
      <c r="S2162" s="1" t="str">
        <f>""</f>
        <v/>
      </c>
      <c r="T2162" s="1" t="s">
        <v>29</v>
      </c>
      <c r="U2162" s="1" t="s">
        <v>30</v>
      </c>
      <c r="V2162" s="1">
        <v>0</v>
      </c>
    </row>
    <row r="2163" spans="2:22" x14ac:dyDescent="0.15">
      <c r="B2163" s="1" t="str">
        <f>"159****3117"</f>
        <v>159****3117</v>
      </c>
      <c r="C2163" s="1" t="s">
        <v>23</v>
      </c>
      <c r="D2163" s="1" t="str">
        <f t="shared" si="216"/>
        <v>89177328</v>
      </c>
      <c r="E2163" s="1" t="s">
        <v>24</v>
      </c>
      <c r="F2163" s="1" t="str">
        <f t="shared" si="217"/>
        <v>0010</v>
      </c>
      <c r="G2163" s="1" t="str">
        <f>""</f>
        <v/>
      </c>
      <c r="H2163" s="1" t="str">
        <f>"0033"</f>
        <v>0033</v>
      </c>
      <c r="I2163" s="1" t="s">
        <v>106</v>
      </c>
      <c r="J2163" s="1" t="str">
        <f>"01043977567"</f>
        <v>01043977567</v>
      </c>
      <c r="K2163" s="1" t="str">
        <f>"2017-03-24 14:12:59"</f>
        <v>2017-03-24 14:12:59</v>
      </c>
      <c r="L2163" s="1" t="str">
        <f>"-"</f>
        <v>-</v>
      </c>
      <c r="M2163" s="2">
        <v>0</v>
      </c>
      <c r="N2163" s="1" t="s">
        <v>33</v>
      </c>
      <c r="O2163" s="1" t="s">
        <v>34</v>
      </c>
      <c r="P2163" s="2">
        <v>2.3148148148148147E-5</v>
      </c>
      <c r="Q2163" s="1" t="str">
        <f>""</f>
        <v/>
      </c>
      <c r="R2163" s="1">
        <v>0</v>
      </c>
      <c r="S2163" s="1" t="str">
        <f>""</f>
        <v/>
      </c>
      <c r="T2163" s="1" t="s">
        <v>29</v>
      </c>
      <c r="U2163" s="1" t="s">
        <v>30</v>
      </c>
      <c r="V2163" s="1">
        <v>0</v>
      </c>
    </row>
    <row r="2164" spans="2:22" x14ac:dyDescent="0.15">
      <c r="B2164" s="1" t="str">
        <f>"0312017181042554"</f>
        <v>0312017181042554</v>
      </c>
      <c r="C2164" s="1" t="s">
        <v>99</v>
      </c>
      <c r="D2164" s="1" t="str">
        <f t="shared" si="216"/>
        <v>89177328</v>
      </c>
      <c r="E2164" s="1" t="s">
        <v>24</v>
      </c>
      <c r="F2164" s="1" t="str">
        <f t="shared" si="217"/>
        <v>0010</v>
      </c>
      <c r="G2164" s="1" t="str">
        <f>""</f>
        <v/>
      </c>
      <c r="H2164" s="1" t="str">
        <f>"0017"</f>
        <v>0017</v>
      </c>
      <c r="I2164" s="1" t="s">
        <v>135</v>
      </c>
      <c r="J2164" s="1" t="str">
        <f>"01043989717"</f>
        <v>01043989717</v>
      </c>
      <c r="K2164" s="1" t="str">
        <f>"2017-03-24 13:55:13"</f>
        <v>2017-03-24 13:55:13</v>
      </c>
      <c r="L2164" s="1" t="str">
        <f>"2017-03-24 13:55:22"</f>
        <v>2017-03-24 13:55:22</v>
      </c>
      <c r="M2164" s="2">
        <v>9.0856481481481483E-3</v>
      </c>
      <c r="N2164" s="1" t="s">
        <v>26</v>
      </c>
      <c r="O2164" s="1" t="s">
        <v>27</v>
      </c>
      <c r="P2164" s="2">
        <v>9.1898148148148139E-3</v>
      </c>
      <c r="Q2164" s="1" t="s">
        <v>1554</v>
      </c>
      <c r="R2164" s="1">
        <v>0</v>
      </c>
      <c r="S2164" s="1" t="str">
        <f>""</f>
        <v/>
      </c>
      <c r="T2164" s="1" t="s">
        <v>29</v>
      </c>
      <c r="U2164" s="1" t="s">
        <v>30</v>
      </c>
      <c r="V2164" s="1">
        <v>0</v>
      </c>
    </row>
    <row r="2165" spans="2:22" x14ac:dyDescent="0.15">
      <c r="B2165" s="1" t="str">
        <f>"010****2189"</f>
        <v>010****2189</v>
      </c>
      <c r="C2165" s="1" t="s">
        <v>23</v>
      </c>
      <c r="D2165" s="1" t="str">
        <f t="shared" si="216"/>
        <v>89177328</v>
      </c>
      <c r="E2165" s="1" t="s">
        <v>24</v>
      </c>
      <c r="F2165" s="1" t="str">
        <f t="shared" si="217"/>
        <v>0010</v>
      </c>
      <c r="G2165" s="1" t="str">
        <f>""</f>
        <v/>
      </c>
      <c r="H2165" s="1" t="str">
        <f>"0018"</f>
        <v>0018</v>
      </c>
      <c r="I2165" s="1" t="s">
        <v>36</v>
      </c>
      <c r="J2165" s="1" t="str">
        <f>"01043989718"</f>
        <v>01043989718</v>
      </c>
      <c r="K2165" s="1" t="str">
        <f>"2017-03-24 13:39:44"</f>
        <v>2017-03-24 13:39:44</v>
      </c>
      <c r="L2165" s="1" t="str">
        <f>"2017-03-24 13:39:52"</f>
        <v>2017-03-24 13:39:52</v>
      </c>
      <c r="M2165" s="2">
        <v>1.3981481481481482E-2</v>
      </c>
      <c r="N2165" s="1" t="s">
        <v>26</v>
      </c>
      <c r="O2165" s="1" t="s">
        <v>34</v>
      </c>
      <c r="P2165" s="2">
        <v>1.4074074074074074E-2</v>
      </c>
      <c r="Q2165" s="1" t="s">
        <v>1555</v>
      </c>
      <c r="R2165" s="1">
        <v>0</v>
      </c>
      <c r="S2165" s="1" t="str">
        <f>""</f>
        <v/>
      </c>
      <c r="T2165" s="1" t="s">
        <v>29</v>
      </c>
      <c r="U2165" s="1" t="s">
        <v>30</v>
      </c>
      <c r="V2165" s="1">
        <v>0</v>
      </c>
    </row>
    <row r="2166" spans="2:22" x14ac:dyDescent="0.15">
      <c r="B2166" s="1" t="str">
        <f>"182****8800"</f>
        <v>182****8800</v>
      </c>
      <c r="C2166" s="1" t="s">
        <v>1263</v>
      </c>
      <c r="D2166" s="1" t="str">
        <f t="shared" si="216"/>
        <v>89177328</v>
      </c>
      <c r="E2166" s="1" t="s">
        <v>24</v>
      </c>
      <c r="F2166" s="1" t="str">
        <f t="shared" si="217"/>
        <v>0010</v>
      </c>
      <c r="G2166" s="1" t="str">
        <f>""</f>
        <v/>
      </c>
      <c r="H2166" s="1" t="str">
        <f>"0034"</f>
        <v>0034</v>
      </c>
      <c r="I2166" s="1" t="s">
        <v>31</v>
      </c>
      <c r="J2166" s="1" t="str">
        <f>"01043977568"</f>
        <v>01043977568</v>
      </c>
      <c r="K2166" s="1" t="str">
        <f>"2017-03-24 13:36:40"</f>
        <v>2017-03-24 13:36:40</v>
      </c>
      <c r="L2166" s="1" t="str">
        <f>"2017-03-24 13:36:49"</f>
        <v>2017-03-24 13:36:49</v>
      </c>
      <c r="M2166" s="2">
        <v>3.6111111111111114E-3</v>
      </c>
      <c r="N2166" s="1" t="s">
        <v>26</v>
      </c>
      <c r="O2166" s="1" t="s">
        <v>34</v>
      </c>
      <c r="P2166" s="2">
        <v>3.7152777777777774E-3</v>
      </c>
      <c r="Q2166" s="1" t="s">
        <v>1556</v>
      </c>
      <c r="R2166" s="1">
        <v>0</v>
      </c>
      <c r="S2166" s="1" t="str">
        <f>""</f>
        <v/>
      </c>
      <c r="T2166" s="1" t="s">
        <v>29</v>
      </c>
      <c r="U2166" s="1" t="s">
        <v>30</v>
      </c>
      <c r="V2166" s="1">
        <v>0</v>
      </c>
    </row>
    <row r="2167" spans="2:22" x14ac:dyDescent="0.15">
      <c r="B2167" s="1" t="str">
        <f>"010****5904"</f>
        <v>010****5904</v>
      </c>
      <c r="C2167" s="1" t="s">
        <v>23</v>
      </c>
      <c r="D2167" s="1" t="str">
        <f t="shared" si="216"/>
        <v>89177328</v>
      </c>
      <c r="E2167" s="1" t="s">
        <v>24</v>
      </c>
      <c r="F2167" s="1" t="str">
        <f t="shared" si="217"/>
        <v>0010</v>
      </c>
      <c r="G2167" s="1" t="str">
        <f>""</f>
        <v/>
      </c>
      <c r="H2167" s="1" t="str">
        <f>"0018"</f>
        <v>0018</v>
      </c>
      <c r="I2167" s="1" t="s">
        <v>36</v>
      </c>
      <c r="J2167" s="1" t="str">
        <f>"01043989718"</f>
        <v>01043989718</v>
      </c>
      <c r="K2167" s="1" t="str">
        <f>"2017-03-24 12:46:25"</f>
        <v>2017-03-24 12:46:25</v>
      </c>
      <c r="L2167" s="1" t="str">
        <f>"2017-03-24 12:46:33"</f>
        <v>2017-03-24 12:46:33</v>
      </c>
      <c r="M2167" s="2">
        <v>1.5219907407407409E-2</v>
      </c>
      <c r="N2167" s="1" t="s">
        <v>26</v>
      </c>
      <c r="O2167" s="1" t="s">
        <v>34</v>
      </c>
      <c r="P2167" s="2">
        <v>1.53125E-2</v>
      </c>
      <c r="Q2167" s="1" t="s">
        <v>1557</v>
      </c>
      <c r="R2167" s="1">
        <v>0</v>
      </c>
      <c r="S2167" s="1" t="str">
        <f>""</f>
        <v/>
      </c>
      <c r="T2167" s="1" t="s">
        <v>29</v>
      </c>
      <c r="U2167" s="1" t="s">
        <v>30</v>
      </c>
      <c r="V2167" s="1">
        <v>0</v>
      </c>
    </row>
    <row r="2168" spans="2:22" x14ac:dyDescent="0.15">
      <c r="B2168" s="1" t="str">
        <f>"010****1031"</f>
        <v>010****1031</v>
      </c>
      <c r="C2168" s="1" t="s">
        <v>23</v>
      </c>
      <c r="D2168" s="1" t="str">
        <f t="shared" si="216"/>
        <v>89177328</v>
      </c>
      <c r="E2168" s="1" t="s">
        <v>24</v>
      </c>
      <c r="F2168" s="1" t="str">
        <f t="shared" si="217"/>
        <v>0010</v>
      </c>
      <c r="G2168" s="1" t="str">
        <f>""</f>
        <v/>
      </c>
      <c r="H2168" s="1" t="str">
        <f>"0010"</f>
        <v>0010</v>
      </c>
      <c r="I2168" s="1" t="s">
        <v>71</v>
      </c>
      <c r="J2168" s="1" t="str">
        <f>"01043989719"</f>
        <v>01043989719</v>
      </c>
      <c r="K2168" s="1" t="str">
        <f>"2017-03-24 12:23:54"</f>
        <v>2017-03-24 12:23:54</v>
      </c>
      <c r="L2168" s="1" t="str">
        <f>"2017-03-24 12:24:03"</f>
        <v>2017-03-24 12:24:03</v>
      </c>
      <c r="M2168" s="2">
        <v>4.0162037037037033E-3</v>
      </c>
      <c r="N2168" s="1" t="s">
        <v>26</v>
      </c>
      <c r="O2168" s="1" t="s">
        <v>34</v>
      </c>
      <c r="P2168" s="2">
        <v>4.1203703703703706E-3</v>
      </c>
      <c r="Q2168" s="1" t="s">
        <v>1558</v>
      </c>
      <c r="R2168" s="1">
        <v>0</v>
      </c>
      <c r="S2168" s="1" t="str">
        <f>""</f>
        <v/>
      </c>
      <c r="T2168" s="1" t="s">
        <v>29</v>
      </c>
      <c r="U2168" s="1" t="s">
        <v>30</v>
      </c>
      <c r="V2168" s="1">
        <v>0</v>
      </c>
    </row>
    <row r="2169" spans="2:22" x14ac:dyDescent="0.15">
      <c r="B2169" s="1" t="str">
        <f>"183****4280"</f>
        <v>183****4280</v>
      </c>
      <c r="C2169" s="1" t="s">
        <v>23</v>
      </c>
      <c r="D2169" s="1" t="str">
        <f t="shared" si="216"/>
        <v>89177328</v>
      </c>
      <c r="E2169" s="1" t="s">
        <v>24</v>
      </c>
      <c r="F2169" s="1" t="str">
        <f t="shared" si="217"/>
        <v>0010</v>
      </c>
      <c r="G2169" s="1" t="str">
        <f>""</f>
        <v/>
      </c>
      <c r="H2169" s="1" t="str">
        <f>"0012"</f>
        <v>0012</v>
      </c>
      <c r="I2169" s="1" t="s">
        <v>612</v>
      </c>
      <c r="J2169" s="1" t="str">
        <f>"01043989720"</f>
        <v>01043989720</v>
      </c>
      <c r="K2169" s="1" t="str">
        <f>"2017-03-24 12:12:09"</f>
        <v>2017-03-24 12:12:09</v>
      </c>
      <c r="L2169" s="1" t="str">
        <f>"-"</f>
        <v>-</v>
      </c>
      <c r="M2169" s="2">
        <v>0</v>
      </c>
      <c r="N2169" s="1" t="s">
        <v>33</v>
      </c>
      <c r="O2169" s="1" t="s">
        <v>34</v>
      </c>
      <c r="P2169" s="2">
        <v>8.1018518518518516E-5</v>
      </c>
      <c r="Q2169" s="1" t="str">
        <f>""</f>
        <v/>
      </c>
      <c r="R2169" s="1">
        <v>0</v>
      </c>
      <c r="S2169" s="1" t="str">
        <f>""</f>
        <v/>
      </c>
      <c r="T2169" s="1" t="s">
        <v>29</v>
      </c>
      <c r="U2169" s="1" t="s">
        <v>30</v>
      </c>
      <c r="V2169" s="1">
        <v>0</v>
      </c>
    </row>
    <row r="2170" spans="2:22" x14ac:dyDescent="0.15">
      <c r="B2170" s="1" t="str">
        <f>"186****0604"</f>
        <v>186****0604</v>
      </c>
      <c r="C2170" s="1" t="s">
        <v>23</v>
      </c>
      <c r="D2170" s="1" t="str">
        <f t="shared" si="216"/>
        <v>89177328</v>
      </c>
      <c r="E2170" s="1" t="s">
        <v>24</v>
      </c>
      <c r="F2170" s="1" t="str">
        <f t="shared" si="217"/>
        <v>0010</v>
      </c>
      <c r="G2170" s="1" t="str">
        <f>""</f>
        <v/>
      </c>
      <c r="H2170" s="1" t="str">
        <f>"0012"</f>
        <v>0012</v>
      </c>
      <c r="I2170" s="1" t="s">
        <v>612</v>
      </c>
      <c r="J2170" s="1" t="str">
        <f>"01043989720"</f>
        <v>01043989720</v>
      </c>
      <c r="K2170" s="1" t="str">
        <f>"2017-03-24 12:08:35"</f>
        <v>2017-03-24 12:08:35</v>
      </c>
      <c r="L2170" s="1" t="str">
        <f>"-"</f>
        <v>-</v>
      </c>
      <c r="M2170" s="2">
        <v>0</v>
      </c>
      <c r="N2170" s="1" t="s">
        <v>33</v>
      </c>
      <c r="O2170" s="1" t="s">
        <v>34</v>
      </c>
      <c r="P2170" s="2">
        <v>1.1574074074074073E-4</v>
      </c>
      <c r="Q2170" s="1" t="str">
        <f>""</f>
        <v/>
      </c>
      <c r="R2170" s="1">
        <v>0</v>
      </c>
      <c r="S2170" s="1" t="str">
        <f>""</f>
        <v/>
      </c>
      <c r="T2170" s="1" t="s">
        <v>29</v>
      </c>
      <c r="U2170" s="1" t="s">
        <v>30</v>
      </c>
      <c r="V2170" s="1">
        <v>0</v>
      </c>
    </row>
    <row r="2171" spans="2:22" x14ac:dyDescent="0.15">
      <c r="B2171" s="1" t="str">
        <f>"157****4678"</f>
        <v>157****4678</v>
      </c>
      <c r="C2171" s="1" t="s">
        <v>23</v>
      </c>
      <c r="D2171" s="1" t="str">
        <f t="shared" si="216"/>
        <v>89177328</v>
      </c>
      <c r="E2171" s="1" t="s">
        <v>24</v>
      </c>
      <c r="F2171" s="1" t="str">
        <f t="shared" si="217"/>
        <v>0010</v>
      </c>
      <c r="G2171" s="1" t="str">
        <f>""</f>
        <v/>
      </c>
      <c r="H2171" s="1" t="str">
        <f>"0031"</f>
        <v>0031</v>
      </c>
      <c r="I2171" s="1" t="s">
        <v>95</v>
      </c>
      <c r="J2171" s="1" t="str">
        <f>"01043977565"</f>
        <v>01043977565</v>
      </c>
      <c r="K2171" s="1" t="str">
        <f>"2017-03-24 12:07:27"</f>
        <v>2017-03-24 12:07:27</v>
      </c>
      <c r="L2171" s="1" t="str">
        <f>"2017-03-24 12:07:33"</f>
        <v>2017-03-24 12:07:33</v>
      </c>
      <c r="M2171" s="2">
        <v>0</v>
      </c>
      <c r="N2171" s="1" t="s">
        <v>26</v>
      </c>
      <c r="O2171" s="1" t="s">
        <v>27</v>
      </c>
      <c r="P2171" s="2">
        <v>6.9444444444444444E-5</v>
      </c>
      <c r="Q2171" s="1" t="str">
        <f>""</f>
        <v/>
      </c>
      <c r="R2171" s="1">
        <v>0</v>
      </c>
      <c r="S2171" s="1" t="str">
        <f>""</f>
        <v/>
      </c>
      <c r="T2171" s="1" t="s">
        <v>29</v>
      </c>
      <c r="U2171" s="1" t="s">
        <v>30</v>
      </c>
      <c r="V2171" s="1">
        <v>0</v>
      </c>
    </row>
    <row r="2172" spans="2:22" x14ac:dyDescent="0.15">
      <c r="B2172" s="1" t="str">
        <f>"186****0604"</f>
        <v>186****0604</v>
      </c>
      <c r="C2172" s="1" t="s">
        <v>23</v>
      </c>
      <c r="D2172" s="1" t="str">
        <f t="shared" si="216"/>
        <v>89177328</v>
      </c>
      <c r="E2172" s="1" t="s">
        <v>24</v>
      </c>
      <c r="F2172" s="1" t="str">
        <f t="shared" si="217"/>
        <v>0010</v>
      </c>
      <c r="G2172" s="1" t="str">
        <f>""</f>
        <v/>
      </c>
      <c r="H2172" s="1" t="str">
        <f>"0018"</f>
        <v>0018</v>
      </c>
      <c r="I2172" s="1" t="s">
        <v>36</v>
      </c>
      <c r="J2172" s="1" t="str">
        <f>"01043989718"</f>
        <v>01043989718</v>
      </c>
      <c r="K2172" s="1" t="str">
        <f>"2017-03-24 12:06:04"</f>
        <v>2017-03-24 12:06:04</v>
      </c>
      <c r="L2172" s="1" t="str">
        <f>"-"</f>
        <v>-</v>
      </c>
      <c r="M2172" s="2">
        <v>0</v>
      </c>
      <c r="N2172" s="1" t="s">
        <v>33</v>
      </c>
      <c r="O2172" s="1" t="s">
        <v>34</v>
      </c>
      <c r="P2172" s="2">
        <v>5.7870370370370366E-5</v>
      </c>
      <c r="Q2172" s="1" t="str">
        <f>""</f>
        <v/>
      </c>
      <c r="R2172" s="1">
        <v>0</v>
      </c>
      <c r="S2172" s="1" t="str">
        <f>""</f>
        <v/>
      </c>
      <c r="T2172" s="1" t="s">
        <v>29</v>
      </c>
      <c r="U2172" s="1" t="s">
        <v>30</v>
      </c>
      <c r="V2172" s="1">
        <v>0</v>
      </c>
    </row>
    <row r="2173" spans="2:22" x14ac:dyDescent="0.15">
      <c r="B2173" s="1" t="str">
        <f>"186****8899"</f>
        <v>186****8899</v>
      </c>
      <c r="C2173" s="1" t="s">
        <v>249</v>
      </c>
      <c r="D2173" s="1" t="str">
        <f t="shared" si="216"/>
        <v>89177328</v>
      </c>
      <c r="E2173" s="1" t="s">
        <v>24</v>
      </c>
      <c r="F2173" s="1" t="str">
        <f t="shared" si="217"/>
        <v>0010</v>
      </c>
      <c r="G2173" s="1" t="str">
        <f>""</f>
        <v/>
      </c>
      <c r="H2173" s="1" t="str">
        <f>"0034"</f>
        <v>0034</v>
      </c>
      <c r="I2173" s="1" t="s">
        <v>31</v>
      </c>
      <c r="J2173" s="1" t="str">
        <f>"01043977568"</f>
        <v>01043977568</v>
      </c>
      <c r="K2173" s="1" t="str">
        <f>"2017-03-24 12:03:59"</f>
        <v>2017-03-24 12:03:59</v>
      </c>
      <c r="L2173" s="1" t="str">
        <f>"2017-03-24 12:04:11"</f>
        <v>2017-03-24 12:04:11</v>
      </c>
      <c r="M2173" s="2">
        <v>3.7731481481481483E-3</v>
      </c>
      <c r="N2173" s="1" t="s">
        <v>26</v>
      </c>
      <c r="O2173" s="1" t="s">
        <v>27</v>
      </c>
      <c r="P2173" s="2">
        <v>3.9120370370370368E-3</v>
      </c>
      <c r="Q2173" s="1" t="s">
        <v>1559</v>
      </c>
      <c r="R2173" s="1">
        <v>0</v>
      </c>
      <c r="S2173" s="1" t="str">
        <f>""</f>
        <v/>
      </c>
      <c r="T2173" s="1" t="s">
        <v>29</v>
      </c>
      <c r="U2173" s="1" t="s">
        <v>30</v>
      </c>
      <c r="V2173" s="1">
        <v>0</v>
      </c>
    </row>
    <row r="2174" spans="2:22" x14ac:dyDescent="0.15">
      <c r="B2174" s="1" t="str">
        <f>"157****4678"</f>
        <v>157****4678</v>
      </c>
      <c r="C2174" s="1" t="s">
        <v>23</v>
      </c>
      <c r="D2174" s="1" t="str">
        <f t="shared" si="216"/>
        <v>89177328</v>
      </c>
      <c r="E2174" s="1" t="s">
        <v>24</v>
      </c>
      <c r="F2174" s="1" t="str">
        <f t="shared" si="217"/>
        <v>0010</v>
      </c>
      <c r="G2174" s="1" t="str">
        <f>""</f>
        <v/>
      </c>
      <c r="H2174" s="1" t="str">
        <f>"0034"</f>
        <v>0034</v>
      </c>
      <c r="I2174" s="1" t="s">
        <v>31</v>
      </c>
      <c r="J2174" s="1" t="str">
        <f>"01043977568"</f>
        <v>01043977568</v>
      </c>
      <c r="K2174" s="1" t="str">
        <f>"2017-03-24 12:03:09"</f>
        <v>2017-03-24 12:03:09</v>
      </c>
      <c r="L2174" s="1" t="str">
        <f>"-"</f>
        <v>-</v>
      </c>
      <c r="M2174" s="2">
        <v>0</v>
      </c>
      <c r="N2174" s="1" t="s">
        <v>33</v>
      </c>
      <c r="O2174" s="1" t="s">
        <v>34</v>
      </c>
      <c r="P2174" s="2">
        <v>1.0416666666666667E-4</v>
      </c>
      <c r="Q2174" s="1" t="str">
        <f>""</f>
        <v/>
      </c>
      <c r="R2174" s="1">
        <v>0</v>
      </c>
      <c r="S2174" s="1" t="str">
        <f>""</f>
        <v/>
      </c>
      <c r="T2174" s="1" t="s">
        <v>29</v>
      </c>
      <c r="U2174" s="1" t="s">
        <v>30</v>
      </c>
      <c r="V2174" s="1">
        <v>0</v>
      </c>
    </row>
    <row r="2175" spans="2:22" x14ac:dyDescent="0.15">
      <c r="B2175" s="1" t="str">
        <f>"186****0604"</f>
        <v>186****0604</v>
      </c>
      <c r="C2175" s="1" t="s">
        <v>23</v>
      </c>
      <c r="D2175" s="1" t="str">
        <f t="shared" si="216"/>
        <v>89177328</v>
      </c>
      <c r="E2175" s="1" t="s">
        <v>24</v>
      </c>
      <c r="F2175" s="1" t="str">
        <f t="shared" si="217"/>
        <v>0010</v>
      </c>
      <c r="G2175" s="1" t="str">
        <f>""</f>
        <v/>
      </c>
      <c r="H2175" s="1" t="str">
        <f>"0034"</f>
        <v>0034</v>
      </c>
      <c r="I2175" s="1" t="s">
        <v>31</v>
      </c>
      <c r="J2175" s="1" t="str">
        <f>"01043977568"</f>
        <v>01043977568</v>
      </c>
      <c r="K2175" s="1" t="str">
        <f>"2017-03-24 12:02:52"</f>
        <v>2017-03-24 12:02:52</v>
      </c>
      <c r="L2175" s="1" t="str">
        <f>"-"</f>
        <v>-</v>
      </c>
      <c r="M2175" s="2">
        <v>0</v>
      </c>
      <c r="N2175" s="1" t="s">
        <v>33</v>
      </c>
      <c r="O2175" s="1" t="s">
        <v>34</v>
      </c>
      <c r="P2175" s="2">
        <v>6.9444444444444444E-5</v>
      </c>
      <c r="Q2175" s="1" t="str">
        <f>""</f>
        <v/>
      </c>
      <c r="R2175" s="1">
        <v>0</v>
      </c>
      <c r="S2175" s="1" t="str">
        <f>""</f>
        <v/>
      </c>
      <c r="T2175" s="1" t="s">
        <v>29</v>
      </c>
      <c r="U2175" s="1" t="s">
        <v>30</v>
      </c>
      <c r="V2175" s="1">
        <v>0</v>
      </c>
    </row>
    <row r="2176" spans="2:22" x14ac:dyDescent="0.15">
      <c r="B2176" s="1" t="str">
        <f>"177****0206"</f>
        <v>177****0206</v>
      </c>
      <c r="C2176" s="1" t="s">
        <v>23</v>
      </c>
      <c r="D2176" s="1" t="str">
        <f t="shared" si="216"/>
        <v>89177328</v>
      </c>
      <c r="E2176" s="1" t="s">
        <v>24</v>
      </c>
      <c r="F2176" s="1" t="str">
        <f t="shared" si="217"/>
        <v>0010</v>
      </c>
      <c r="G2176" s="1" t="str">
        <f>""</f>
        <v/>
      </c>
      <c r="H2176" s="1" t="str">
        <f>"0034"</f>
        <v>0034</v>
      </c>
      <c r="I2176" s="1" t="s">
        <v>31</v>
      </c>
      <c r="J2176" s="1" t="str">
        <f>"01043977568"</f>
        <v>01043977568</v>
      </c>
      <c r="K2176" s="1" t="str">
        <f>"2017-03-24 12:01:29"</f>
        <v>2017-03-24 12:01:29</v>
      </c>
      <c r="L2176" s="1" t="str">
        <f>"-"</f>
        <v>-</v>
      </c>
      <c r="M2176" s="2">
        <v>0</v>
      </c>
      <c r="N2176" s="1" t="s">
        <v>33</v>
      </c>
      <c r="O2176" s="1" t="s">
        <v>34</v>
      </c>
      <c r="P2176" s="2">
        <v>8.1018518518518516E-5</v>
      </c>
      <c r="Q2176" s="1" t="str">
        <f>""</f>
        <v/>
      </c>
      <c r="R2176" s="1">
        <v>0</v>
      </c>
      <c r="S2176" s="1" t="str">
        <f>""</f>
        <v/>
      </c>
      <c r="T2176" s="1" t="s">
        <v>29</v>
      </c>
      <c r="U2176" s="1" t="s">
        <v>30</v>
      </c>
      <c r="V2176" s="1">
        <v>0</v>
      </c>
    </row>
    <row r="2177" spans="2:22" x14ac:dyDescent="0.15">
      <c r="B2177" s="1" t="str">
        <f>"116114"</f>
        <v>116114</v>
      </c>
      <c r="C2177" s="1" t="s">
        <v>159</v>
      </c>
      <c r="D2177" s="1" t="str">
        <f t="shared" si="216"/>
        <v>89177328</v>
      </c>
      <c r="E2177" s="1" t="s">
        <v>24</v>
      </c>
      <c r="F2177" s="1" t="str">
        <f t="shared" si="217"/>
        <v>0010</v>
      </c>
      <c r="G2177" s="1" t="str">
        <f>""</f>
        <v/>
      </c>
      <c r="H2177" s="1" t="str">
        <f>"0018"</f>
        <v>0018</v>
      </c>
      <c r="I2177" s="1" t="s">
        <v>36</v>
      </c>
      <c r="J2177" s="1" t="str">
        <f>"01043989718"</f>
        <v>01043989718</v>
      </c>
      <c r="K2177" s="1" t="str">
        <f>"2017-03-24 12:00:37"</f>
        <v>2017-03-24 12:00:37</v>
      </c>
      <c r="L2177" s="1" t="str">
        <f>"2017-03-24 12:01:12"</f>
        <v>2017-03-24 12:01:12</v>
      </c>
      <c r="M2177" s="2">
        <v>1.7361111111111112E-4</v>
      </c>
      <c r="N2177" s="1" t="s">
        <v>26</v>
      </c>
      <c r="O2177" s="1" t="s">
        <v>34</v>
      </c>
      <c r="P2177" s="2">
        <v>5.7870370370370378E-4</v>
      </c>
      <c r="Q2177" s="1" t="s">
        <v>1560</v>
      </c>
      <c r="R2177" s="1">
        <v>0</v>
      </c>
      <c r="S2177" s="1" t="str">
        <f>""</f>
        <v/>
      </c>
      <c r="T2177" s="1" t="s">
        <v>29</v>
      </c>
      <c r="U2177" s="1" t="s">
        <v>30</v>
      </c>
      <c r="V2177" s="1">
        <v>0</v>
      </c>
    </row>
    <row r="2178" spans="2:22" x14ac:dyDescent="0.15">
      <c r="B2178" s="1" t="str">
        <f>"157****4678"</f>
        <v>157****4678</v>
      </c>
      <c r="C2178" s="1" t="s">
        <v>23</v>
      </c>
      <c r="D2178" s="1" t="str">
        <f t="shared" si="216"/>
        <v>89177328</v>
      </c>
      <c r="E2178" s="1" t="s">
        <v>24</v>
      </c>
      <c r="F2178" s="1" t="str">
        <f t="shared" si="217"/>
        <v>0010</v>
      </c>
      <c r="G2178" s="1" t="str">
        <f>""</f>
        <v/>
      </c>
      <c r="H2178" s="1" t="str">
        <f>"0034"</f>
        <v>0034</v>
      </c>
      <c r="I2178" s="1" t="s">
        <v>31</v>
      </c>
      <c r="J2178" s="1" t="str">
        <f>"01043977568"</f>
        <v>01043977568</v>
      </c>
      <c r="K2178" s="1" t="str">
        <f>"2017-03-24 11:59:02"</f>
        <v>2017-03-24 11:59:02</v>
      </c>
      <c r="L2178" s="1" t="str">
        <f t="shared" ref="L2178:L2190" si="218">"-"</f>
        <v>-</v>
      </c>
      <c r="M2178" s="2">
        <v>0</v>
      </c>
      <c r="N2178" s="1" t="s">
        <v>33</v>
      </c>
      <c r="O2178" s="1" t="s">
        <v>34</v>
      </c>
      <c r="P2178" s="2">
        <v>9.2592592592592588E-5</v>
      </c>
      <c r="Q2178" s="1" t="str">
        <f>""</f>
        <v/>
      </c>
      <c r="R2178" s="1">
        <v>0</v>
      </c>
      <c r="S2178" s="1" t="str">
        <f>""</f>
        <v/>
      </c>
      <c r="T2178" s="1" t="s">
        <v>29</v>
      </c>
      <c r="U2178" s="1" t="s">
        <v>30</v>
      </c>
      <c r="V2178" s="1">
        <v>0</v>
      </c>
    </row>
    <row r="2179" spans="2:22" x14ac:dyDescent="0.15">
      <c r="B2179" s="1" t="str">
        <f>"183****4280"</f>
        <v>183****4280</v>
      </c>
      <c r="C2179" s="1" t="s">
        <v>23</v>
      </c>
      <c r="D2179" s="1" t="str">
        <f t="shared" si="216"/>
        <v>89177328</v>
      </c>
      <c r="E2179" s="1" t="s">
        <v>24</v>
      </c>
      <c r="F2179" s="1" t="str">
        <f t="shared" si="217"/>
        <v>0010</v>
      </c>
      <c r="G2179" s="1" t="str">
        <f>""</f>
        <v/>
      </c>
      <c r="H2179" s="1" t="str">
        <f>"0018"</f>
        <v>0018</v>
      </c>
      <c r="I2179" s="1" t="s">
        <v>36</v>
      </c>
      <c r="J2179" s="1" t="str">
        <f>"01043989718"</f>
        <v>01043989718</v>
      </c>
      <c r="K2179" s="1" t="str">
        <f>"2017-03-24 11:59:02"</f>
        <v>2017-03-24 11:59:02</v>
      </c>
      <c r="L2179" s="1" t="str">
        <f t="shared" si="218"/>
        <v>-</v>
      </c>
      <c r="M2179" s="2">
        <v>0</v>
      </c>
      <c r="N2179" s="1" t="s">
        <v>33</v>
      </c>
      <c r="O2179" s="1" t="s">
        <v>34</v>
      </c>
      <c r="P2179" s="2">
        <v>1.0416666666666667E-4</v>
      </c>
      <c r="Q2179" s="1" t="str">
        <f>""</f>
        <v/>
      </c>
      <c r="R2179" s="1">
        <v>0</v>
      </c>
      <c r="S2179" s="1" t="str">
        <f>""</f>
        <v/>
      </c>
      <c r="T2179" s="1" t="s">
        <v>29</v>
      </c>
      <c r="U2179" s="1" t="s">
        <v>30</v>
      </c>
      <c r="V2179" s="1">
        <v>0</v>
      </c>
    </row>
    <row r="2180" spans="2:22" x14ac:dyDescent="0.15">
      <c r="B2180" s="1" t="str">
        <f>"177****0206"</f>
        <v>177****0206</v>
      </c>
      <c r="C2180" s="1" t="s">
        <v>23</v>
      </c>
      <c r="D2180" s="1" t="str">
        <f t="shared" si="216"/>
        <v>89177328</v>
      </c>
      <c r="E2180" s="1" t="s">
        <v>24</v>
      </c>
      <c r="F2180" s="1" t="str">
        <f t="shared" si="217"/>
        <v>0010</v>
      </c>
      <c r="G2180" s="1" t="str">
        <f>""</f>
        <v/>
      </c>
      <c r="H2180" s="1" t="str">
        <f>"0034"</f>
        <v>0034</v>
      </c>
      <c r="I2180" s="1" t="s">
        <v>31</v>
      </c>
      <c r="J2180" s="1" t="str">
        <f>"01043977568"</f>
        <v>01043977568</v>
      </c>
      <c r="K2180" s="1" t="str">
        <f>"2017-03-24 11:57:34"</f>
        <v>2017-03-24 11:57:34</v>
      </c>
      <c r="L2180" s="1" t="str">
        <f t="shared" si="218"/>
        <v>-</v>
      </c>
      <c r="M2180" s="2">
        <v>0</v>
      </c>
      <c r="N2180" s="1" t="s">
        <v>33</v>
      </c>
      <c r="O2180" s="1" t="s">
        <v>34</v>
      </c>
      <c r="P2180" s="2">
        <v>8.1018518518518516E-5</v>
      </c>
      <c r="Q2180" s="1" t="str">
        <f>""</f>
        <v/>
      </c>
      <c r="R2180" s="1">
        <v>0</v>
      </c>
      <c r="S2180" s="1" t="str">
        <f>""</f>
        <v/>
      </c>
      <c r="T2180" s="1" t="s">
        <v>29</v>
      </c>
      <c r="U2180" s="1" t="s">
        <v>30</v>
      </c>
      <c r="V2180" s="1">
        <v>0</v>
      </c>
    </row>
    <row r="2181" spans="2:22" x14ac:dyDescent="0.15">
      <c r="B2181" s="1" t="str">
        <f>"130****5656"</f>
        <v>130****5656</v>
      </c>
      <c r="C2181" s="1" t="s">
        <v>112</v>
      </c>
      <c r="D2181" s="1" t="str">
        <f t="shared" si="216"/>
        <v>89177328</v>
      </c>
      <c r="E2181" s="1" t="s">
        <v>24</v>
      </c>
      <c r="F2181" s="1" t="str">
        <f t="shared" si="217"/>
        <v>0010</v>
      </c>
      <c r="G2181" s="1" t="str">
        <f>""</f>
        <v/>
      </c>
      <c r="H2181" s="1" t="str">
        <f>"0034"</f>
        <v>0034</v>
      </c>
      <c r="I2181" s="1" t="s">
        <v>31</v>
      </c>
      <c r="J2181" s="1" t="str">
        <f>"01043977568"</f>
        <v>01043977568</v>
      </c>
      <c r="K2181" s="1" t="str">
        <f>"2017-03-24 11:56:07"</f>
        <v>2017-03-24 11:56:07</v>
      </c>
      <c r="L2181" s="1" t="str">
        <f t="shared" si="218"/>
        <v>-</v>
      </c>
      <c r="M2181" s="2">
        <v>0</v>
      </c>
      <c r="N2181" s="1" t="s">
        <v>33</v>
      </c>
      <c r="O2181" s="1" t="s">
        <v>34</v>
      </c>
      <c r="P2181" s="2">
        <v>1.273148148148148E-4</v>
      </c>
      <c r="Q2181" s="1" t="str">
        <f>""</f>
        <v/>
      </c>
      <c r="R2181" s="1">
        <v>0</v>
      </c>
      <c r="S2181" s="1" t="str">
        <f>""</f>
        <v/>
      </c>
      <c r="T2181" s="1" t="s">
        <v>29</v>
      </c>
      <c r="U2181" s="1" t="s">
        <v>30</v>
      </c>
      <c r="V2181" s="1">
        <v>0</v>
      </c>
    </row>
    <row r="2182" spans="2:22" x14ac:dyDescent="0.15">
      <c r="B2182" s="1" t="str">
        <f>"157****4678"</f>
        <v>157****4678</v>
      </c>
      <c r="C2182" s="1" t="s">
        <v>23</v>
      </c>
      <c r="D2182" s="1" t="str">
        <f t="shared" si="216"/>
        <v>89177328</v>
      </c>
      <c r="E2182" s="1" t="s">
        <v>24</v>
      </c>
      <c r="F2182" s="1" t="str">
        <f t="shared" si="217"/>
        <v>0010</v>
      </c>
      <c r="G2182" s="1" t="str">
        <f>""</f>
        <v/>
      </c>
      <c r="H2182" s="1" t="str">
        <f>"0012"</f>
        <v>0012</v>
      </c>
      <c r="I2182" s="1" t="s">
        <v>612</v>
      </c>
      <c r="J2182" s="1" t="str">
        <f>"01043989720"</f>
        <v>01043989720</v>
      </c>
      <c r="K2182" s="1" t="str">
        <f>"2017-03-24 11:54:06"</f>
        <v>2017-03-24 11:54:06</v>
      </c>
      <c r="L2182" s="1" t="str">
        <f t="shared" si="218"/>
        <v>-</v>
      </c>
      <c r="M2182" s="2">
        <v>0</v>
      </c>
      <c r="N2182" s="1" t="s">
        <v>33</v>
      </c>
      <c r="O2182" s="1" t="s">
        <v>34</v>
      </c>
      <c r="P2182" s="2">
        <v>6.9444444444444444E-5</v>
      </c>
      <c r="Q2182" s="1" t="str">
        <f>""</f>
        <v/>
      </c>
      <c r="R2182" s="1">
        <v>0</v>
      </c>
      <c r="S2182" s="1" t="str">
        <f>""</f>
        <v/>
      </c>
      <c r="T2182" s="1" t="s">
        <v>29</v>
      </c>
      <c r="U2182" s="1" t="s">
        <v>30</v>
      </c>
      <c r="V2182" s="1">
        <v>0</v>
      </c>
    </row>
    <row r="2183" spans="2:22" x14ac:dyDescent="0.15">
      <c r="B2183" s="1" t="str">
        <f>"177****0206"</f>
        <v>177****0206</v>
      </c>
      <c r="C2183" s="1" t="s">
        <v>23</v>
      </c>
      <c r="D2183" s="1" t="str">
        <f t="shared" si="216"/>
        <v>89177328</v>
      </c>
      <c r="E2183" s="1" t="s">
        <v>24</v>
      </c>
      <c r="F2183" s="1" t="str">
        <f t="shared" si="217"/>
        <v>0010</v>
      </c>
      <c r="G2183" s="1" t="str">
        <f>""</f>
        <v/>
      </c>
      <c r="H2183" s="1" t="str">
        <f>"0012"</f>
        <v>0012</v>
      </c>
      <c r="I2183" s="1" t="s">
        <v>612</v>
      </c>
      <c r="J2183" s="1" t="str">
        <f>"01043989720"</f>
        <v>01043989720</v>
      </c>
      <c r="K2183" s="1" t="str">
        <f>"2017-03-24 11:53:39"</f>
        <v>2017-03-24 11:53:39</v>
      </c>
      <c r="L2183" s="1" t="str">
        <f t="shared" si="218"/>
        <v>-</v>
      </c>
      <c r="M2183" s="2">
        <v>0</v>
      </c>
      <c r="N2183" s="1" t="s">
        <v>33</v>
      </c>
      <c r="O2183" s="1" t="s">
        <v>34</v>
      </c>
      <c r="P2183" s="2">
        <v>1.3888888888888889E-4</v>
      </c>
      <c r="Q2183" s="1" t="str">
        <f>""</f>
        <v/>
      </c>
      <c r="R2183" s="1">
        <v>0</v>
      </c>
      <c r="S2183" s="1" t="str">
        <f>""</f>
        <v/>
      </c>
      <c r="T2183" s="1" t="s">
        <v>29</v>
      </c>
      <c r="U2183" s="1" t="s">
        <v>30</v>
      </c>
      <c r="V2183" s="1">
        <v>0</v>
      </c>
    </row>
    <row r="2184" spans="2:22" x14ac:dyDescent="0.15">
      <c r="B2184" s="1" t="str">
        <f>"183****4280"</f>
        <v>183****4280</v>
      </c>
      <c r="C2184" s="1" t="s">
        <v>23</v>
      </c>
      <c r="D2184" s="1" t="str">
        <f t="shared" si="216"/>
        <v>89177328</v>
      </c>
      <c r="E2184" s="1" t="s">
        <v>24</v>
      </c>
      <c r="F2184" s="1" t="str">
        <f t="shared" si="217"/>
        <v>0010</v>
      </c>
      <c r="G2184" s="1" t="str">
        <f>""</f>
        <v/>
      </c>
      <c r="H2184" s="1" t="str">
        <f>"0034"</f>
        <v>0034</v>
      </c>
      <c r="I2184" s="1" t="s">
        <v>31</v>
      </c>
      <c r="J2184" s="1" t="str">
        <f>"01043977568"</f>
        <v>01043977568</v>
      </c>
      <c r="K2184" s="1" t="str">
        <f>"2017-03-24 11:53:20"</f>
        <v>2017-03-24 11:53:20</v>
      </c>
      <c r="L2184" s="1" t="str">
        <f t="shared" si="218"/>
        <v>-</v>
      </c>
      <c r="M2184" s="2">
        <v>0</v>
      </c>
      <c r="N2184" s="1" t="s">
        <v>33</v>
      </c>
      <c r="O2184" s="1" t="s">
        <v>34</v>
      </c>
      <c r="P2184" s="2">
        <v>1.6203703703703703E-4</v>
      </c>
      <c r="Q2184" s="1" t="str">
        <f>""</f>
        <v/>
      </c>
      <c r="R2184" s="1">
        <v>0</v>
      </c>
      <c r="S2184" s="1" t="str">
        <f>""</f>
        <v/>
      </c>
      <c r="T2184" s="1" t="s">
        <v>29</v>
      </c>
      <c r="U2184" s="1" t="s">
        <v>30</v>
      </c>
      <c r="V2184" s="1">
        <v>0</v>
      </c>
    </row>
    <row r="2185" spans="2:22" x14ac:dyDescent="0.15">
      <c r="B2185" s="1" t="str">
        <f>"136****0764"</f>
        <v>136****0764</v>
      </c>
      <c r="C2185" s="1" t="s">
        <v>23</v>
      </c>
      <c r="D2185" s="1" t="str">
        <f t="shared" si="216"/>
        <v>89177328</v>
      </c>
      <c r="E2185" s="1" t="s">
        <v>24</v>
      </c>
      <c r="F2185" s="1" t="str">
        <f t="shared" si="217"/>
        <v>0010</v>
      </c>
      <c r="G2185" s="1" t="str">
        <f>""</f>
        <v/>
      </c>
      <c r="H2185" s="1" t="str">
        <f>"0034"</f>
        <v>0034</v>
      </c>
      <c r="I2185" s="1" t="s">
        <v>31</v>
      </c>
      <c r="J2185" s="1" t="str">
        <f>"01043977568"</f>
        <v>01043977568</v>
      </c>
      <c r="K2185" s="1" t="str">
        <f>"2017-03-24 11:51:59"</f>
        <v>2017-03-24 11:51:59</v>
      </c>
      <c r="L2185" s="1" t="str">
        <f t="shared" si="218"/>
        <v>-</v>
      </c>
      <c r="M2185" s="2">
        <v>0</v>
      </c>
      <c r="N2185" s="1" t="s">
        <v>33</v>
      </c>
      <c r="O2185" s="1" t="s">
        <v>34</v>
      </c>
      <c r="P2185" s="2">
        <v>2.4305555555555552E-4</v>
      </c>
      <c r="Q2185" s="1" t="str">
        <f>""</f>
        <v/>
      </c>
      <c r="R2185" s="1">
        <v>0</v>
      </c>
      <c r="S2185" s="1" t="str">
        <f>""</f>
        <v/>
      </c>
      <c r="T2185" s="1" t="s">
        <v>29</v>
      </c>
      <c r="U2185" s="1" t="s">
        <v>30</v>
      </c>
      <c r="V2185" s="1">
        <v>0</v>
      </c>
    </row>
    <row r="2186" spans="2:22" x14ac:dyDescent="0.15">
      <c r="B2186" s="1" t="str">
        <f>"186****0604"</f>
        <v>186****0604</v>
      </c>
      <c r="C2186" s="1" t="s">
        <v>23</v>
      </c>
      <c r="D2186" s="1" t="str">
        <f t="shared" si="216"/>
        <v>89177328</v>
      </c>
      <c r="E2186" s="1" t="s">
        <v>24</v>
      </c>
      <c r="F2186" s="1" t="str">
        <f t="shared" si="217"/>
        <v>0010</v>
      </c>
      <c r="G2186" s="1" t="str">
        <f>""</f>
        <v/>
      </c>
      <c r="H2186" s="1" t="str">
        <f>"0012"</f>
        <v>0012</v>
      </c>
      <c r="I2186" s="1" t="s">
        <v>612</v>
      </c>
      <c r="J2186" s="1" t="str">
        <f>"01043989720"</f>
        <v>01043989720</v>
      </c>
      <c r="K2186" s="1" t="str">
        <f>"2017-03-24 11:49:28"</f>
        <v>2017-03-24 11:49:28</v>
      </c>
      <c r="L2186" s="1" t="str">
        <f t="shared" si="218"/>
        <v>-</v>
      </c>
      <c r="M2186" s="2">
        <v>0</v>
      </c>
      <c r="N2186" s="1" t="s">
        <v>33</v>
      </c>
      <c r="O2186" s="1" t="s">
        <v>34</v>
      </c>
      <c r="P2186" s="2">
        <v>5.7870370370370366E-5</v>
      </c>
      <c r="Q2186" s="1" t="str">
        <f>""</f>
        <v/>
      </c>
      <c r="R2186" s="1">
        <v>0</v>
      </c>
      <c r="S2186" s="1" t="str">
        <f>""</f>
        <v/>
      </c>
      <c r="T2186" s="1" t="s">
        <v>29</v>
      </c>
      <c r="U2186" s="1" t="s">
        <v>30</v>
      </c>
      <c r="V2186" s="1">
        <v>0</v>
      </c>
    </row>
    <row r="2187" spans="2:22" x14ac:dyDescent="0.15">
      <c r="B2187" s="1" t="str">
        <f>"177****0206"</f>
        <v>177****0206</v>
      </c>
      <c r="C2187" s="1" t="s">
        <v>23</v>
      </c>
      <c r="D2187" s="1" t="str">
        <f t="shared" si="216"/>
        <v>89177328</v>
      </c>
      <c r="E2187" s="1" t="s">
        <v>24</v>
      </c>
      <c r="F2187" s="1" t="str">
        <f t="shared" si="217"/>
        <v>0010</v>
      </c>
      <c r="G2187" s="1" t="str">
        <f>""</f>
        <v/>
      </c>
      <c r="H2187" s="1" t="str">
        <f>"0034"</f>
        <v>0034</v>
      </c>
      <c r="I2187" s="1" t="s">
        <v>31</v>
      </c>
      <c r="J2187" s="1" t="str">
        <f>"01043977568"</f>
        <v>01043977568</v>
      </c>
      <c r="K2187" s="1" t="str">
        <f>"2017-03-24 11:49:26"</f>
        <v>2017-03-24 11:49:26</v>
      </c>
      <c r="L2187" s="1" t="str">
        <f t="shared" si="218"/>
        <v>-</v>
      </c>
      <c r="M2187" s="2">
        <v>0</v>
      </c>
      <c r="N2187" s="1" t="s">
        <v>33</v>
      </c>
      <c r="O2187" s="1" t="s">
        <v>34</v>
      </c>
      <c r="P2187" s="2">
        <v>6.9444444444444444E-5</v>
      </c>
      <c r="Q2187" s="1" t="str">
        <f>""</f>
        <v/>
      </c>
      <c r="R2187" s="1">
        <v>0</v>
      </c>
      <c r="S2187" s="1" t="str">
        <f>""</f>
        <v/>
      </c>
      <c r="T2187" s="1" t="s">
        <v>29</v>
      </c>
      <c r="U2187" s="1" t="s">
        <v>30</v>
      </c>
      <c r="V2187" s="1">
        <v>0</v>
      </c>
    </row>
    <row r="2188" spans="2:22" x14ac:dyDescent="0.15">
      <c r="B2188" s="1" t="str">
        <f>"157****4678"</f>
        <v>157****4678</v>
      </c>
      <c r="C2188" s="1" t="s">
        <v>23</v>
      </c>
      <c r="D2188" s="1" t="str">
        <f t="shared" si="216"/>
        <v>89177328</v>
      </c>
      <c r="E2188" s="1" t="s">
        <v>24</v>
      </c>
      <c r="F2188" s="1" t="str">
        <f t="shared" si="217"/>
        <v>0010</v>
      </c>
      <c r="G2188" s="1" t="str">
        <f>""</f>
        <v/>
      </c>
      <c r="H2188" s="1" t="str">
        <f>"0012"</f>
        <v>0012</v>
      </c>
      <c r="I2188" s="1" t="s">
        <v>612</v>
      </c>
      <c r="J2188" s="1" t="str">
        <f>"01043989720"</f>
        <v>01043989720</v>
      </c>
      <c r="K2188" s="1" t="str">
        <f>"2017-03-24 11:49:04"</f>
        <v>2017-03-24 11:49:04</v>
      </c>
      <c r="L2188" s="1" t="str">
        <f t="shared" si="218"/>
        <v>-</v>
      </c>
      <c r="M2188" s="2">
        <v>0</v>
      </c>
      <c r="N2188" s="1" t="s">
        <v>33</v>
      </c>
      <c r="O2188" s="1" t="s">
        <v>34</v>
      </c>
      <c r="P2188" s="2">
        <v>1.0416666666666667E-4</v>
      </c>
      <c r="Q2188" s="1" t="str">
        <f>""</f>
        <v/>
      </c>
      <c r="R2188" s="1">
        <v>0</v>
      </c>
      <c r="S2188" s="1" t="str">
        <f>""</f>
        <v/>
      </c>
      <c r="T2188" s="1" t="s">
        <v>29</v>
      </c>
      <c r="U2188" s="1" t="s">
        <v>30</v>
      </c>
      <c r="V2188" s="1">
        <v>0</v>
      </c>
    </row>
    <row r="2189" spans="2:22" x14ac:dyDescent="0.15">
      <c r="B2189" s="1" t="str">
        <f>"183****4280"</f>
        <v>183****4280</v>
      </c>
      <c r="C2189" s="1" t="s">
        <v>23</v>
      </c>
      <c r="D2189" s="1" t="str">
        <f t="shared" si="216"/>
        <v>89177328</v>
      </c>
      <c r="E2189" s="1" t="s">
        <v>24</v>
      </c>
      <c r="F2189" s="1" t="str">
        <f t="shared" si="217"/>
        <v>0010</v>
      </c>
      <c r="G2189" s="1" t="str">
        <f>""</f>
        <v/>
      </c>
      <c r="H2189" s="1" t="str">
        <f>"0012"</f>
        <v>0012</v>
      </c>
      <c r="I2189" s="1" t="s">
        <v>612</v>
      </c>
      <c r="J2189" s="1" t="str">
        <f>"01043989720"</f>
        <v>01043989720</v>
      </c>
      <c r="K2189" s="1" t="str">
        <f>"2017-03-24 11:48:51"</f>
        <v>2017-03-24 11:48:51</v>
      </c>
      <c r="L2189" s="1" t="str">
        <f t="shared" si="218"/>
        <v>-</v>
      </c>
      <c r="M2189" s="2">
        <v>0</v>
      </c>
      <c r="N2189" s="1" t="s">
        <v>33</v>
      </c>
      <c r="O2189" s="1" t="s">
        <v>34</v>
      </c>
      <c r="P2189" s="2">
        <v>1.0416666666666667E-4</v>
      </c>
      <c r="Q2189" s="1" t="str">
        <f>""</f>
        <v/>
      </c>
      <c r="R2189" s="1">
        <v>0</v>
      </c>
      <c r="S2189" s="1" t="str">
        <f>""</f>
        <v/>
      </c>
      <c r="T2189" s="1" t="s">
        <v>29</v>
      </c>
      <c r="U2189" s="1" t="s">
        <v>30</v>
      </c>
      <c r="V2189" s="1">
        <v>0</v>
      </c>
    </row>
    <row r="2190" spans="2:22" x14ac:dyDescent="0.15">
      <c r="B2190" s="1" t="str">
        <f>"130****5656"</f>
        <v>130****5656</v>
      </c>
      <c r="C2190" s="1" t="s">
        <v>112</v>
      </c>
      <c r="D2190" s="1" t="str">
        <f t="shared" si="216"/>
        <v>89177328</v>
      </c>
      <c r="E2190" s="1" t="s">
        <v>24</v>
      </c>
      <c r="F2190" s="1" t="str">
        <f t="shared" si="217"/>
        <v>0010</v>
      </c>
      <c r="G2190" s="1" t="str">
        <f>""</f>
        <v/>
      </c>
      <c r="H2190" s="1" t="str">
        <f>"0012"</f>
        <v>0012</v>
      </c>
      <c r="I2190" s="1" t="s">
        <v>612</v>
      </c>
      <c r="J2190" s="1" t="str">
        <f>"01043989720"</f>
        <v>01043989720</v>
      </c>
      <c r="K2190" s="1" t="str">
        <f>"2017-03-24 11:48:41"</f>
        <v>2017-03-24 11:48:41</v>
      </c>
      <c r="L2190" s="1" t="str">
        <f t="shared" si="218"/>
        <v>-</v>
      </c>
      <c r="M2190" s="2">
        <v>0</v>
      </c>
      <c r="N2190" s="1" t="s">
        <v>33</v>
      </c>
      <c r="O2190" s="1" t="s">
        <v>34</v>
      </c>
      <c r="P2190" s="2">
        <v>1.0416666666666667E-4</v>
      </c>
      <c r="Q2190" s="1" t="str">
        <f>""</f>
        <v/>
      </c>
      <c r="R2190" s="1">
        <v>0</v>
      </c>
      <c r="S2190" s="1" t="str">
        <f>""</f>
        <v/>
      </c>
      <c r="T2190" s="1" t="s">
        <v>29</v>
      </c>
      <c r="U2190" s="1" t="s">
        <v>30</v>
      </c>
      <c r="V2190" s="1">
        <v>0</v>
      </c>
    </row>
    <row r="2191" spans="2:22" x14ac:dyDescent="0.15">
      <c r="B2191" s="1" t="str">
        <f>"150****5430"</f>
        <v>150****5430</v>
      </c>
      <c r="C2191" s="1" t="s">
        <v>23</v>
      </c>
      <c r="D2191" s="1" t="str">
        <f t="shared" si="216"/>
        <v>89177328</v>
      </c>
      <c r="E2191" s="1" t="s">
        <v>24</v>
      </c>
      <c r="F2191" s="1" t="str">
        <f t="shared" si="217"/>
        <v>0010</v>
      </c>
      <c r="G2191" s="1" t="str">
        <f>""</f>
        <v/>
      </c>
      <c r="H2191" s="1" t="str">
        <f>"0031"</f>
        <v>0031</v>
      </c>
      <c r="I2191" s="1" t="s">
        <v>95</v>
      </c>
      <c r="J2191" s="1" t="str">
        <f>"01043977565"</f>
        <v>01043977565</v>
      </c>
      <c r="K2191" s="1" t="str">
        <f>"2017-03-24 11:41:24"</f>
        <v>2017-03-24 11:41:24</v>
      </c>
      <c r="L2191" s="1" t="str">
        <f>"2017-03-24 11:41:31"</f>
        <v>2017-03-24 11:41:31</v>
      </c>
      <c r="M2191" s="2">
        <v>1.6331018518518519E-2</v>
      </c>
      <c r="N2191" s="1" t="s">
        <v>26</v>
      </c>
      <c r="O2191" s="1" t="s">
        <v>34</v>
      </c>
      <c r="P2191" s="2">
        <v>1.6412037037037037E-2</v>
      </c>
      <c r="Q2191" s="1" t="s">
        <v>1561</v>
      </c>
      <c r="R2191" s="1">
        <v>0</v>
      </c>
      <c r="S2191" s="1" t="str">
        <f>""</f>
        <v/>
      </c>
      <c r="T2191" s="1" t="s">
        <v>29</v>
      </c>
      <c r="U2191" s="1" t="s">
        <v>30</v>
      </c>
      <c r="V2191" s="1">
        <v>0</v>
      </c>
    </row>
    <row r="2192" spans="2:22" x14ac:dyDescent="0.15">
      <c r="B2192" s="1" t="str">
        <f>"134****3167"</f>
        <v>134****3167</v>
      </c>
      <c r="C2192" s="1" t="s">
        <v>94</v>
      </c>
      <c r="D2192" s="1" t="str">
        <f>"4000108333"</f>
        <v>4000108333</v>
      </c>
      <c r="E2192" s="1" t="s">
        <v>53</v>
      </c>
      <c r="F2192" s="1" t="str">
        <f>"0000"</f>
        <v>0000</v>
      </c>
      <c r="G2192" s="1" t="str">
        <f>""</f>
        <v/>
      </c>
      <c r="H2192" s="1" t="str">
        <f>"1010"</f>
        <v>1010</v>
      </c>
      <c r="I2192" s="1" t="s">
        <v>148</v>
      </c>
      <c r="J2192" s="1" t="str">
        <f>"13718091869"</f>
        <v>13718091869</v>
      </c>
      <c r="K2192" s="1" t="str">
        <f>"2017-03-24 11:26:33"</f>
        <v>2017-03-24 11:26:33</v>
      </c>
      <c r="L2192" s="1" t="str">
        <f>"2017-03-24 11:27:12"</f>
        <v>2017-03-24 11:27:12</v>
      </c>
      <c r="M2192" s="2">
        <v>8.6689814814814806E-3</v>
      </c>
      <c r="N2192" s="1" t="s">
        <v>26</v>
      </c>
      <c r="O2192" s="1" t="s">
        <v>27</v>
      </c>
      <c r="P2192" s="2">
        <v>9.1203703703703707E-3</v>
      </c>
      <c r="Q2192" s="1" t="s">
        <v>1562</v>
      </c>
      <c r="R2192" s="1">
        <v>1.68</v>
      </c>
      <c r="S2192" s="1" t="str">
        <f>""</f>
        <v/>
      </c>
      <c r="T2192" s="1" t="s">
        <v>29</v>
      </c>
      <c r="U2192" s="1" t="s">
        <v>30</v>
      </c>
      <c r="V2192" s="1">
        <v>0</v>
      </c>
    </row>
    <row r="2193" spans="2:22" x14ac:dyDescent="0.15">
      <c r="B2193" s="1" t="str">
        <f>"136****6932"</f>
        <v>136****6932</v>
      </c>
      <c r="C2193" s="1" t="s">
        <v>23</v>
      </c>
      <c r="D2193" s="1" t="str">
        <f t="shared" ref="D2193:D2203" si="219">"89177328"</f>
        <v>89177328</v>
      </c>
      <c r="E2193" s="1" t="s">
        <v>24</v>
      </c>
      <c r="F2193" s="1" t="str">
        <f t="shared" ref="F2193:F2203" si="220">"0010"</f>
        <v>0010</v>
      </c>
      <c r="G2193" s="1" t="str">
        <f>""</f>
        <v/>
      </c>
      <c r="H2193" s="1" t="str">
        <f>"0034"</f>
        <v>0034</v>
      </c>
      <c r="I2193" s="1" t="s">
        <v>31</v>
      </c>
      <c r="J2193" s="1" t="str">
        <f>"01043977568"</f>
        <v>01043977568</v>
      </c>
      <c r="K2193" s="1" t="str">
        <f>"2017-03-24 11:24:31"</f>
        <v>2017-03-24 11:24:31</v>
      </c>
      <c r="L2193" s="1" t="str">
        <f>"2017-03-24 11:24:41"</f>
        <v>2017-03-24 11:24:41</v>
      </c>
      <c r="M2193" s="2">
        <v>6.5393518518518517E-3</v>
      </c>
      <c r="N2193" s="1" t="s">
        <v>26</v>
      </c>
      <c r="O2193" s="1" t="s">
        <v>27</v>
      </c>
      <c r="P2193" s="2">
        <v>6.6550925925925935E-3</v>
      </c>
      <c r="Q2193" s="1" t="s">
        <v>1563</v>
      </c>
      <c r="R2193" s="1">
        <v>0</v>
      </c>
      <c r="S2193" s="1" t="str">
        <f>""</f>
        <v/>
      </c>
      <c r="T2193" s="1" t="s">
        <v>29</v>
      </c>
      <c r="U2193" s="1" t="s">
        <v>30</v>
      </c>
      <c r="V2193" s="1">
        <v>0</v>
      </c>
    </row>
    <row r="2194" spans="2:22" x14ac:dyDescent="0.15">
      <c r="B2194" s="1" t="str">
        <f>"010****9608"</f>
        <v>010****9608</v>
      </c>
      <c r="C2194" s="1" t="s">
        <v>23</v>
      </c>
      <c r="D2194" s="1" t="str">
        <f t="shared" si="219"/>
        <v>89177328</v>
      </c>
      <c r="E2194" s="1" t="s">
        <v>24</v>
      </c>
      <c r="F2194" s="1" t="str">
        <f t="shared" si="220"/>
        <v>0010</v>
      </c>
      <c r="G2194" s="1" t="str">
        <f>""</f>
        <v/>
      </c>
      <c r="H2194" s="1" t="str">
        <f>"0032"</f>
        <v>0032</v>
      </c>
      <c r="I2194" s="1" t="s">
        <v>119</v>
      </c>
      <c r="J2194" s="1" t="str">
        <f>"01043977566"</f>
        <v>01043977566</v>
      </c>
      <c r="K2194" s="1" t="str">
        <f>"2017-03-24 11:16:38"</f>
        <v>2017-03-24 11:16:38</v>
      </c>
      <c r="L2194" s="1" t="str">
        <f>"2017-03-24 11:16:47"</f>
        <v>2017-03-24 11:16:47</v>
      </c>
      <c r="M2194" s="2">
        <v>2.2337962962962967E-3</v>
      </c>
      <c r="N2194" s="1" t="s">
        <v>26</v>
      </c>
      <c r="O2194" s="1" t="s">
        <v>34</v>
      </c>
      <c r="P2194" s="2">
        <v>2.3379629629629631E-3</v>
      </c>
      <c r="Q2194" s="1" t="s">
        <v>1564</v>
      </c>
      <c r="R2194" s="1">
        <v>0</v>
      </c>
      <c r="S2194" s="1" t="str">
        <f>""</f>
        <v/>
      </c>
      <c r="T2194" s="1" t="s">
        <v>29</v>
      </c>
      <c r="U2194" s="1" t="s">
        <v>30</v>
      </c>
      <c r="V2194" s="1">
        <v>0</v>
      </c>
    </row>
    <row r="2195" spans="2:22" x14ac:dyDescent="0.15">
      <c r="B2195" s="1" t="str">
        <f>"136****6424"</f>
        <v>136****6424</v>
      </c>
      <c r="C2195" s="1" t="s">
        <v>1565</v>
      </c>
      <c r="D2195" s="1" t="str">
        <f t="shared" si="219"/>
        <v>89177328</v>
      </c>
      <c r="E2195" s="1" t="s">
        <v>24</v>
      </c>
      <c r="F2195" s="1" t="str">
        <f t="shared" si="220"/>
        <v>0010</v>
      </c>
      <c r="G2195" s="1" t="str">
        <f>""</f>
        <v/>
      </c>
      <c r="H2195" s="1" t="str">
        <f>"0017"</f>
        <v>0017</v>
      </c>
      <c r="I2195" s="1" t="s">
        <v>135</v>
      </c>
      <c r="J2195" s="1" t="str">
        <f>"01043989717"</f>
        <v>01043989717</v>
      </c>
      <c r="K2195" s="1" t="str">
        <f>"2017-03-24 11:13:03"</f>
        <v>2017-03-24 11:13:03</v>
      </c>
      <c r="L2195" s="1" t="str">
        <f>"2017-03-24 11:13:09"</f>
        <v>2017-03-24 11:13:09</v>
      </c>
      <c r="M2195" s="2">
        <v>8.819444444444444E-3</v>
      </c>
      <c r="N2195" s="1" t="s">
        <v>26</v>
      </c>
      <c r="O2195" s="1" t="s">
        <v>27</v>
      </c>
      <c r="P2195" s="2">
        <v>8.8888888888888889E-3</v>
      </c>
      <c r="Q2195" s="1" t="s">
        <v>1566</v>
      </c>
      <c r="R2195" s="1">
        <v>0</v>
      </c>
      <c r="S2195" s="1" t="str">
        <f>""</f>
        <v/>
      </c>
      <c r="T2195" s="1" t="s">
        <v>29</v>
      </c>
      <c r="U2195" s="1" t="s">
        <v>30</v>
      </c>
      <c r="V2195" s="1">
        <v>0</v>
      </c>
    </row>
    <row r="2196" spans="2:22" x14ac:dyDescent="0.15">
      <c r="B2196" s="1" t="str">
        <f>"176****3575"</f>
        <v>176****3575</v>
      </c>
      <c r="C2196" s="1" t="s">
        <v>99</v>
      </c>
      <c r="D2196" s="1" t="str">
        <f t="shared" si="219"/>
        <v>89177328</v>
      </c>
      <c r="E2196" s="1" t="s">
        <v>24</v>
      </c>
      <c r="F2196" s="1" t="str">
        <f t="shared" si="220"/>
        <v>0010</v>
      </c>
      <c r="G2196" s="1" t="str">
        <f>""</f>
        <v/>
      </c>
      <c r="H2196" s="1" t="str">
        <f>"0010"</f>
        <v>0010</v>
      </c>
      <c r="I2196" s="1" t="s">
        <v>71</v>
      </c>
      <c r="J2196" s="1" t="str">
        <f>"01043989719"</f>
        <v>01043989719</v>
      </c>
      <c r="K2196" s="1" t="str">
        <f>"2017-03-24 11:09:32"</f>
        <v>2017-03-24 11:09:32</v>
      </c>
      <c r="L2196" s="1" t="str">
        <f>"2017-03-24 11:09:41"</f>
        <v>2017-03-24 11:09:41</v>
      </c>
      <c r="M2196" s="2">
        <v>4.6643518518518518E-3</v>
      </c>
      <c r="N2196" s="1" t="s">
        <v>26</v>
      </c>
      <c r="O2196" s="1" t="s">
        <v>27</v>
      </c>
      <c r="P2196" s="2">
        <v>4.7685185185185183E-3</v>
      </c>
      <c r="Q2196" s="1" t="s">
        <v>1567</v>
      </c>
      <c r="R2196" s="1">
        <v>0</v>
      </c>
      <c r="S2196" s="1" t="str">
        <f>""</f>
        <v/>
      </c>
      <c r="T2196" s="1" t="s">
        <v>29</v>
      </c>
      <c r="U2196" s="1" t="s">
        <v>30</v>
      </c>
      <c r="V2196" s="1">
        <v>0</v>
      </c>
    </row>
    <row r="2197" spans="2:22" x14ac:dyDescent="0.15">
      <c r="B2197" s="1" t="str">
        <f>"186****6208"</f>
        <v>186****6208</v>
      </c>
      <c r="C2197" s="1" t="s">
        <v>23</v>
      </c>
      <c r="D2197" s="1" t="str">
        <f t="shared" si="219"/>
        <v>89177328</v>
      </c>
      <c r="E2197" s="1" t="s">
        <v>24</v>
      </c>
      <c r="F2197" s="1" t="str">
        <f t="shared" si="220"/>
        <v>0010</v>
      </c>
      <c r="G2197" s="1" t="str">
        <f>""</f>
        <v/>
      </c>
      <c r="H2197" s="1" t="str">
        <f>"0031"</f>
        <v>0031</v>
      </c>
      <c r="I2197" s="1" t="s">
        <v>95</v>
      </c>
      <c r="J2197" s="1" t="str">
        <f>"01043977565"</f>
        <v>01043977565</v>
      </c>
      <c r="K2197" s="1" t="str">
        <f>"2017-03-24 10:59:07"</f>
        <v>2017-03-24 10:59:07</v>
      </c>
      <c r="L2197" s="1" t="str">
        <f>"2017-03-24 10:59:13"</f>
        <v>2017-03-24 10:59:13</v>
      </c>
      <c r="M2197" s="2">
        <v>3.2407407407407406E-3</v>
      </c>
      <c r="N2197" s="1" t="s">
        <v>26</v>
      </c>
      <c r="O2197" s="1" t="s">
        <v>27</v>
      </c>
      <c r="P2197" s="2">
        <v>3.3101851851851851E-3</v>
      </c>
      <c r="Q2197" s="1" t="s">
        <v>1568</v>
      </c>
      <c r="R2197" s="1">
        <v>0</v>
      </c>
      <c r="S2197" s="1" t="str">
        <f>""</f>
        <v/>
      </c>
      <c r="T2197" s="1" t="s">
        <v>29</v>
      </c>
      <c r="U2197" s="1" t="s">
        <v>30</v>
      </c>
      <c r="V2197" s="1">
        <v>0</v>
      </c>
    </row>
    <row r="2198" spans="2:22" x14ac:dyDescent="0.15">
      <c r="B2198" s="1" t="str">
        <f>"010****1562"</f>
        <v>010****1562</v>
      </c>
      <c r="C2198" s="1" t="s">
        <v>23</v>
      </c>
      <c r="D2198" s="1" t="str">
        <f t="shared" si="219"/>
        <v>89177328</v>
      </c>
      <c r="E2198" s="1" t="s">
        <v>24</v>
      </c>
      <c r="F2198" s="1" t="str">
        <f t="shared" si="220"/>
        <v>0010</v>
      </c>
      <c r="G2198" s="1" t="str">
        <f>""</f>
        <v/>
      </c>
      <c r="H2198" s="1" t="str">
        <f>"0031"</f>
        <v>0031</v>
      </c>
      <c r="I2198" s="1" t="s">
        <v>95</v>
      </c>
      <c r="J2198" s="1" t="str">
        <f>"01043977565"</f>
        <v>01043977565</v>
      </c>
      <c r="K2198" s="1" t="str">
        <f>"2017-03-24 10:40:03"</f>
        <v>2017-03-24 10:40:03</v>
      </c>
      <c r="L2198" s="1" t="str">
        <f>"2017-03-24 10:40:09"</f>
        <v>2017-03-24 10:40:09</v>
      </c>
      <c r="M2198" s="2">
        <v>7.013888888888889E-3</v>
      </c>
      <c r="N2198" s="1" t="s">
        <v>26</v>
      </c>
      <c r="O2198" s="1" t="s">
        <v>34</v>
      </c>
      <c r="P2198" s="2">
        <v>7.083333333333333E-3</v>
      </c>
      <c r="Q2198" s="1" t="s">
        <v>1569</v>
      </c>
      <c r="R2198" s="1">
        <v>0</v>
      </c>
      <c r="S2198" s="1" t="str">
        <f>""</f>
        <v/>
      </c>
      <c r="T2198" s="1" t="s">
        <v>29</v>
      </c>
      <c r="U2198" s="1" t="s">
        <v>30</v>
      </c>
      <c r="V2198" s="1">
        <v>0</v>
      </c>
    </row>
    <row r="2199" spans="2:22" x14ac:dyDescent="0.15">
      <c r="B2199" s="1" t="str">
        <f>"132****5710"</f>
        <v>132****5710</v>
      </c>
      <c r="C2199" s="1" t="s">
        <v>23</v>
      </c>
      <c r="D2199" s="1" t="str">
        <f t="shared" si="219"/>
        <v>89177328</v>
      </c>
      <c r="E2199" s="1" t="s">
        <v>24</v>
      </c>
      <c r="F2199" s="1" t="str">
        <f t="shared" si="220"/>
        <v>0010</v>
      </c>
      <c r="G2199" s="1" t="str">
        <f>""</f>
        <v/>
      </c>
      <c r="H2199" s="1" t="str">
        <f>"0031"</f>
        <v>0031</v>
      </c>
      <c r="I2199" s="1" t="s">
        <v>95</v>
      </c>
      <c r="J2199" s="1" t="str">
        <f>"01043977565"</f>
        <v>01043977565</v>
      </c>
      <c r="K2199" s="1" t="str">
        <f>"2017-03-24 10:38:55"</f>
        <v>2017-03-24 10:38:55</v>
      </c>
      <c r="L2199" s="1" t="str">
        <f>"-"</f>
        <v>-</v>
      </c>
      <c r="M2199" s="2">
        <v>0</v>
      </c>
      <c r="N2199" s="1" t="s">
        <v>33</v>
      </c>
      <c r="O2199" s="1" t="s">
        <v>34</v>
      </c>
      <c r="P2199" s="2">
        <v>1.1574074074074073E-5</v>
      </c>
      <c r="Q2199" s="1" t="str">
        <f>""</f>
        <v/>
      </c>
      <c r="R2199" s="1">
        <v>0</v>
      </c>
      <c r="S2199" s="1" t="str">
        <f>""</f>
        <v/>
      </c>
      <c r="T2199" s="1" t="s">
        <v>29</v>
      </c>
      <c r="U2199" s="1" t="s">
        <v>30</v>
      </c>
      <c r="V2199" s="1">
        <v>0</v>
      </c>
    </row>
    <row r="2200" spans="2:22" x14ac:dyDescent="0.15">
      <c r="B2200" s="1" t="str">
        <f>"0315131****1918"</f>
        <v>0315131****1918</v>
      </c>
      <c r="C2200" s="1" t="s">
        <v>76</v>
      </c>
      <c r="D2200" s="1" t="str">
        <f t="shared" si="219"/>
        <v>89177328</v>
      </c>
      <c r="E2200" s="1" t="s">
        <v>24</v>
      </c>
      <c r="F2200" s="1" t="str">
        <f t="shared" si="220"/>
        <v>0010</v>
      </c>
      <c r="G2200" s="1" t="str">
        <f>""</f>
        <v/>
      </c>
      <c r="H2200" s="1" t="str">
        <f>"0031"</f>
        <v>0031</v>
      </c>
      <c r="I2200" s="1" t="s">
        <v>95</v>
      </c>
      <c r="J2200" s="1" t="str">
        <f>"01043977565"</f>
        <v>01043977565</v>
      </c>
      <c r="K2200" s="1" t="str">
        <f>"2017-03-24 10:37:19"</f>
        <v>2017-03-24 10:37:19</v>
      </c>
      <c r="L2200" s="1" t="str">
        <f>"2017-03-24 10:37:25"</f>
        <v>2017-03-24 10:37:25</v>
      </c>
      <c r="M2200" s="2">
        <v>2.7777777777777778E-4</v>
      </c>
      <c r="N2200" s="1" t="s">
        <v>26</v>
      </c>
      <c r="O2200" s="1" t="s">
        <v>27</v>
      </c>
      <c r="P2200" s="2">
        <v>3.4722222222222224E-4</v>
      </c>
      <c r="Q2200" s="1" t="s">
        <v>1570</v>
      </c>
      <c r="R2200" s="1">
        <v>0</v>
      </c>
      <c r="S2200" s="1" t="str">
        <f>""</f>
        <v/>
      </c>
      <c r="T2200" s="1" t="s">
        <v>29</v>
      </c>
      <c r="U2200" s="1" t="s">
        <v>30</v>
      </c>
      <c r="V2200" s="1">
        <v>0</v>
      </c>
    </row>
    <row r="2201" spans="2:22" x14ac:dyDescent="0.15">
      <c r="B2201" s="1" t="str">
        <f>"134****8764"</f>
        <v>134****8764</v>
      </c>
      <c r="C2201" s="1" t="s">
        <v>23</v>
      </c>
      <c r="D2201" s="1" t="str">
        <f t="shared" si="219"/>
        <v>89177328</v>
      </c>
      <c r="E2201" s="1" t="s">
        <v>24</v>
      </c>
      <c r="F2201" s="1" t="str">
        <f t="shared" si="220"/>
        <v>0010</v>
      </c>
      <c r="G2201" s="1" t="str">
        <f>""</f>
        <v/>
      </c>
      <c r="H2201" s="1" t="str">
        <f>"0032"</f>
        <v>0032</v>
      </c>
      <c r="I2201" s="1" t="s">
        <v>119</v>
      </c>
      <c r="J2201" s="1" t="str">
        <f>"01043977566"</f>
        <v>01043977566</v>
      </c>
      <c r="K2201" s="1" t="str">
        <f>"2017-03-24 10:33:52"</f>
        <v>2017-03-24 10:33:52</v>
      </c>
      <c r="L2201" s="1" t="str">
        <f>"2017-03-24 10:34:04"</f>
        <v>2017-03-24 10:34:04</v>
      </c>
      <c r="M2201" s="2">
        <v>1.1238425925925928E-2</v>
      </c>
      <c r="N2201" s="1" t="s">
        <v>26</v>
      </c>
      <c r="O2201" s="1" t="s">
        <v>34</v>
      </c>
      <c r="P2201" s="2">
        <v>1.1377314814814814E-2</v>
      </c>
      <c r="Q2201" s="1" t="s">
        <v>1571</v>
      </c>
      <c r="R2201" s="1">
        <v>0</v>
      </c>
      <c r="S2201" s="1" t="str">
        <f>""</f>
        <v/>
      </c>
      <c r="T2201" s="1" t="s">
        <v>29</v>
      </c>
      <c r="U2201" s="1" t="s">
        <v>30</v>
      </c>
      <c r="V2201" s="1">
        <v>0</v>
      </c>
    </row>
    <row r="2202" spans="2:22" x14ac:dyDescent="0.15">
      <c r="B2202" s="1" t="str">
        <f>"130****7501"</f>
        <v>130****7501</v>
      </c>
      <c r="C2202" s="1" t="s">
        <v>23</v>
      </c>
      <c r="D2202" s="1" t="str">
        <f t="shared" si="219"/>
        <v>89177328</v>
      </c>
      <c r="E2202" s="1" t="s">
        <v>24</v>
      </c>
      <c r="F2202" s="1" t="str">
        <f t="shared" si="220"/>
        <v>0010</v>
      </c>
      <c r="G2202" s="1" t="str">
        <f>""</f>
        <v/>
      </c>
      <c r="H2202" s="1" t="str">
        <f>"0033"</f>
        <v>0033</v>
      </c>
      <c r="I2202" s="1" t="s">
        <v>106</v>
      </c>
      <c r="J2202" s="1" t="str">
        <f>"01043977567"</f>
        <v>01043977567</v>
      </c>
      <c r="K2202" s="1" t="str">
        <f>"2017-03-24 10:33:49"</f>
        <v>2017-03-24 10:33:49</v>
      </c>
      <c r="L2202" s="1" t="str">
        <f>"2017-03-24 10:33:57"</f>
        <v>2017-03-24 10:33:57</v>
      </c>
      <c r="M2202" s="2">
        <v>2.4074074074074076E-3</v>
      </c>
      <c r="N2202" s="1" t="s">
        <v>26</v>
      </c>
      <c r="O2202" s="1" t="s">
        <v>27</v>
      </c>
      <c r="P2202" s="2">
        <v>2.5000000000000001E-3</v>
      </c>
      <c r="Q2202" s="1" t="s">
        <v>1572</v>
      </c>
      <c r="R2202" s="1">
        <v>0</v>
      </c>
      <c r="S2202" s="1" t="str">
        <f>""</f>
        <v/>
      </c>
      <c r="T2202" s="1" t="s">
        <v>29</v>
      </c>
      <c r="U2202" s="1" t="s">
        <v>30</v>
      </c>
      <c r="V2202" s="1">
        <v>0</v>
      </c>
    </row>
    <row r="2203" spans="2:22" x14ac:dyDescent="0.15">
      <c r="B2203" s="1" t="str">
        <f>"136****8677"</f>
        <v>136****8677</v>
      </c>
      <c r="C2203" s="1" t="s">
        <v>51</v>
      </c>
      <c r="D2203" s="1" t="str">
        <f t="shared" si="219"/>
        <v>89177328</v>
      </c>
      <c r="E2203" s="1" t="s">
        <v>24</v>
      </c>
      <c r="F2203" s="1" t="str">
        <f t="shared" si="220"/>
        <v>0010</v>
      </c>
      <c r="G2203" s="1" t="str">
        <f>""</f>
        <v/>
      </c>
      <c r="H2203" s="1" t="str">
        <f>"0012"</f>
        <v>0012</v>
      </c>
      <c r="I2203" s="1" t="s">
        <v>612</v>
      </c>
      <c r="J2203" s="1" t="str">
        <f>"01043989720"</f>
        <v>01043989720</v>
      </c>
      <c r="K2203" s="1" t="str">
        <f>"2017-03-24 10:25:01"</f>
        <v>2017-03-24 10:25:01</v>
      </c>
      <c r="L2203" s="1" t="str">
        <f>"2017-03-24 10:25:14"</f>
        <v>2017-03-24 10:25:14</v>
      </c>
      <c r="M2203" s="2">
        <v>1.4085648148148151E-2</v>
      </c>
      <c r="N2203" s="1" t="s">
        <v>26</v>
      </c>
      <c r="O2203" s="1" t="s">
        <v>27</v>
      </c>
      <c r="P2203" s="2">
        <v>1.4236111111111111E-2</v>
      </c>
      <c r="Q2203" s="1" t="s">
        <v>1573</v>
      </c>
      <c r="R2203" s="1">
        <v>0</v>
      </c>
      <c r="S2203" s="1" t="str">
        <f>""</f>
        <v/>
      </c>
      <c r="T2203" s="1" t="s">
        <v>29</v>
      </c>
      <c r="U2203" s="1" t="s">
        <v>30</v>
      </c>
      <c r="V2203" s="1">
        <v>0</v>
      </c>
    </row>
    <row r="2204" spans="2:22" x14ac:dyDescent="0.15">
      <c r="B2204" s="1" t="str">
        <f>"010****4190"</f>
        <v>010****4190</v>
      </c>
      <c r="C2204" s="1" t="s">
        <v>23</v>
      </c>
      <c r="D2204" s="1" t="str">
        <f>"4000108333"</f>
        <v>4000108333</v>
      </c>
      <c r="E2204" s="1" t="s">
        <v>53</v>
      </c>
      <c r="F2204" s="1" t="str">
        <f>"0000"</f>
        <v>0000</v>
      </c>
      <c r="G2204" s="1" t="str">
        <f>""</f>
        <v/>
      </c>
      <c r="H2204" s="1" t="str">
        <f>"1012"</f>
        <v>1012</v>
      </c>
      <c r="I2204" s="1" t="s">
        <v>54</v>
      </c>
      <c r="J2204" s="1" t="str">
        <f>"13611040764"</f>
        <v>13611040764</v>
      </c>
      <c r="K2204" s="1" t="str">
        <f>"2017-03-24 09:51:08"</f>
        <v>2017-03-24 09:51:08</v>
      </c>
      <c r="L2204" s="1" t="str">
        <f>"2017-03-24 09:51:51"</f>
        <v>2017-03-24 09:51:51</v>
      </c>
      <c r="M2204" s="2">
        <v>1.5393518518518519E-3</v>
      </c>
      <c r="N2204" s="1" t="s">
        <v>26</v>
      </c>
      <c r="O2204" s="1" t="s">
        <v>34</v>
      </c>
      <c r="P2204" s="2">
        <v>2.0370370370370373E-3</v>
      </c>
      <c r="Q2204" s="1" t="s">
        <v>1574</v>
      </c>
      <c r="R2204" s="1">
        <v>0.36</v>
      </c>
      <c r="S2204" s="1" t="str">
        <f>""</f>
        <v/>
      </c>
      <c r="T2204" s="1" t="s">
        <v>29</v>
      </c>
      <c r="U2204" s="1" t="s">
        <v>30</v>
      </c>
      <c r="V2204" s="1">
        <v>0</v>
      </c>
    </row>
    <row r="2205" spans="2:22" x14ac:dyDescent="0.15">
      <c r="B2205" s="1" t="str">
        <f>"155****6977"</f>
        <v>155****6977</v>
      </c>
      <c r="C2205" s="1" t="s">
        <v>35</v>
      </c>
      <c r="D2205" s="1" t="str">
        <f t="shared" ref="D2205:D2253" si="221">"89177328"</f>
        <v>89177328</v>
      </c>
      <c r="E2205" s="1" t="s">
        <v>24</v>
      </c>
      <c r="F2205" s="1" t="str">
        <f t="shared" ref="F2205:F2216" si="222">"0010"</f>
        <v>0010</v>
      </c>
      <c r="G2205" s="1" t="str">
        <f>""</f>
        <v/>
      </c>
      <c r="H2205" s="1" t="str">
        <f>"0034"</f>
        <v>0034</v>
      </c>
      <c r="I2205" s="1" t="s">
        <v>31</v>
      </c>
      <c r="J2205" s="1" t="str">
        <f>"01043977568"</f>
        <v>01043977568</v>
      </c>
      <c r="K2205" s="1" t="str">
        <f>"2017-03-24 09:49:06"</f>
        <v>2017-03-24 09:49:06</v>
      </c>
      <c r="L2205" s="1" t="str">
        <f>"2017-03-24 09:49:15"</f>
        <v>2017-03-24 09:49:15</v>
      </c>
      <c r="M2205" s="2">
        <v>9.6643518518518511E-3</v>
      </c>
      <c r="N2205" s="1" t="s">
        <v>26</v>
      </c>
      <c r="O2205" s="1" t="s">
        <v>34</v>
      </c>
      <c r="P2205" s="2">
        <v>9.7685185185185184E-3</v>
      </c>
      <c r="Q2205" s="1" t="s">
        <v>1575</v>
      </c>
      <c r="R2205" s="1">
        <v>0</v>
      </c>
      <c r="S2205" s="1" t="str">
        <f>""</f>
        <v/>
      </c>
      <c r="T2205" s="1" t="s">
        <v>29</v>
      </c>
      <c r="U2205" s="1" t="s">
        <v>30</v>
      </c>
      <c r="V2205" s="1">
        <v>0</v>
      </c>
    </row>
    <row r="2206" spans="2:22" x14ac:dyDescent="0.15">
      <c r="B2206" s="1" t="str">
        <f>"135****2366"</f>
        <v>135****2366</v>
      </c>
      <c r="C2206" s="1" t="s">
        <v>23</v>
      </c>
      <c r="D2206" s="1" t="str">
        <f t="shared" si="221"/>
        <v>89177328</v>
      </c>
      <c r="E2206" s="1" t="s">
        <v>24</v>
      </c>
      <c r="F2206" s="1" t="str">
        <f t="shared" si="222"/>
        <v>0010</v>
      </c>
      <c r="G2206" s="1" t="str">
        <f>""</f>
        <v/>
      </c>
      <c r="H2206" s="1" t="str">
        <f>"0010"</f>
        <v>0010</v>
      </c>
      <c r="I2206" s="1" t="s">
        <v>71</v>
      </c>
      <c r="J2206" s="1" t="str">
        <f>"01043989719"</f>
        <v>01043989719</v>
      </c>
      <c r="K2206" s="1" t="str">
        <f>"2017-03-24 09:47:32"</f>
        <v>2017-03-24 09:47:32</v>
      </c>
      <c r="L2206" s="1" t="str">
        <f>"-"</f>
        <v>-</v>
      </c>
      <c r="M2206" s="2">
        <v>0</v>
      </c>
      <c r="N2206" s="1" t="s">
        <v>33</v>
      </c>
      <c r="O2206" s="1" t="s">
        <v>34</v>
      </c>
      <c r="P2206" s="2">
        <v>2.3148148148148147E-5</v>
      </c>
      <c r="Q2206" s="1" t="str">
        <f>""</f>
        <v/>
      </c>
      <c r="R2206" s="1">
        <v>0</v>
      </c>
      <c r="S2206" s="1" t="str">
        <f>""</f>
        <v/>
      </c>
      <c r="T2206" s="1" t="s">
        <v>29</v>
      </c>
      <c r="U2206" s="1" t="s">
        <v>30</v>
      </c>
      <c r="V2206" s="1">
        <v>0</v>
      </c>
    </row>
    <row r="2207" spans="2:22" x14ac:dyDescent="0.15">
      <c r="B2207" s="1" t="str">
        <f>"180****3201"</f>
        <v>180****3201</v>
      </c>
      <c r="C2207" s="1" t="s">
        <v>76</v>
      </c>
      <c r="D2207" s="1" t="str">
        <f t="shared" si="221"/>
        <v>89177328</v>
      </c>
      <c r="E2207" s="1" t="s">
        <v>24</v>
      </c>
      <c r="F2207" s="1" t="str">
        <f t="shared" si="222"/>
        <v>0010</v>
      </c>
      <c r="G2207" s="1" t="str">
        <f>""</f>
        <v/>
      </c>
      <c r="H2207" s="1" t="str">
        <f>"0033"</f>
        <v>0033</v>
      </c>
      <c r="I2207" s="1" t="s">
        <v>106</v>
      </c>
      <c r="J2207" s="1" t="str">
        <f>"01043977567"</f>
        <v>01043977567</v>
      </c>
      <c r="K2207" s="1" t="str">
        <f>"2017-03-24 09:38:58"</f>
        <v>2017-03-24 09:38:58</v>
      </c>
      <c r="L2207" s="1" t="str">
        <f>"2017-03-24 09:39:08"</f>
        <v>2017-03-24 09:39:08</v>
      </c>
      <c r="M2207" s="2">
        <v>1.2858796296296297E-2</v>
      </c>
      <c r="N2207" s="1" t="s">
        <v>26</v>
      </c>
      <c r="O2207" s="1" t="s">
        <v>27</v>
      </c>
      <c r="P2207" s="2">
        <v>1.2974537037037036E-2</v>
      </c>
      <c r="Q2207" s="1" t="s">
        <v>1576</v>
      </c>
      <c r="R2207" s="1">
        <v>0</v>
      </c>
      <c r="S2207" s="1" t="str">
        <f>""</f>
        <v/>
      </c>
      <c r="T2207" s="1" t="s">
        <v>29</v>
      </c>
      <c r="U2207" s="1" t="s">
        <v>30</v>
      </c>
      <c r="V2207" s="1">
        <v>0</v>
      </c>
    </row>
    <row r="2208" spans="2:22" x14ac:dyDescent="0.15">
      <c r="B2208" s="1" t="str">
        <f>"132****5759"</f>
        <v>132****5759</v>
      </c>
      <c r="C2208" s="1" t="s">
        <v>23</v>
      </c>
      <c r="D2208" s="1" t="str">
        <f t="shared" si="221"/>
        <v>89177328</v>
      </c>
      <c r="E2208" s="1" t="s">
        <v>24</v>
      </c>
      <c r="F2208" s="1" t="str">
        <f t="shared" si="222"/>
        <v>0010</v>
      </c>
      <c r="G2208" s="1" t="str">
        <f>""</f>
        <v/>
      </c>
      <c r="H2208" s="1" t="str">
        <f>"0018"</f>
        <v>0018</v>
      </c>
      <c r="I2208" s="1" t="s">
        <v>36</v>
      </c>
      <c r="J2208" s="1" t="str">
        <f>"01043989718"</f>
        <v>01043989718</v>
      </c>
      <c r="K2208" s="1" t="str">
        <f>"2017-03-24 09:28:59"</f>
        <v>2017-03-24 09:28:59</v>
      </c>
      <c r="L2208" s="1" t="str">
        <f>"2017-03-24 09:29:08"</f>
        <v>2017-03-24 09:29:08</v>
      </c>
      <c r="M2208" s="2">
        <v>2.2291666666666668E-2</v>
      </c>
      <c r="N2208" s="1" t="s">
        <v>26</v>
      </c>
      <c r="O2208" s="1" t="s">
        <v>34</v>
      </c>
      <c r="P2208" s="2">
        <v>2.2395833333333334E-2</v>
      </c>
      <c r="Q2208" s="1" t="s">
        <v>1577</v>
      </c>
      <c r="R2208" s="1">
        <v>0</v>
      </c>
      <c r="S2208" s="1" t="str">
        <f>""</f>
        <v/>
      </c>
      <c r="T2208" s="1" t="s">
        <v>29</v>
      </c>
      <c r="U2208" s="1" t="s">
        <v>30</v>
      </c>
      <c r="V2208" s="1">
        <v>0</v>
      </c>
    </row>
    <row r="2209" spans="2:22" x14ac:dyDescent="0.15">
      <c r="B2209" s="1" t="str">
        <f>"186****0082"</f>
        <v>186****0082</v>
      </c>
      <c r="C2209" s="1" t="s">
        <v>102</v>
      </c>
      <c r="D2209" s="1" t="str">
        <f t="shared" si="221"/>
        <v>89177328</v>
      </c>
      <c r="E2209" s="1" t="s">
        <v>24</v>
      </c>
      <c r="F2209" s="1" t="str">
        <f t="shared" si="222"/>
        <v>0010</v>
      </c>
      <c r="G2209" s="1" t="str">
        <f>""</f>
        <v/>
      </c>
      <c r="H2209" s="1" t="str">
        <f>"0033"</f>
        <v>0033</v>
      </c>
      <c r="I2209" s="1" t="s">
        <v>106</v>
      </c>
      <c r="J2209" s="1" t="str">
        <f>"01043977567"</f>
        <v>01043977567</v>
      </c>
      <c r="K2209" s="1" t="str">
        <f>"2017-03-24 09:14:20"</f>
        <v>2017-03-24 09:14:20</v>
      </c>
      <c r="L2209" s="1" t="str">
        <f>"2017-03-24 09:14:28"</f>
        <v>2017-03-24 09:14:28</v>
      </c>
      <c r="M2209" s="2">
        <v>7.0601851851851847E-4</v>
      </c>
      <c r="N2209" s="1" t="s">
        <v>26</v>
      </c>
      <c r="O2209" s="1" t="s">
        <v>27</v>
      </c>
      <c r="P2209" s="2">
        <v>7.9861111111111105E-4</v>
      </c>
      <c r="Q2209" s="1" t="s">
        <v>1578</v>
      </c>
      <c r="R2209" s="1">
        <v>0</v>
      </c>
      <c r="S2209" s="1" t="str">
        <f>""</f>
        <v/>
      </c>
      <c r="T2209" s="1" t="s">
        <v>29</v>
      </c>
      <c r="U2209" s="1" t="s">
        <v>30</v>
      </c>
      <c r="V2209" s="1">
        <v>0</v>
      </c>
    </row>
    <row r="2210" spans="2:22" x14ac:dyDescent="0.15">
      <c r="B2210" s="1" t="str">
        <f>"186****5983"</f>
        <v>186****5983</v>
      </c>
      <c r="C2210" s="1" t="s">
        <v>872</v>
      </c>
      <c r="D2210" s="1" t="str">
        <f t="shared" si="221"/>
        <v>89177328</v>
      </c>
      <c r="E2210" s="1" t="s">
        <v>24</v>
      </c>
      <c r="F2210" s="1" t="str">
        <f t="shared" si="222"/>
        <v>0010</v>
      </c>
      <c r="G2210" s="1" t="str">
        <f>""</f>
        <v/>
      </c>
      <c r="H2210" s="1" t="str">
        <f>"0033"</f>
        <v>0033</v>
      </c>
      <c r="I2210" s="1" t="s">
        <v>106</v>
      </c>
      <c r="J2210" s="1" t="str">
        <f>"01043977567"</f>
        <v>01043977567</v>
      </c>
      <c r="K2210" s="1" t="str">
        <f>"2017-03-24 08:59:28"</f>
        <v>2017-03-24 08:59:28</v>
      </c>
      <c r="L2210" s="1" t="str">
        <f>"-"</f>
        <v>-</v>
      </c>
      <c r="M2210" s="2">
        <v>0</v>
      </c>
      <c r="N2210" s="1" t="s">
        <v>33</v>
      </c>
      <c r="O2210" s="1" t="s">
        <v>34</v>
      </c>
      <c r="P2210" s="2">
        <v>2.3148148148148147E-5</v>
      </c>
      <c r="Q2210" s="1" t="str">
        <f>""</f>
        <v/>
      </c>
      <c r="R2210" s="1">
        <v>0</v>
      </c>
      <c r="S2210" s="1" t="str">
        <f>""</f>
        <v/>
      </c>
      <c r="T2210" s="1" t="s">
        <v>29</v>
      </c>
      <c r="U2210" s="1" t="s">
        <v>30</v>
      </c>
      <c r="V2210" s="1">
        <v>0</v>
      </c>
    </row>
    <row r="2211" spans="2:22" x14ac:dyDescent="0.15">
      <c r="B2211" s="1" t="str">
        <f>"010****5172"</f>
        <v>010****5172</v>
      </c>
      <c r="C2211" s="1" t="s">
        <v>23</v>
      </c>
      <c r="D2211" s="1" t="str">
        <f t="shared" si="221"/>
        <v>89177328</v>
      </c>
      <c r="E2211" s="1" t="s">
        <v>24</v>
      </c>
      <c r="F2211" s="1" t="str">
        <f t="shared" si="222"/>
        <v>0010</v>
      </c>
      <c r="G2211" s="1" t="str">
        <f>""</f>
        <v/>
      </c>
      <c r="H2211" s="1" t="str">
        <f>"0010"</f>
        <v>0010</v>
      </c>
      <c r="I2211" s="1" t="s">
        <v>71</v>
      </c>
      <c r="J2211" s="1" t="str">
        <f>"01043989719"</f>
        <v>01043989719</v>
      </c>
      <c r="K2211" s="1" t="str">
        <f>"2017-03-24 08:58:52"</f>
        <v>2017-03-24 08:58:52</v>
      </c>
      <c r="L2211" s="1" t="str">
        <f>"2017-03-24 08:59:03"</f>
        <v>2017-03-24 08:59:03</v>
      </c>
      <c r="M2211" s="2">
        <v>2.2280092592592591E-2</v>
      </c>
      <c r="N2211" s="1" t="s">
        <v>26</v>
      </c>
      <c r="O2211" s="1" t="s">
        <v>27</v>
      </c>
      <c r="P2211" s="2">
        <v>2.2407407407407407E-2</v>
      </c>
      <c r="Q2211" s="1" t="s">
        <v>1579</v>
      </c>
      <c r="R2211" s="1">
        <v>0</v>
      </c>
      <c r="S2211" s="1" t="str">
        <f>""</f>
        <v/>
      </c>
      <c r="T2211" s="1" t="s">
        <v>29</v>
      </c>
      <c r="U2211" s="1" t="s">
        <v>30</v>
      </c>
      <c r="V2211" s="1">
        <v>0</v>
      </c>
    </row>
    <row r="2212" spans="2:22" x14ac:dyDescent="0.15">
      <c r="B2212" s="1" t="str">
        <f>"159****0700"</f>
        <v>159****0700</v>
      </c>
      <c r="C2212" s="1" t="s">
        <v>23</v>
      </c>
      <c r="D2212" s="1" t="str">
        <f t="shared" si="221"/>
        <v>89177328</v>
      </c>
      <c r="E2212" s="1" t="s">
        <v>24</v>
      </c>
      <c r="F2212" s="1" t="str">
        <f t="shared" si="222"/>
        <v>0010</v>
      </c>
      <c r="G2212" s="1" t="str">
        <f>""</f>
        <v/>
      </c>
      <c r="H2212" s="1" t="str">
        <f>"0010"</f>
        <v>0010</v>
      </c>
      <c r="I2212" s="1" t="s">
        <v>71</v>
      </c>
      <c r="J2212" s="1" t="str">
        <f>"01043989719"</f>
        <v>01043989719</v>
      </c>
      <c r="K2212" s="1" t="str">
        <f>"2017-03-24 08:46:11"</f>
        <v>2017-03-24 08:46:11</v>
      </c>
      <c r="L2212" s="1" t="str">
        <f>"2017-03-24 08:46:20"</f>
        <v>2017-03-24 08:46:20</v>
      </c>
      <c r="M2212" s="2">
        <v>2.5347222222222221E-3</v>
      </c>
      <c r="N2212" s="1" t="s">
        <v>26</v>
      </c>
      <c r="O2212" s="1" t="s">
        <v>27</v>
      </c>
      <c r="P2212" s="2">
        <v>2.6388888888888885E-3</v>
      </c>
      <c r="Q2212" s="1" t="s">
        <v>1580</v>
      </c>
      <c r="R2212" s="1">
        <v>0</v>
      </c>
      <c r="S2212" s="1" t="str">
        <f>""</f>
        <v/>
      </c>
      <c r="T2212" s="1" t="s">
        <v>29</v>
      </c>
      <c r="U2212" s="1" t="s">
        <v>30</v>
      </c>
      <c r="V2212" s="1">
        <v>0</v>
      </c>
    </row>
    <row r="2213" spans="2:22" x14ac:dyDescent="0.15">
      <c r="B2213" s="1" t="str">
        <f>"135****0331"</f>
        <v>135****0331</v>
      </c>
      <c r="C2213" s="1" t="s">
        <v>23</v>
      </c>
      <c r="D2213" s="1" t="str">
        <f t="shared" si="221"/>
        <v>89177328</v>
      </c>
      <c r="E2213" s="1" t="s">
        <v>24</v>
      </c>
      <c r="F2213" s="1" t="str">
        <f t="shared" si="222"/>
        <v>0010</v>
      </c>
      <c r="G2213" s="1" t="str">
        <f>""</f>
        <v/>
      </c>
      <c r="H2213" s="1" t="str">
        <f>"0033"</f>
        <v>0033</v>
      </c>
      <c r="I2213" s="1" t="s">
        <v>106</v>
      </c>
      <c r="J2213" s="1" t="str">
        <f>"01043977567"</f>
        <v>01043977567</v>
      </c>
      <c r="K2213" s="1" t="str">
        <f>"2017-03-24 08:32:57"</f>
        <v>2017-03-24 08:32:57</v>
      </c>
      <c r="L2213" s="1" t="str">
        <f>"2017-03-24 08:33:07"</f>
        <v>2017-03-24 08:33:07</v>
      </c>
      <c r="M2213" s="2">
        <v>2.4305555555555556E-3</v>
      </c>
      <c r="N2213" s="1" t="s">
        <v>26</v>
      </c>
      <c r="O2213" s="1" t="s">
        <v>27</v>
      </c>
      <c r="P2213" s="2">
        <v>2.5462962962962961E-3</v>
      </c>
      <c r="Q2213" s="1" t="s">
        <v>1581</v>
      </c>
      <c r="R2213" s="1">
        <v>0</v>
      </c>
      <c r="S2213" s="1" t="str">
        <f>""</f>
        <v/>
      </c>
      <c r="T2213" s="1" t="s">
        <v>29</v>
      </c>
      <c r="U2213" s="1" t="s">
        <v>30</v>
      </c>
      <c r="V2213" s="1">
        <v>0</v>
      </c>
    </row>
    <row r="2214" spans="2:22" x14ac:dyDescent="0.15">
      <c r="B2214" s="1" t="str">
        <f>"177****5712"</f>
        <v>177****5712</v>
      </c>
      <c r="C2214" s="1" t="s">
        <v>23</v>
      </c>
      <c r="D2214" s="1" t="str">
        <f t="shared" si="221"/>
        <v>89177328</v>
      </c>
      <c r="E2214" s="1" t="s">
        <v>24</v>
      </c>
      <c r="F2214" s="1" t="str">
        <f t="shared" si="222"/>
        <v>0010</v>
      </c>
      <c r="G2214" s="1" t="str">
        <f>""</f>
        <v/>
      </c>
      <c r="H2214" s="1" t="str">
        <f>"0010"</f>
        <v>0010</v>
      </c>
      <c r="I2214" s="1" t="s">
        <v>71</v>
      </c>
      <c r="J2214" s="1" t="str">
        <f>"01043989719"</f>
        <v>01043989719</v>
      </c>
      <c r="K2214" s="1" t="str">
        <f>"2017-03-24 08:20:54"</f>
        <v>2017-03-24 08:20:54</v>
      </c>
      <c r="L2214" s="1" t="str">
        <f>"2017-03-24 08:21:04"</f>
        <v>2017-03-24 08:21:04</v>
      </c>
      <c r="M2214" s="2">
        <v>8.8425925925925911E-3</v>
      </c>
      <c r="N2214" s="1" t="s">
        <v>26</v>
      </c>
      <c r="O2214" s="1" t="s">
        <v>34</v>
      </c>
      <c r="P2214" s="2">
        <v>8.9583333333333338E-3</v>
      </c>
      <c r="Q2214" s="1" t="s">
        <v>1582</v>
      </c>
      <c r="R2214" s="1">
        <v>0</v>
      </c>
      <c r="S2214" s="1" t="str">
        <f>""</f>
        <v/>
      </c>
      <c r="T2214" s="1" t="s">
        <v>29</v>
      </c>
      <c r="U2214" s="1" t="s">
        <v>30</v>
      </c>
      <c r="V2214" s="1">
        <v>0</v>
      </c>
    </row>
    <row r="2215" spans="2:22" x14ac:dyDescent="0.15">
      <c r="B2215" s="1" t="str">
        <f>"010****9416"</f>
        <v>010****9416</v>
      </c>
      <c r="C2215" s="1" t="s">
        <v>23</v>
      </c>
      <c r="D2215" s="1" t="str">
        <f t="shared" si="221"/>
        <v>89177328</v>
      </c>
      <c r="E2215" s="1" t="s">
        <v>24</v>
      </c>
      <c r="F2215" s="1" t="str">
        <f t="shared" si="222"/>
        <v>0010</v>
      </c>
      <c r="G2215" s="1" t="str">
        <f>""</f>
        <v/>
      </c>
      <c r="H2215" s="1" t="str">
        <f>"0018"</f>
        <v>0018</v>
      </c>
      <c r="I2215" s="1" t="s">
        <v>36</v>
      </c>
      <c r="J2215" s="1" t="str">
        <f>"01043989718"</f>
        <v>01043989718</v>
      </c>
      <c r="K2215" s="1" t="str">
        <f>"2017-03-24 08:09:40"</f>
        <v>2017-03-24 08:09:40</v>
      </c>
      <c r="L2215" s="1" t="str">
        <f>"2017-03-24 08:10:12"</f>
        <v>2017-03-24 08:10:12</v>
      </c>
      <c r="M2215" s="2">
        <v>5.4398148148148144E-4</v>
      </c>
      <c r="N2215" s="1" t="s">
        <v>26</v>
      </c>
      <c r="O2215" s="1" t="s">
        <v>27</v>
      </c>
      <c r="P2215" s="2">
        <v>9.1435185185185185E-4</v>
      </c>
      <c r="Q2215" s="1" t="s">
        <v>1583</v>
      </c>
      <c r="R2215" s="1">
        <v>0</v>
      </c>
      <c r="S2215" s="1" t="str">
        <f>""</f>
        <v/>
      </c>
      <c r="T2215" s="1" t="s">
        <v>29</v>
      </c>
      <c r="U2215" s="1" t="s">
        <v>30</v>
      </c>
      <c r="V2215" s="1">
        <v>0</v>
      </c>
    </row>
    <row r="2216" spans="2:22" x14ac:dyDescent="0.15">
      <c r="B2216" s="1" t="str">
        <f>"134****3076"</f>
        <v>134****3076</v>
      </c>
      <c r="C2216" s="1" t="s">
        <v>23</v>
      </c>
      <c r="D2216" s="1" t="str">
        <f t="shared" si="221"/>
        <v>89177328</v>
      </c>
      <c r="E2216" s="1" t="s">
        <v>24</v>
      </c>
      <c r="F2216" s="1" t="str">
        <f t="shared" si="222"/>
        <v>0010</v>
      </c>
      <c r="G2216" s="1" t="str">
        <f>""</f>
        <v/>
      </c>
      <c r="H2216" s="1" t="str">
        <f>"0010"</f>
        <v>0010</v>
      </c>
      <c r="I2216" s="1" t="s">
        <v>71</v>
      </c>
      <c r="J2216" s="1" t="str">
        <f>"01043989719"</f>
        <v>01043989719</v>
      </c>
      <c r="K2216" s="1" t="str">
        <f>"2017-03-24 08:07:56"</f>
        <v>2017-03-24 08:07:56</v>
      </c>
      <c r="L2216" s="1" t="str">
        <f>"2017-03-24 08:08:30"</f>
        <v>2017-03-24 08:08:30</v>
      </c>
      <c r="M2216" s="2">
        <v>4.8842592592592592E-3</v>
      </c>
      <c r="N2216" s="1" t="s">
        <v>26</v>
      </c>
      <c r="O2216" s="1" t="s">
        <v>34</v>
      </c>
      <c r="P2216" s="2">
        <v>5.2777777777777771E-3</v>
      </c>
      <c r="Q2216" s="1" t="s">
        <v>1584</v>
      </c>
      <c r="R2216" s="1">
        <v>0</v>
      </c>
      <c r="S2216" s="1" t="str">
        <f>""</f>
        <v/>
      </c>
      <c r="T2216" s="1" t="s">
        <v>29</v>
      </c>
      <c r="U2216" s="1" t="s">
        <v>30</v>
      </c>
      <c r="V2216" s="1">
        <v>0</v>
      </c>
    </row>
    <row r="2217" spans="2:22" x14ac:dyDescent="0.15">
      <c r="B2217" s="1" t="str">
        <f>"158****4445"</f>
        <v>158****4445</v>
      </c>
      <c r="C2217" s="1" t="s">
        <v>23</v>
      </c>
      <c r="D2217" s="1" t="str">
        <f t="shared" si="221"/>
        <v>89177328</v>
      </c>
      <c r="E2217" s="1" t="str">
        <f>""</f>
        <v/>
      </c>
      <c r="F2217" s="1" t="str">
        <f>""</f>
        <v/>
      </c>
      <c r="G2217" s="1" t="str">
        <f>""</f>
        <v/>
      </c>
      <c r="H2217" s="1" t="str">
        <f>""</f>
        <v/>
      </c>
      <c r="I2217" s="1" t="str">
        <f>""</f>
        <v/>
      </c>
      <c r="J2217" s="1" t="str">
        <f>""</f>
        <v/>
      </c>
      <c r="K2217" s="1" t="str">
        <f>"2017-03-24 08:05:28"</f>
        <v>2017-03-24 08:05:28</v>
      </c>
      <c r="L2217" s="1" t="str">
        <f>"-"</f>
        <v>-</v>
      </c>
      <c r="M2217" s="2">
        <v>0</v>
      </c>
      <c r="N2217" s="1" t="s">
        <v>393</v>
      </c>
      <c r="O2217" s="1" t="s">
        <v>34</v>
      </c>
      <c r="P2217" s="2">
        <v>0</v>
      </c>
      <c r="Q2217" s="1" t="str">
        <f>""</f>
        <v/>
      </c>
      <c r="R2217" s="1">
        <v>0</v>
      </c>
      <c r="S2217" s="1" t="str">
        <f>""</f>
        <v/>
      </c>
      <c r="T2217" s="1" t="s">
        <v>29</v>
      </c>
      <c r="U2217" s="1" t="s">
        <v>30</v>
      </c>
      <c r="V2217" s="1">
        <v>0</v>
      </c>
    </row>
    <row r="2218" spans="2:22" x14ac:dyDescent="0.15">
      <c r="B2218" s="1" t="str">
        <f>"152****9508"</f>
        <v>152****9508</v>
      </c>
      <c r="C2218" s="1" t="s">
        <v>23</v>
      </c>
      <c r="D2218" s="1" t="str">
        <f t="shared" si="221"/>
        <v>89177328</v>
      </c>
      <c r="E2218" s="1" t="s">
        <v>181</v>
      </c>
      <c r="F2218" s="1" t="str">
        <f>""</f>
        <v/>
      </c>
      <c r="G2218" s="1" t="str">
        <f>""</f>
        <v/>
      </c>
      <c r="H2218" s="1" t="str">
        <f>""</f>
        <v/>
      </c>
      <c r="I2218" s="1" t="str">
        <f>""</f>
        <v/>
      </c>
      <c r="J2218" s="1" t="str">
        <f>""</f>
        <v/>
      </c>
      <c r="K2218" s="1" t="str">
        <f>"2017-03-24 07:03:07"</f>
        <v>2017-03-24 07:03:07</v>
      </c>
      <c r="L2218" s="1" t="str">
        <f>"2017-03-24 07:03:17"</f>
        <v>2017-03-24 07:03:17</v>
      </c>
      <c r="M2218" s="2">
        <v>3.4722222222222224E-4</v>
      </c>
      <c r="N2218" s="1" t="s">
        <v>55</v>
      </c>
      <c r="O2218" s="1" t="s">
        <v>34</v>
      </c>
      <c r="P2218" s="2">
        <v>4.6296296296296293E-4</v>
      </c>
      <c r="Q2218" s="1" t="s">
        <v>1585</v>
      </c>
      <c r="R2218" s="1">
        <v>0</v>
      </c>
      <c r="S2218" s="1" t="str">
        <f>""</f>
        <v/>
      </c>
      <c r="T2218" s="1" t="s">
        <v>183</v>
      </c>
      <c r="U2218" s="1" t="s">
        <v>30</v>
      </c>
      <c r="V2218" s="1">
        <v>0</v>
      </c>
    </row>
    <row r="2219" spans="2:22" x14ac:dyDescent="0.15">
      <c r="B2219" s="1" t="str">
        <f>"138****1159"</f>
        <v>138****1159</v>
      </c>
      <c r="C2219" s="1" t="s">
        <v>126</v>
      </c>
      <c r="D2219" s="1" t="str">
        <f t="shared" si="221"/>
        <v>89177328</v>
      </c>
      <c r="E2219" s="1" t="s">
        <v>24</v>
      </c>
      <c r="F2219" s="1" t="str">
        <f t="shared" ref="F2219:F2253" si="223">"0010"</f>
        <v>0010</v>
      </c>
      <c r="G2219" s="1" t="str">
        <f>""</f>
        <v/>
      </c>
      <c r="H2219" s="1" t="str">
        <f>"0035"</f>
        <v>0035</v>
      </c>
      <c r="I2219" s="1" t="s">
        <v>25</v>
      </c>
      <c r="J2219" s="1" t="str">
        <f>"01043977569"</f>
        <v>01043977569</v>
      </c>
      <c r="K2219" s="1" t="str">
        <f>"2017-03-23 20:27:03"</f>
        <v>2017-03-23 20:27:03</v>
      </c>
      <c r="L2219" s="1" t="str">
        <f>"2017-03-23 20:27:11"</f>
        <v>2017-03-23 20:27:11</v>
      </c>
      <c r="M2219" s="2">
        <v>2.0509259259259258E-2</v>
      </c>
      <c r="N2219" s="1" t="s">
        <v>26</v>
      </c>
      <c r="O2219" s="1" t="s">
        <v>27</v>
      </c>
      <c r="P2219" s="2">
        <v>2.0601851851851854E-2</v>
      </c>
      <c r="Q2219" s="1" t="s">
        <v>1586</v>
      </c>
      <c r="R2219" s="1">
        <v>0</v>
      </c>
      <c r="S2219" s="1" t="str">
        <f>""</f>
        <v/>
      </c>
      <c r="T2219" s="1" t="s">
        <v>29</v>
      </c>
      <c r="U2219" s="1" t="s">
        <v>30</v>
      </c>
      <c r="V2219" s="1">
        <v>0</v>
      </c>
    </row>
    <row r="2220" spans="2:22" x14ac:dyDescent="0.15">
      <c r="B2220" s="1" t="str">
        <f>"151****3333"</f>
        <v>151****3333</v>
      </c>
      <c r="C2220" s="1" t="s">
        <v>379</v>
      </c>
      <c r="D2220" s="1" t="str">
        <f t="shared" si="221"/>
        <v>89177328</v>
      </c>
      <c r="E2220" s="1" t="s">
        <v>24</v>
      </c>
      <c r="F2220" s="1" t="str">
        <f t="shared" si="223"/>
        <v>0010</v>
      </c>
      <c r="G2220" s="1" t="str">
        <f>""</f>
        <v/>
      </c>
      <c r="H2220" s="1" t="str">
        <f>"0017"</f>
        <v>0017</v>
      </c>
      <c r="I2220" s="1" t="s">
        <v>135</v>
      </c>
      <c r="J2220" s="1" t="str">
        <f>"01043989717"</f>
        <v>01043989717</v>
      </c>
      <c r="K2220" s="1" t="str">
        <f>"2017-03-23 20:22:35"</f>
        <v>2017-03-23 20:22:35</v>
      </c>
      <c r="L2220" s="1" t="str">
        <f>"2017-03-23 20:22:43"</f>
        <v>2017-03-23 20:22:43</v>
      </c>
      <c r="M2220" s="2">
        <v>2.1689814814814815E-2</v>
      </c>
      <c r="N2220" s="1" t="s">
        <v>26</v>
      </c>
      <c r="O2220" s="1" t="s">
        <v>27</v>
      </c>
      <c r="P2220" s="2">
        <v>2.1782407407407407E-2</v>
      </c>
      <c r="Q2220" s="1" t="s">
        <v>1587</v>
      </c>
      <c r="R2220" s="1">
        <v>0</v>
      </c>
      <c r="S2220" s="1" t="str">
        <f>""</f>
        <v/>
      </c>
      <c r="T2220" s="1" t="s">
        <v>29</v>
      </c>
      <c r="U2220" s="1" t="s">
        <v>30</v>
      </c>
      <c r="V2220" s="1">
        <v>0</v>
      </c>
    </row>
    <row r="2221" spans="2:22" x14ac:dyDescent="0.15">
      <c r="B2221" s="1" t="str">
        <f>"186****1658"</f>
        <v>186****1658</v>
      </c>
      <c r="C2221" s="1" t="s">
        <v>23</v>
      </c>
      <c r="D2221" s="1" t="str">
        <f t="shared" si="221"/>
        <v>89177328</v>
      </c>
      <c r="E2221" s="1" t="s">
        <v>24</v>
      </c>
      <c r="F2221" s="1" t="str">
        <f t="shared" si="223"/>
        <v>0010</v>
      </c>
      <c r="G2221" s="1" t="str">
        <f>""</f>
        <v/>
      </c>
      <c r="H2221" s="1" t="str">
        <f>"0035"</f>
        <v>0035</v>
      </c>
      <c r="I2221" s="1" t="s">
        <v>25</v>
      </c>
      <c r="J2221" s="1" t="str">
        <f>"01043977569"</f>
        <v>01043977569</v>
      </c>
      <c r="K2221" s="1" t="str">
        <f>"2017-03-23 20:04:13"</f>
        <v>2017-03-23 20:04:13</v>
      </c>
      <c r="L2221" s="1" t="str">
        <f>"2017-03-23 20:04:51"</f>
        <v>2017-03-23 20:04:51</v>
      </c>
      <c r="M2221" s="2">
        <v>6.1574074074074074E-3</v>
      </c>
      <c r="N2221" s="1" t="s">
        <v>26</v>
      </c>
      <c r="O2221" s="1" t="s">
        <v>27</v>
      </c>
      <c r="P2221" s="2">
        <v>6.5972222222222222E-3</v>
      </c>
      <c r="Q2221" s="1" t="s">
        <v>1588</v>
      </c>
      <c r="R2221" s="1">
        <v>0</v>
      </c>
      <c r="S2221" s="1" t="str">
        <f>""</f>
        <v/>
      </c>
      <c r="T2221" s="1" t="s">
        <v>29</v>
      </c>
      <c r="U2221" s="1" t="s">
        <v>30</v>
      </c>
      <c r="V2221" s="1">
        <v>0</v>
      </c>
    </row>
    <row r="2222" spans="2:22" x14ac:dyDescent="0.15">
      <c r="B2222" s="1" t="str">
        <f>"010****4243"</f>
        <v>010****4243</v>
      </c>
      <c r="C2222" s="1" t="s">
        <v>23</v>
      </c>
      <c r="D2222" s="1" t="str">
        <f t="shared" si="221"/>
        <v>89177328</v>
      </c>
      <c r="E2222" s="1" t="s">
        <v>24</v>
      </c>
      <c r="F2222" s="1" t="str">
        <f t="shared" si="223"/>
        <v>0010</v>
      </c>
      <c r="G2222" s="1" t="str">
        <f>""</f>
        <v/>
      </c>
      <c r="H2222" s="1" t="str">
        <f>"0017"</f>
        <v>0017</v>
      </c>
      <c r="I2222" s="1" t="s">
        <v>135</v>
      </c>
      <c r="J2222" s="1" t="str">
        <f>"01043989717"</f>
        <v>01043989717</v>
      </c>
      <c r="K2222" s="1" t="str">
        <f>"2017-03-23 20:00:36"</f>
        <v>2017-03-23 20:00:36</v>
      </c>
      <c r="L2222" s="1" t="str">
        <f>"-"</f>
        <v>-</v>
      </c>
      <c r="M2222" s="2">
        <v>0</v>
      </c>
      <c r="N2222" s="1" t="s">
        <v>33</v>
      </c>
      <c r="O2222" s="1" t="s">
        <v>34</v>
      </c>
      <c r="P2222" s="2">
        <v>1.1574074074074073E-5</v>
      </c>
      <c r="Q2222" s="1" t="str">
        <f>""</f>
        <v/>
      </c>
      <c r="R2222" s="1">
        <v>0</v>
      </c>
      <c r="S2222" s="1" t="str">
        <f>""</f>
        <v/>
      </c>
      <c r="T2222" s="1" t="s">
        <v>29</v>
      </c>
      <c r="U2222" s="1" t="s">
        <v>30</v>
      </c>
      <c r="V2222" s="1">
        <v>0</v>
      </c>
    </row>
    <row r="2223" spans="2:22" x14ac:dyDescent="0.15">
      <c r="B2223" s="1" t="str">
        <f>"185****0717"</f>
        <v>185****0717</v>
      </c>
      <c r="C2223" s="1" t="s">
        <v>23</v>
      </c>
      <c r="D2223" s="1" t="str">
        <f t="shared" si="221"/>
        <v>89177328</v>
      </c>
      <c r="E2223" s="1" t="s">
        <v>24</v>
      </c>
      <c r="F2223" s="1" t="str">
        <f t="shared" si="223"/>
        <v>0010</v>
      </c>
      <c r="G2223" s="1" t="str">
        <f>""</f>
        <v/>
      </c>
      <c r="H2223" s="1" t="str">
        <f>"0012"</f>
        <v>0012</v>
      </c>
      <c r="I2223" s="1" t="s">
        <v>612</v>
      </c>
      <c r="J2223" s="1" t="str">
        <f>"01043989720"</f>
        <v>01043989720</v>
      </c>
      <c r="K2223" s="1" t="str">
        <f>"2017-03-23 19:21:15"</f>
        <v>2017-03-23 19:21:15</v>
      </c>
      <c r="L2223" s="1" t="str">
        <f>"2017-03-23 19:21:24"</f>
        <v>2017-03-23 19:21:24</v>
      </c>
      <c r="M2223" s="2">
        <v>1.1875000000000002E-2</v>
      </c>
      <c r="N2223" s="1" t="s">
        <v>26</v>
      </c>
      <c r="O2223" s="1" t="s">
        <v>27</v>
      </c>
      <c r="P2223" s="2">
        <v>1.1979166666666666E-2</v>
      </c>
      <c r="Q2223" s="1" t="s">
        <v>1589</v>
      </c>
      <c r="R2223" s="1">
        <v>0</v>
      </c>
      <c r="S2223" s="1" t="str">
        <f>""</f>
        <v/>
      </c>
      <c r="T2223" s="1" t="s">
        <v>29</v>
      </c>
      <c r="U2223" s="1" t="s">
        <v>30</v>
      </c>
      <c r="V2223" s="1">
        <v>0</v>
      </c>
    </row>
    <row r="2224" spans="2:22" x14ac:dyDescent="0.15">
      <c r="B2224" s="1" t="str">
        <f>"139****0308"</f>
        <v>139****0308</v>
      </c>
      <c r="C2224" s="1" t="s">
        <v>188</v>
      </c>
      <c r="D2224" s="1" t="str">
        <f t="shared" si="221"/>
        <v>89177328</v>
      </c>
      <c r="E2224" s="1" t="s">
        <v>24</v>
      </c>
      <c r="F2224" s="1" t="str">
        <f t="shared" si="223"/>
        <v>0010</v>
      </c>
      <c r="G2224" s="1" t="str">
        <f>""</f>
        <v/>
      </c>
      <c r="H2224" s="1" t="str">
        <f>"0035"</f>
        <v>0035</v>
      </c>
      <c r="I2224" s="1" t="s">
        <v>25</v>
      </c>
      <c r="J2224" s="1" t="str">
        <f>"01043977569"</f>
        <v>01043977569</v>
      </c>
      <c r="K2224" s="1" t="str">
        <f>"2017-03-23 19:08:35"</f>
        <v>2017-03-23 19:08:35</v>
      </c>
      <c r="L2224" s="1" t="str">
        <f>"2017-03-23 19:08:44"</f>
        <v>2017-03-23 19:08:44</v>
      </c>
      <c r="M2224" s="2">
        <v>3.3101851851851851E-3</v>
      </c>
      <c r="N2224" s="1" t="s">
        <v>26</v>
      </c>
      <c r="O2224" s="1" t="s">
        <v>27</v>
      </c>
      <c r="P2224" s="2">
        <v>3.414351851851852E-3</v>
      </c>
      <c r="Q2224" s="1" t="s">
        <v>1590</v>
      </c>
      <c r="R2224" s="1">
        <v>0</v>
      </c>
      <c r="S2224" s="1" t="str">
        <f>""</f>
        <v/>
      </c>
      <c r="T2224" s="1" t="s">
        <v>29</v>
      </c>
      <c r="U2224" s="1" t="s">
        <v>30</v>
      </c>
      <c r="V2224" s="1">
        <v>0</v>
      </c>
    </row>
    <row r="2225" spans="2:22" x14ac:dyDescent="0.15">
      <c r="B2225" s="1" t="str">
        <f>"153****0109"</f>
        <v>153****0109</v>
      </c>
      <c r="C2225" s="1" t="s">
        <v>463</v>
      </c>
      <c r="D2225" s="1" t="str">
        <f t="shared" si="221"/>
        <v>89177328</v>
      </c>
      <c r="E2225" s="1" t="s">
        <v>24</v>
      </c>
      <c r="F2225" s="1" t="str">
        <f t="shared" si="223"/>
        <v>0010</v>
      </c>
      <c r="G2225" s="1" t="str">
        <f>""</f>
        <v/>
      </c>
      <c r="H2225" s="1" t="str">
        <f>"0017"</f>
        <v>0017</v>
      </c>
      <c r="I2225" s="1" t="s">
        <v>135</v>
      </c>
      <c r="J2225" s="1" t="str">
        <f>"01043989717"</f>
        <v>01043989717</v>
      </c>
      <c r="K2225" s="1" t="str">
        <f>"2017-03-23 18:53:01"</f>
        <v>2017-03-23 18:53:01</v>
      </c>
      <c r="L2225" s="1" t="str">
        <f>"2017-03-23 18:53:06"</f>
        <v>2017-03-23 18:53:06</v>
      </c>
      <c r="M2225" s="2">
        <v>4.1203703703703706E-3</v>
      </c>
      <c r="N2225" s="1" t="s">
        <v>26</v>
      </c>
      <c r="O2225" s="1" t="s">
        <v>27</v>
      </c>
      <c r="P2225" s="2">
        <v>4.1782407407407402E-3</v>
      </c>
      <c r="Q2225" s="1" t="s">
        <v>1591</v>
      </c>
      <c r="R2225" s="1">
        <v>0</v>
      </c>
      <c r="S2225" s="1" t="str">
        <f>""</f>
        <v/>
      </c>
      <c r="T2225" s="1" t="s">
        <v>29</v>
      </c>
      <c r="U2225" s="1" t="s">
        <v>30</v>
      </c>
      <c r="V2225" s="1">
        <v>0</v>
      </c>
    </row>
    <row r="2226" spans="2:22" x14ac:dyDescent="0.15">
      <c r="B2226" s="1" t="str">
        <f>"138****1660"</f>
        <v>138****1660</v>
      </c>
      <c r="C2226" s="1" t="s">
        <v>76</v>
      </c>
      <c r="D2226" s="1" t="str">
        <f t="shared" si="221"/>
        <v>89177328</v>
      </c>
      <c r="E2226" s="1" t="s">
        <v>24</v>
      </c>
      <c r="F2226" s="1" t="str">
        <f t="shared" si="223"/>
        <v>0010</v>
      </c>
      <c r="G2226" s="1" t="str">
        <f>""</f>
        <v/>
      </c>
      <c r="H2226" s="1" t="str">
        <f>"0031"</f>
        <v>0031</v>
      </c>
      <c r="I2226" s="1" t="s">
        <v>95</v>
      </c>
      <c r="J2226" s="1" t="str">
        <f>"01043977565"</f>
        <v>01043977565</v>
      </c>
      <c r="K2226" s="1" t="str">
        <f>"2017-03-23 18:41:09"</f>
        <v>2017-03-23 18:41:09</v>
      </c>
      <c r="L2226" s="1" t="str">
        <f>"2017-03-23 18:41:17"</f>
        <v>2017-03-23 18:41:17</v>
      </c>
      <c r="M2226" s="2">
        <v>9.432870370370371E-3</v>
      </c>
      <c r="N2226" s="1" t="s">
        <v>26</v>
      </c>
      <c r="O2226" s="1" t="s">
        <v>27</v>
      </c>
      <c r="P2226" s="2">
        <v>9.525462962962963E-3</v>
      </c>
      <c r="Q2226" s="1" t="s">
        <v>1592</v>
      </c>
      <c r="R2226" s="1">
        <v>0</v>
      </c>
      <c r="S2226" s="1" t="str">
        <f>""</f>
        <v/>
      </c>
      <c r="T2226" s="1" t="s">
        <v>29</v>
      </c>
      <c r="U2226" s="1" t="s">
        <v>30</v>
      </c>
      <c r="V2226" s="1">
        <v>0</v>
      </c>
    </row>
    <row r="2227" spans="2:22" x14ac:dyDescent="0.15">
      <c r="B2227" s="1" t="str">
        <f>"181****3767"</f>
        <v>181****3767</v>
      </c>
      <c r="C2227" s="1" t="s">
        <v>534</v>
      </c>
      <c r="D2227" s="1" t="str">
        <f t="shared" si="221"/>
        <v>89177328</v>
      </c>
      <c r="E2227" s="1" t="s">
        <v>24</v>
      </c>
      <c r="F2227" s="1" t="str">
        <f t="shared" si="223"/>
        <v>0010</v>
      </c>
      <c r="G2227" s="1" t="str">
        <f>""</f>
        <v/>
      </c>
      <c r="H2227" s="1" t="str">
        <f>""</f>
        <v/>
      </c>
      <c r="I2227" s="1" t="str">
        <f>""</f>
        <v/>
      </c>
      <c r="J2227" s="1" t="str">
        <f>""</f>
        <v/>
      </c>
      <c r="K2227" s="1" t="str">
        <f>"2017-03-23 18:14:24"</f>
        <v>2017-03-23 18:14:24</v>
      </c>
      <c r="L2227" s="1" t="str">
        <f>"-"</f>
        <v>-</v>
      </c>
      <c r="M2227" s="2">
        <v>0</v>
      </c>
      <c r="N2227" s="1" t="s">
        <v>55</v>
      </c>
      <c r="O2227" s="1" t="s">
        <v>34</v>
      </c>
      <c r="P2227" s="2">
        <v>8.2175925925925917E-4</v>
      </c>
      <c r="Q2227" s="1" t="str">
        <f>""</f>
        <v/>
      </c>
      <c r="R2227" s="1">
        <v>0</v>
      </c>
      <c r="S2227" s="1" t="str">
        <f>""</f>
        <v/>
      </c>
      <c r="T2227" s="1" t="s">
        <v>29</v>
      </c>
      <c r="U2227" s="1" t="s">
        <v>30</v>
      </c>
      <c r="V2227" s="1">
        <v>0</v>
      </c>
    </row>
    <row r="2228" spans="2:22" x14ac:dyDescent="0.15">
      <c r="B2228" s="1" t="str">
        <f>"010****2515"</f>
        <v>010****2515</v>
      </c>
      <c r="C2228" s="1" t="s">
        <v>23</v>
      </c>
      <c r="D2228" s="1" t="str">
        <f t="shared" si="221"/>
        <v>89177328</v>
      </c>
      <c r="E2228" s="1" t="s">
        <v>24</v>
      </c>
      <c r="F2228" s="1" t="str">
        <f t="shared" si="223"/>
        <v>0010</v>
      </c>
      <c r="G2228" s="1" t="str">
        <f>""</f>
        <v/>
      </c>
      <c r="H2228" s="1" t="str">
        <f>"0017"</f>
        <v>0017</v>
      </c>
      <c r="I2228" s="1" t="s">
        <v>135</v>
      </c>
      <c r="J2228" s="1" t="str">
        <f>"01043989717"</f>
        <v>01043989717</v>
      </c>
      <c r="K2228" s="1" t="str">
        <f>"2017-03-23 18:13:11"</f>
        <v>2017-03-23 18:13:11</v>
      </c>
      <c r="L2228" s="1" t="str">
        <f>"2017-03-23 18:13:18"</f>
        <v>2017-03-23 18:13:18</v>
      </c>
      <c r="M2228" s="2">
        <v>1.329861111111111E-2</v>
      </c>
      <c r="N2228" s="1" t="s">
        <v>26</v>
      </c>
      <c r="O2228" s="1" t="s">
        <v>27</v>
      </c>
      <c r="P2228" s="2">
        <v>1.3379629629629628E-2</v>
      </c>
      <c r="Q2228" s="1" t="s">
        <v>1593</v>
      </c>
      <c r="R2228" s="1">
        <v>0</v>
      </c>
      <c r="S2228" s="1" t="str">
        <f>""</f>
        <v/>
      </c>
      <c r="T2228" s="1" t="s">
        <v>29</v>
      </c>
      <c r="U2228" s="1" t="s">
        <v>30</v>
      </c>
      <c r="V2228" s="1">
        <v>0</v>
      </c>
    </row>
    <row r="2229" spans="2:22" x14ac:dyDescent="0.15">
      <c r="B2229" s="1" t="str">
        <f>"186****5983"</f>
        <v>186****5983</v>
      </c>
      <c r="C2229" s="1" t="s">
        <v>872</v>
      </c>
      <c r="D2229" s="1" t="str">
        <f t="shared" si="221"/>
        <v>89177328</v>
      </c>
      <c r="E2229" s="1" t="s">
        <v>24</v>
      </c>
      <c r="F2229" s="1" t="str">
        <f t="shared" si="223"/>
        <v>0010</v>
      </c>
      <c r="G2229" s="1" t="str">
        <f>""</f>
        <v/>
      </c>
      <c r="H2229" s="1" t="str">
        <f>"0031"</f>
        <v>0031</v>
      </c>
      <c r="I2229" s="1" t="s">
        <v>95</v>
      </c>
      <c r="J2229" s="1" t="str">
        <f>"01043977565"</f>
        <v>01043977565</v>
      </c>
      <c r="K2229" s="1" t="str">
        <f>"2017-03-23 18:03:12"</f>
        <v>2017-03-23 18:03:12</v>
      </c>
      <c r="L2229" s="1" t="str">
        <f>"2017-03-23 18:03:21"</f>
        <v>2017-03-23 18:03:21</v>
      </c>
      <c r="M2229" s="2">
        <v>1.1666666666666667E-2</v>
      </c>
      <c r="N2229" s="1" t="s">
        <v>26</v>
      </c>
      <c r="O2229" s="1" t="s">
        <v>27</v>
      </c>
      <c r="P2229" s="2">
        <v>1.1770833333333333E-2</v>
      </c>
      <c r="Q2229" s="1" t="s">
        <v>1594</v>
      </c>
      <c r="R2229" s="1">
        <v>0</v>
      </c>
      <c r="S2229" s="1" t="str">
        <f>""</f>
        <v/>
      </c>
      <c r="T2229" s="1" t="s">
        <v>29</v>
      </c>
      <c r="U2229" s="1" t="s">
        <v>30</v>
      </c>
      <c r="V2229" s="1">
        <v>0</v>
      </c>
    </row>
    <row r="2230" spans="2:22" x14ac:dyDescent="0.15">
      <c r="B2230" s="1" t="str">
        <f>"133****9597"</f>
        <v>133****9597</v>
      </c>
      <c r="C2230" s="1" t="s">
        <v>23</v>
      </c>
      <c r="D2230" s="1" t="str">
        <f t="shared" si="221"/>
        <v>89177328</v>
      </c>
      <c r="E2230" s="1" t="s">
        <v>24</v>
      </c>
      <c r="F2230" s="1" t="str">
        <f t="shared" si="223"/>
        <v>0010</v>
      </c>
      <c r="G2230" s="1" t="str">
        <f>""</f>
        <v/>
      </c>
      <c r="H2230" s="1" t="str">
        <f>"0034"</f>
        <v>0034</v>
      </c>
      <c r="I2230" s="1" t="s">
        <v>31</v>
      </c>
      <c r="J2230" s="1" t="str">
        <f>"01043977568"</f>
        <v>01043977568</v>
      </c>
      <c r="K2230" s="1" t="str">
        <f>"2017-03-23 17:49:37"</f>
        <v>2017-03-23 17:49:37</v>
      </c>
      <c r="L2230" s="1" t="str">
        <f>"-"</f>
        <v>-</v>
      </c>
      <c r="M2230" s="2">
        <v>0</v>
      </c>
      <c r="N2230" s="1" t="s">
        <v>33</v>
      </c>
      <c r="O2230" s="1" t="s">
        <v>34</v>
      </c>
      <c r="P2230" s="2">
        <v>5.7870370370370366E-5</v>
      </c>
      <c r="Q2230" s="1" t="str">
        <f>""</f>
        <v/>
      </c>
      <c r="R2230" s="1">
        <v>0</v>
      </c>
      <c r="S2230" s="1" t="str">
        <f>""</f>
        <v/>
      </c>
      <c r="T2230" s="1" t="s">
        <v>29</v>
      </c>
      <c r="U2230" s="1" t="s">
        <v>30</v>
      </c>
      <c r="V2230" s="1">
        <v>0</v>
      </c>
    </row>
    <row r="2231" spans="2:22" x14ac:dyDescent="0.15">
      <c r="B2231" s="1" t="str">
        <f>"133****9597"</f>
        <v>133****9597</v>
      </c>
      <c r="C2231" s="1" t="s">
        <v>23</v>
      </c>
      <c r="D2231" s="1" t="str">
        <f t="shared" si="221"/>
        <v>89177328</v>
      </c>
      <c r="E2231" s="1" t="s">
        <v>24</v>
      </c>
      <c r="F2231" s="1" t="str">
        <f t="shared" si="223"/>
        <v>0010</v>
      </c>
      <c r="G2231" s="1" t="str">
        <f>""</f>
        <v/>
      </c>
      <c r="H2231" s="1" t="str">
        <f>"0034"</f>
        <v>0034</v>
      </c>
      <c r="I2231" s="1" t="s">
        <v>31</v>
      </c>
      <c r="J2231" s="1" t="str">
        <f>"01043977568"</f>
        <v>01043977568</v>
      </c>
      <c r="K2231" s="1" t="str">
        <f>"2017-03-23 17:48:10"</f>
        <v>2017-03-23 17:48:10</v>
      </c>
      <c r="L2231" s="1" t="str">
        <f>"-"</f>
        <v>-</v>
      </c>
      <c r="M2231" s="2">
        <v>0</v>
      </c>
      <c r="N2231" s="1" t="s">
        <v>33</v>
      </c>
      <c r="O2231" s="1" t="s">
        <v>34</v>
      </c>
      <c r="P2231" s="2">
        <v>6.9444444444444444E-5</v>
      </c>
      <c r="Q2231" s="1" t="str">
        <f>""</f>
        <v/>
      </c>
      <c r="R2231" s="1">
        <v>0</v>
      </c>
      <c r="S2231" s="1" t="str">
        <f>""</f>
        <v/>
      </c>
      <c r="T2231" s="1" t="s">
        <v>29</v>
      </c>
      <c r="U2231" s="1" t="s">
        <v>30</v>
      </c>
      <c r="V2231" s="1">
        <v>0</v>
      </c>
    </row>
    <row r="2232" spans="2:22" x14ac:dyDescent="0.15">
      <c r="B2232" s="1" t="str">
        <f>"133****9597"</f>
        <v>133****9597</v>
      </c>
      <c r="C2232" s="1" t="s">
        <v>23</v>
      </c>
      <c r="D2232" s="1" t="str">
        <f t="shared" si="221"/>
        <v>89177328</v>
      </c>
      <c r="E2232" s="1" t="s">
        <v>24</v>
      </c>
      <c r="F2232" s="1" t="str">
        <f t="shared" si="223"/>
        <v>0010</v>
      </c>
      <c r="G2232" s="1" t="str">
        <f>""</f>
        <v/>
      </c>
      <c r="H2232" s="1" t="str">
        <f>"0010"</f>
        <v>0010</v>
      </c>
      <c r="I2232" s="1" t="s">
        <v>71</v>
      </c>
      <c r="J2232" s="1" t="str">
        <f>"01043989719"</f>
        <v>01043989719</v>
      </c>
      <c r="K2232" s="1" t="str">
        <f>"2017-03-23 17:40:13"</f>
        <v>2017-03-23 17:40:13</v>
      </c>
      <c r="L2232" s="1" t="str">
        <f>"2017-03-23 17:40:19"</f>
        <v>2017-03-23 17:40:19</v>
      </c>
      <c r="M2232" s="2">
        <v>0</v>
      </c>
      <c r="N2232" s="1" t="s">
        <v>26</v>
      </c>
      <c r="O2232" s="1" t="s">
        <v>34</v>
      </c>
      <c r="P2232" s="2">
        <v>6.9444444444444444E-5</v>
      </c>
      <c r="Q2232" s="1" t="str">
        <f>""</f>
        <v/>
      </c>
      <c r="R2232" s="1">
        <v>0</v>
      </c>
      <c r="S2232" s="1" t="str">
        <f>""</f>
        <v/>
      </c>
      <c r="T2232" s="1" t="s">
        <v>29</v>
      </c>
      <c r="U2232" s="1" t="s">
        <v>30</v>
      </c>
      <c r="V2232" s="1">
        <v>0</v>
      </c>
    </row>
    <row r="2233" spans="2:22" x14ac:dyDescent="0.15">
      <c r="B2233" s="1" t="str">
        <f>"133****9597"</f>
        <v>133****9597</v>
      </c>
      <c r="C2233" s="1" t="s">
        <v>23</v>
      </c>
      <c r="D2233" s="1" t="str">
        <f t="shared" si="221"/>
        <v>89177328</v>
      </c>
      <c r="E2233" s="1" t="s">
        <v>24</v>
      </c>
      <c r="F2233" s="1" t="str">
        <f t="shared" si="223"/>
        <v>0010</v>
      </c>
      <c r="G2233" s="1" t="str">
        <f>""</f>
        <v/>
      </c>
      <c r="H2233" s="1" t="str">
        <f>"0010"</f>
        <v>0010</v>
      </c>
      <c r="I2233" s="1" t="s">
        <v>71</v>
      </c>
      <c r="J2233" s="1" t="str">
        <f>"01043989719"</f>
        <v>01043989719</v>
      </c>
      <c r="K2233" s="1" t="str">
        <f>"2017-03-23 17:38:14"</f>
        <v>2017-03-23 17:38:14</v>
      </c>
      <c r="L2233" s="1" t="str">
        <f>"-"</f>
        <v>-</v>
      </c>
      <c r="M2233" s="2">
        <v>0</v>
      </c>
      <c r="N2233" s="1" t="s">
        <v>33</v>
      </c>
      <c r="O2233" s="1" t="s">
        <v>34</v>
      </c>
      <c r="P2233" s="2">
        <v>8.1018518518518516E-5</v>
      </c>
      <c r="Q2233" s="1" t="str">
        <f>""</f>
        <v/>
      </c>
      <c r="R2233" s="1">
        <v>0</v>
      </c>
      <c r="S2233" s="1" t="str">
        <f>""</f>
        <v/>
      </c>
      <c r="T2233" s="1" t="s">
        <v>29</v>
      </c>
      <c r="U2233" s="1" t="s">
        <v>30</v>
      </c>
      <c r="V2233" s="1">
        <v>0</v>
      </c>
    </row>
    <row r="2234" spans="2:22" x14ac:dyDescent="0.15">
      <c r="B2234" s="1" t="str">
        <f>"188****7867"</f>
        <v>188****7867</v>
      </c>
      <c r="C2234" s="1" t="s">
        <v>23</v>
      </c>
      <c r="D2234" s="1" t="str">
        <f t="shared" si="221"/>
        <v>89177328</v>
      </c>
      <c r="E2234" s="1" t="s">
        <v>24</v>
      </c>
      <c r="F2234" s="1" t="str">
        <f t="shared" si="223"/>
        <v>0010</v>
      </c>
      <c r="G2234" s="1" t="str">
        <f>""</f>
        <v/>
      </c>
      <c r="H2234" s="1" t="str">
        <f>"0032"</f>
        <v>0032</v>
      </c>
      <c r="I2234" s="1" t="s">
        <v>119</v>
      </c>
      <c r="J2234" s="1" t="str">
        <f>"01043977566"</f>
        <v>01043977566</v>
      </c>
      <c r="K2234" s="1" t="str">
        <f>"2017-03-23 17:34:07"</f>
        <v>2017-03-23 17:34:07</v>
      </c>
      <c r="L2234" s="1" t="str">
        <f>"-"</f>
        <v>-</v>
      </c>
      <c r="M2234" s="2">
        <v>0</v>
      </c>
      <c r="N2234" s="1" t="s">
        <v>33</v>
      </c>
      <c r="O2234" s="1" t="s">
        <v>34</v>
      </c>
      <c r="P2234" s="2">
        <v>6.9444444444444444E-5</v>
      </c>
      <c r="Q2234" s="1" t="str">
        <f>""</f>
        <v/>
      </c>
      <c r="R2234" s="1">
        <v>0</v>
      </c>
      <c r="S2234" s="1" t="str">
        <f>""</f>
        <v/>
      </c>
      <c r="T2234" s="1" t="s">
        <v>29</v>
      </c>
      <c r="U2234" s="1" t="s">
        <v>30</v>
      </c>
      <c r="V2234" s="1">
        <v>0</v>
      </c>
    </row>
    <row r="2235" spans="2:22" x14ac:dyDescent="0.15">
      <c r="B2235" s="1" t="str">
        <f>"157****4678"</f>
        <v>157****4678</v>
      </c>
      <c r="C2235" s="1" t="s">
        <v>23</v>
      </c>
      <c r="D2235" s="1" t="str">
        <f t="shared" si="221"/>
        <v>89177328</v>
      </c>
      <c r="E2235" s="1" t="s">
        <v>24</v>
      </c>
      <c r="F2235" s="1" t="str">
        <f t="shared" si="223"/>
        <v>0010</v>
      </c>
      <c r="G2235" s="1" t="str">
        <f>""</f>
        <v/>
      </c>
      <c r="H2235" s="1" t="str">
        <f>"0032"</f>
        <v>0032</v>
      </c>
      <c r="I2235" s="1" t="s">
        <v>119</v>
      </c>
      <c r="J2235" s="1" t="str">
        <f>"01043977566"</f>
        <v>01043977566</v>
      </c>
      <c r="K2235" s="1" t="str">
        <f>"2017-03-23 17:33:30"</f>
        <v>2017-03-23 17:33:30</v>
      </c>
      <c r="L2235" s="1" t="str">
        <f>"-"</f>
        <v>-</v>
      </c>
      <c r="M2235" s="2">
        <v>0</v>
      </c>
      <c r="N2235" s="1" t="s">
        <v>33</v>
      </c>
      <c r="O2235" s="1" t="s">
        <v>34</v>
      </c>
      <c r="P2235" s="2">
        <v>6.9444444444444444E-5</v>
      </c>
      <c r="Q2235" s="1" t="str">
        <f>""</f>
        <v/>
      </c>
      <c r="R2235" s="1">
        <v>0</v>
      </c>
      <c r="S2235" s="1" t="str">
        <f>""</f>
        <v/>
      </c>
      <c r="T2235" s="1" t="s">
        <v>29</v>
      </c>
      <c r="U2235" s="1" t="s">
        <v>30</v>
      </c>
      <c r="V2235" s="1">
        <v>0</v>
      </c>
    </row>
    <row r="2236" spans="2:22" x14ac:dyDescent="0.15">
      <c r="B2236" s="1" t="str">
        <f>"130****2220"</f>
        <v>130****2220</v>
      </c>
      <c r="C2236" s="1" t="s">
        <v>23</v>
      </c>
      <c r="D2236" s="1" t="str">
        <f t="shared" si="221"/>
        <v>89177328</v>
      </c>
      <c r="E2236" s="1" t="s">
        <v>24</v>
      </c>
      <c r="F2236" s="1" t="str">
        <f t="shared" si="223"/>
        <v>0010</v>
      </c>
      <c r="G2236" s="1" t="str">
        <f>""</f>
        <v/>
      </c>
      <c r="H2236" s="1" t="str">
        <f>"0034"</f>
        <v>0034</v>
      </c>
      <c r="I2236" s="1" t="s">
        <v>31</v>
      </c>
      <c r="J2236" s="1" t="str">
        <f>"01043977568"</f>
        <v>01043977568</v>
      </c>
      <c r="K2236" s="1" t="str">
        <f>"2017-03-23 17:32:30"</f>
        <v>2017-03-23 17:32:30</v>
      </c>
      <c r="L2236" s="1" t="str">
        <f>"2017-03-23 17:32:40"</f>
        <v>2017-03-23 17:32:40</v>
      </c>
      <c r="M2236" s="2">
        <v>1.0011574074074074E-2</v>
      </c>
      <c r="N2236" s="1" t="s">
        <v>26</v>
      </c>
      <c r="O2236" s="1" t="s">
        <v>27</v>
      </c>
      <c r="P2236" s="2">
        <v>1.0127314814814815E-2</v>
      </c>
      <c r="Q2236" s="1" t="s">
        <v>1595</v>
      </c>
      <c r="R2236" s="1">
        <v>0</v>
      </c>
      <c r="S2236" s="1" t="str">
        <f>""</f>
        <v/>
      </c>
      <c r="T2236" s="1" t="s">
        <v>29</v>
      </c>
      <c r="U2236" s="1" t="s">
        <v>30</v>
      </c>
      <c r="V2236" s="1">
        <v>0</v>
      </c>
    </row>
    <row r="2237" spans="2:22" x14ac:dyDescent="0.15">
      <c r="B2237" s="1" t="str">
        <f>"177****0206"</f>
        <v>177****0206</v>
      </c>
      <c r="C2237" s="1" t="s">
        <v>23</v>
      </c>
      <c r="D2237" s="1" t="str">
        <f t="shared" si="221"/>
        <v>89177328</v>
      </c>
      <c r="E2237" s="1" t="s">
        <v>24</v>
      </c>
      <c r="F2237" s="1" t="str">
        <f t="shared" si="223"/>
        <v>0010</v>
      </c>
      <c r="G2237" s="1" t="str">
        <f>""</f>
        <v/>
      </c>
      <c r="H2237" s="1" t="str">
        <f>"0034"</f>
        <v>0034</v>
      </c>
      <c r="I2237" s="1" t="s">
        <v>31</v>
      </c>
      <c r="J2237" s="1" t="str">
        <f>"01043977568"</f>
        <v>01043977568</v>
      </c>
      <c r="K2237" s="1" t="str">
        <f>"2017-03-23 17:32:13"</f>
        <v>2017-03-23 17:32:13</v>
      </c>
      <c r="L2237" s="1" t="str">
        <f t="shared" ref="L2237:L2243" si="224">"-"</f>
        <v>-</v>
      </c>
      <c r="M2237" s="2">
        <v>0</v>
      </c>
      <c r="N2237" s="1" t="s">
        <v>33</v>
      </c>
      <c r="O2237" s="1" t="s">
        <v>34</v>
      </c>
      <c r="P2237" s="2">
        <v>9.2592592592592588E-5</v>
      </c>
      <c r="Q2237" s="1" t="str">
        <f>""</f>
        <v/>
      </c>
      <c r="R2237" s="1">
        <v>0</v>
      </c>
      <c r="S2237" s="1" t="str">
        <f>""</f>
        <v/>
      </c>
      <c r="T2237" s="1" t="s">
        <v>29</v>
      </c>
      <c r="U2237" s="1" t="s">
        <v>30</v>
      </c>
      <c r="V2237" s="1">
        <v>0</v>
      </c>
    </row>
    <row r="2238" spans="2:22" x14ac:dyDescent="0.15">
      <c r="B2238" s="1" t="str">
        <f>"114"</f>
        <v>114</v>
      </c>
      <c r="C2238" s="1" t="s">
        <v>159</v>
      </c>
      <c r="D2238" s="1" t="str">
        <f t="shared" si="221"/>
        <v>89177328</v>
      </c>
      <c r="E2238" s="1" t="s">
        <v>24</v>
      </c>
      <c r="F2238" s="1" t="str">
        <f t="shared" si="223"/>
        <v>0010</v>
      </c>
      <c r="G2238" s="1" t="str">
        <f>""</f>
        <v/>
      </c>
      <c r="H2238" s="1" t="str">
        <f>"0034"</f>
        <v>0034</v>
      </c>
      <c r="I2238" s="1" t="s">
        <v>31</v>
      </c>
      <c r="J2238" s="1" t="str">
        <f>"01043977568"</f>
        <v>01043977568</v>
      </c>
      <c r="K2238" s="1" t="str">
        <f>"2017-03-23 17:31:48"</f>
        <v>2017-03-23 17:31:48</v>
      </c>
      <c r="L2238" s="1" t="str">
        <f t="shared" si="224"/>
        <v>-</v>
      </c>
      <c r="M2238" s="2">
        <v>0</v>
      </c>
      <c r="N2238" s="1" t="s">
        <v>33</v>
      </c>
      <c r="O2238" s="1" t="s">
        <v>34</v>
      </c>
      <c r="P2238" s="2">
        <v>1.273148148148148E-4</v>
      </c>
      <c r="Q2238" s="1" t="str">
        <f>""</f>
        <v/>
      </c>
      <c r="R2238" s="1">
        <v>0</v>
      </c>
      <c r="S2238" s="1" t="str">
        <f>""</f>
        <v/>
      </c>
      <c r="T2238" s="1" t="s">
        <v>29</v>
      </c>
      <c r="U2238" s="1" t="s">
        <v>30</v>
      </c>
      <c r="V2238" s="1">
        <v>0</v>
      </c>
    </row>
    <row r="2239" spans="2:22" x14ac:dyDescent="0.15">
      <c r="B2239" s="1" t="str">
        <f>"157****4678"</f>
        <v>157****4678</v>
      </c>
      <c r="C2239" s="1" t="s">
        <v>23</v>
      </c>
      <c r="D2239" s="1" t="str">
        <f t="shared" si="221"/>
        <v>89177328</v>
      </c>
      <c r="E2239" s="1" t="s">
        <v>24</v>
      </c>
      <c r="F2239" s="1" t="str">
        <f t="shared" si="223"/>
        <v>0010</v>
      </c>
      <c r="G2239" s="1" t="str">
        <f>""</f>
        <v/>
      </c>
      <c r="H2239" s="1" t="str">
        <f>"0034"</f>
        <v>0034</v>
      </c>
      <c r="I2239" s="1" t="s">
        <v>31</v>
      </c>
      <c r="J2239" s="1" t="str">
        <f>"01043977568"</f>
        <v>01043977568</v>
      </c>
      <c r="K2239" s="1" t="str">
        <f>"2017-03-23 17:31:42"</f>
        <v>2017-03-23 17:31:42</v>
      </c>
      <c r="L2239" s="1" t="str">
        <f t="shared" si="224"/>
        <v>-</v>
      </c>
      <c r="M2239" s="2">
        <v>0</v>
      </c>
      <c r="N2239" s="1" t="s">
        <v>33</v>
      </c>
      <c r="O2239" s="1" t="s">
        <v>34</v>
      </c>
      <c r="P2239" s="2">
        <v>6.9444444444444444E-5</v>
      </c>
      <c r="Q2239" s="1" t="str">
        <f>""</f>
        <v/>
      </c>
      <c r="R2239" s="1">
        <v>0</v>
      </c>
      <c r="S2239" s="1" t="str">
        <f>""</f>
        <v/>
      </c>
      <c r="T2239" s="1" t="s">
        <v>29</v>
      </c>
      <c r="U2239" s="1" t="s">
        <v>30</v>
      </c>
      <c r="V2239" s="1">
        <v>0</v>
      </c>
    </row>
    <row r="2240" spans="2:22" x14ac:dyDescent="0.15">
      <c r="B2240" s="1" t="str">
        <f>"177****0206"</f>
        <v>177****0206</v>
      </c>
      <c r="C2240" s="1" t="s">
        <v>23</v>
      </c>
      <c r="D2240" s="1" t="str">
        <f t="shared" si="221"/>
        <v>89177328</v>
      </c>
      <c r="E2240" s="1" t="s">
        <v>24</v>
      </c>
      <c r="F2240" s="1" t="str">
        <f t="shared" si="223"/>
        <v>0010</v>
      </c>
      <c r="G2240" s="1" t="str">
        <f>""</f>
        <v/>
      </c>
      <c r="H2240" s="1" t="str">
        <f>"0034"</f>
        <v>0034</v>
      </c>
      <c r="I2240" s="1" t="s">
        <v>31</v>
      </c>
      <c r="J2240" s="1" t="str">
        <f>"01043977568"</f>
        <v>01043977568</v>
      </c>
      <c r="K2240" s="1" t="str">
        <f>"2017-03-23 17:30:36"</f>
        <v>2017-03-23 17:30:36</v>
      </c>
      <c r="L2240" s="1" t="str">
        <f t="shared" si="224"/>
        <v>-</v>
      </c>
      <c r="M2240" s="2">
        <v>0</v>
      </c>
      <c r="N2240" s="1" t="s">
        <v>33</v>
      </c>
      <c r="O2240" s="1" t="s">
        <v>34</v>
      </c>
      <c r="P2240" s="2">
        <v>6.9444444444444444E-5</v>
      </c>
      <c r="Q2240" s="1" t="str">
        <f>""</f>
        <v/>
      </c>
      <c r="R2240" s="1">
        <v>0</v>
      </c>
      <c r="S2240" s="1" t="str">
        <f>""</f>
        <v/>
      </c>
      <c r="T2240" s="1" t="s">
        <v>29</v>
      </c>
      <c r="U2240" s="1" t="s">
        <v>30</v>
      </c>
      <c r="V2240" s="1">
        <v>0</v>
      </c>
    </row>
    <row r="2241" spans="2:22" x14ac:dyDescent="0.15">
      <c r="B2241" s="1" t="str">
        <f>"188****7867"</f>
        <v>188****7867</v>
      </c>
      <c r="C2241" s="1" t="s">
        <v>23</v>
      </c>
      <c r="D2241" s="1" t="str">
        <f t="shared" si="221"/>
        <v>89177328</v>
      </c>
      <c r="E2241" s="1" t="s">
        <v>24</v>
      </c>
      <c r="F2241" s="1" t="str">
        <f t="shared" si="223"/>
        <v>0010</v>
      </c>
      <c r="G2241" s="1" t="str">
        <f>""</f>
        <v/>
      </c>
      <c r="H2241" s="1" t="str">
        <f>"0010"</f>
        <v>0010</v>
      </c>
      <c r="I2241" s="1" t="s">
        <v>71</v>
      </c>
      <c r="J2241" s="1" t="str">
        <f>"01043989719"</f>
        <v>01043989719</v>
      </c>
      <c r="K2241" s="1" t="str">
        <f>"2017-03-23 17:24:47"</f>
        <v>2017-03-23 17:24:47</v>
      </c>
      <c r="L2241" s="1" t="str">
        <f t="shared" si="224"/>
        <v>-</v>
      </c>
      <c r="M2241" s="2">
        <v>0</v>
      </c>
      <c r="N2241" s="1" t="s">
        <v>33</v>
      </c>
      <c r="O2241" s="1" t="s">
        <v>34</v>
      </c>
      <c r="P2241" s="2">
        <v>1.5046296296296297E-4</v>
      </c>
      <c r="Q2241" s="1" t="str">
        <f>""</f>
        <v/>
      </c>
      <c r="R2241" s="1">
        <v>0</v>
      </c>
      <c r="S2241" s="1" t="str">
        <f>""</f>
        <v/>
      </c>
      <c r="T2241" s="1" t="s">
        <v>29</v>
      </c>
      <c r="U2241" s="1" t="s">
        <v>30</v>
      </c>
      <c r="V2241" s="1">
        <v>0</v>
      </c>
    </row>
    <row r="2242" spans="2:22" x14ac:dyDescent="0.15">
      <c r="B2242" s="1" t="str">
        <f>"130****5656"</f>
        <v>130****5656</v>
      </c>
      <c r="C2242" s="1" t="s">
        <v>112</v>
      </c>
      <c r="D2242" s="1" t="str">
        <f t="shared" si="221"/>
        <v>89177328</v>
      </c>
      <c r="E2242" s="1" t="s">
        <v>24</v>
      </c>
      <c r="F2242" s="1" t="str">
        <f t="shared" si="223"/>
        <v>0010</v>
      </c>
      <c r="G2242" s="1" t="str">
        <f>""</f>
        <v/>
      </c>
      <c r="H2242" s="1" t="str">
        <f>"0010"</f>
        <v>0010</v>
      </c>
      <c r="I2242" s="1" t="s">
        <v>71</v>
      </c>
      <c r="J2242" s="1" t="str">
        <f>"01043989719"</f>
        <v>01043989719</v>
      </c>
      <c r="K2242" s="1" t="str">
        <f>"2017-03-23 17:24:35"</f>
        <v>2017-03-23 17:24:35</v>
      </c>
      <c r="L2242" s="1" t="str">
        <f t="shared" si="224"/>
        <v>-</v>
      </c>
      <c r="M2242" s="2">
        <v>0</v>
      </c>
      <c r="N2242" s="1" t="s">
        <v>33</v>
      </c>
      <c r="O2242" s="1" t="s">
        <v>34</v>
      </c>
      <c r="P2242" s="2">
        <v>2.3148148148148147E-5</v>
      </c>
      <c r="Q2242" s="1" t="str">
        <f>""</f>
        <v/>
      </c>
      <c r="R2242" s="1">
        <v>0</v>
      </c>
      <c r="S2242" s="1" t="str">
        <f>""</f>
        <v/>
      </c>
      <c r="T2242" s="1" t="s">
        <v>29</v>
      </c>
      <c r="U2242" s="1" t="s">
        <v>30</v>
      </c>
      <c r="V2242" s="1">
        <v>0</v>
      </c>
    </row>
    <row r="2243" spans="2:22" x14ac:dyDescent="0.15">
      <c r="B2243" s="1" t="str">
        <f>"130****5656"</f>
        <v>130****5656</v>
      </c>
      <c r="C2243" s="1" t="s">
        <v>112</v>
      </c>
      <c r="D2243" s="1" t="str">
        <f t="shared" si="221"/>
        <v>89177328</v>
      </c>
      <c r="E2243" s="1" t="s">
        <v>24</v>
      </c>
      <c r="F2243" s="1" t="str">
        <f t="shared" si="223"/>
        <v>0010</v>
      </c>
      <c r="G2243" s="1" t="str">
        <f>""</f>
        <v/>
      </c>
      <c r="H2243" s="1" t="str">
        <f>"0010"</f>
        <v>0010</v>
      </c>
      <c r="I2243" s="1" t="s">
        <v>71</v>
      </c>
      <c r="J2243" s="1" t="str">
        <f>"01043989719"</f>
        <v>01043989719</v>
      </c>
      <c r="K2243" s="1" t="str">
        <f>"2017-03-23 17:21:57"</f>
        <v>2017-03-23 17:21:57</v>
      </c>
      <c r="L2243" s="1" t="str">
        <f t="shared" si="224"/>
        <v>-</v>
      </c>
      <c r="M2243" s="2">
        <v>0</v>
      </c>
      <c r="N2243" s="1" t="s">
        <v>33</v>
      </c>
      <c r="O2243" s="1" t="s">
        <v>34</v>
      </c>
      <c r="P2243" s="2">
        <v>8.1018518518518516E-5</v>
      </c>
      <c r="Q2243" s="1" t="str">
        <f>""</f>
        <v/>
      </c>
      <c r="R2243" s="1">
        <v>0</v>
      </c>
      <c r="S2243" s="1" t="str">
        <f>""</f>
        <v/>
      </c>
      <c r="T2243" s="1" t="s">
        <v>29</v>
      </c>
      <c r="U2243" s="1" t="s">
        <v>30</v>
      </c>
      <c r="V2243" s="1">
        <v>0</v>
      </c>
    </row>
    <row r="2244" spans="2:22" x14ac:dyDescent="0.15">
      <c r="B2244" s="1" t="str">
        <f>"136****8118"</f>
        <v>136****8118</v>
      </c>
      <c r="C2244" s="1" t="s">
        <v>23</v>
      </c>
      <c r="D2244" s="1" t="str">
        <f t="shared" si="221"/>
        <v>89177328</v>
      </c>
      <c r="E2244" s="1" t="s">
        <v>24</v>
      </c>
      <c r="F2244" s="1" t="str">
        <f t="shared" si="223"/>
        <v>0010</v>
      </c>
      <c r="G2244" s="1" t="str">
        <f>""</f>
        <v/>
      </c>
      <c r="H2244" s="1" t="str">
        <f>"0012"</f>
        <v>0012</v>
      </c>
      <c r="I2244" s="1" t="s">
        <v>612</v>
      </c>
      <c r="J2244" s="1" t="str">
        <f>"01043989720"</f>
        <v>01043989720</v>
      </c>
      <c r="K2244" s="1" t="str">
        <f>"2017-03-23 17:14:42"</f>
        <v>2017-03-23 17:14:42</v>
      </c>
      <c r="L2244" s="1" t="str">
        <f>"2017-03-23 17:14:54"</f>
        <v>2017-03-23 17:14:54</v>
      </c>
      <c r="M2244" s="2">
        <v>4.2361111111111106E-3</v>
      </c>
      <c r="N2244" s="1" t="s">
        <v>26</v>
      </c>
      <c r="O2244" s="1" t="s">
        <v>34</v>
      </c>
      <c r="P2244" s="2">
        <v>4.3749999999999995E-3</v>
      </c>
      <c r="Q2244" s="1" t="s">
        <v>1596</v>
      </c>
      <c r="R2244" s="1">
        <v>0</v>
      </c>
      <c r="S2244" s="1" t="str">
        <f>""</f>
        <v/>
      </c>
      <c r="T2244" s="1" t="s">
        <v>29</v>
      </c>
      <c r="U2244" s="1" t="s">
        <v>30</v>
      </c>
      <c r="V2244" s="1">
        <v>0</v>
      </c>
    </row>
    <row r="2245" spans="2:22" x14ac:dyDescent="0.15">
      <c r="B2245" s="1" t="str">
        <f>"151****3518"</f>
        <v>151****3518</v>
      </c>
      <c r="C2245" s="1" t="s">
        <v>137</v>
      </c>
      <c r="D2245" s="1" t="str">
        <f t="shared" si="221"/>
        <v>89177328</v>
      </c>
      <c r="E2245" s="1" t="s">
        <v>24</v>
      </c>
      <c r="F2245" s="1" t="str">
        <f t="shared" si="223"/>
        <v>0010</v>
      </c>
      <c r="G2245" s="1" t="str">
        <f>""</f>
        <v/>
      </c>
      <c r="H2245" s="1" t="str">
        <f>"0017"</f>
        <v>0017</v>
      </c>
      <c r="I2245" s="1" t="s">
        <v>135</v>
      </c>
      <c r="J2245" s="1" t="str">
        <f>"01043989717"</f>
        <v>01043989717</v>
      </c>
      <c r="K2245" s="1" t="str">
        <f>"2017-03-23 17:05:41"</f>
        <v>2017-03-23 17:05:41</v>
      </c>
      <c r="L2245" s="1" t="str">
        <f>"2017-03-23 17:05:49"</f>
        <v>2017-03-23 17:05:49</v>
      </c>
      <c r="M2245" s="2">
        <v>1.5046296296296294E-3</v>
      </c>
      <c r="N2245" s="1" t="s">
        <v>26</v>
      </c>
      <c r="O2245" s="1" t="s">
        <v>27</v>
      </c>
      <c r="P2245" s="2">
        <v>1.5972222222222221E-3</v>
      </c>
      <c r="Q2245" s="1" t="s">
        <v>1597</v>
      </c>
      <c r="R2245" s="1">
        <v>0</v>
      </c>
      <c r="S2245" s="1" t="str">
        <f>""</f>
        <v/>
      </c>
      <c r="T2245" s="1" t="s">
        <v>29</v>
      </c>
      <c r="U2245" s="1" t="s">
        <v>30</v>
      </c>
      <c r="V2245" s="1">
        <v>0</v>
      </c>
    </row>
    <row r="2246" spans="2:22" x14ac:dyDescent="0.15">
      <c r="B2246" s="1" t="str">
        <f>"155****0068"</f>
        <v>155****0068</v>
      </c>
      <c r="C2246" s="1" t="s">
        <v>232</v>
      </c>
      <c r="D2246" s="1" t="str">
        <f t="shared" si="221"/>
        <v>89177328</v>
      </c>
      <c r="E2246" s="1" t="s">
        <v>24</v>
      </c>
      <c r="F2246" s="1" t="str">
        <f t="shared" si="223"/>
        <v>0010</v>
      </c>
      <c r="G2246" s="1" t="str">
        <f>""</f>
        <v/>
      </c>
      <c r="H2246" s="1" t="str">
        <f>"0010"</f>
        <v>0010</v>
      </c>
      <c r="I2246" s="1" t="s">
        <v>71</v>
      </c>
      <c r="J2246" s="1" t="str">
        <f>"01043989719"</f>
        <v>01043989719</v>
      </c>
      <c r="K2246" s="1" t="str">
        <f>"2017-03-23 16:58:34"</f>
        <v>2017-03-23 16:58:34</v>
      </c>
      <c r="L2246" s="1" t="str">
        <f>"2017-03-23 16:58:44"</f>
        <v>2017-03-23 16:58:44</v>
      </c>
      <c r="M2246" s="2">
        <v>1.298611111111111E-2</v>
      </c>
      <c r="N2246" s="1" t="s">
        <v>26</v>
      </c>
      <c r="O2246" s="1" t="s">
        <v>27</v>
      </c>
      <c r="P2246" s="2">
        <v>1.3101851851851852E-2</v>
      </c>
      <c r="Q2246" s="1" t="s">
        <v>1598</v>
      </c>
      <c r="R2246" s="1">
        <v>0</v>
      </c>
      <c r="S2246" s="1" t="str">
        <f>""</f>
        <v/>
      </c>
      <c r="T2246" s="1" t="s">
        <v>29</v>
      </c>
      <c r="U2246" s="1" t="s">
        <v>30</v>
      </c>
      <c r="V2246" s="1">
        <v>0</v>
      </c>
    </row>
    <row r="2247" spans="2:22" x14ac:dyDescent="0.15">
      <c r="B2247" s="1" t="str">
        <f>"139****8083"</f>
        <v>139****8083</v>
      </c>
      <c r="C2247" s="1" t="s">
        <v>23</v>
      </c>
      <c r="D2247" s="1" t="str">
        <f t="shared" si="221"/>
        <v>89177328</v>
      </c>
      <c r="E2247" s="1" t="s">
        <v>24</v>
      </c>
      <c r="F2247" s="1" t="str">
        <f t="shared" si="223"/>
        <v>0010</v>
      </c>
      <c r="G2247" s="1" t="str">
        <f>""</f>
        <v/>
      </c>
      <c r="H2247" s="1" t="str">
        <f>"0018"</f>
        <v>0018</v>
      </c>
      <c r="I2247" s="1" t="s">
        <v>36</v>
      </c>
      <c r="J2247" s="1" t="str">
        <f>"01043989718"</f>
        <v>01043989718</v>
      </c>
      <c r="K2247" s="1" t="str">
        <f>"2017-03-23 16:35:54"</f>
        <v>2017-03-23 16:35:54</v>
      </c>
      <c r="L2247" s="1" t="str">
        <f>"2017-03-23 16:36:03"</f>
        <v>2017-03-23 16:36:03</v>
      </c>
      <c r="M2247" s="2">
        <v>1.7326388888888888E-2</v>
      </c>
      <c r="N2247" s="1" t="s">
        <v>26</v>
      </c>
      <c r="O2247" s="1" t="s">
        <v>34</v>
      </c>
      <c r="P2247" s="2">
        <v>1.7430555555555557E-2</v>
      </c>
      <c r="Q2247" s="1" t="s">
        <v>1599</v>
      </c>
      <c r="R2247" s="1">
        <v>0</v>
      </c>
      <c r="S2247" s="1" t="str">
        <f>""</f>
        <v/>
      </c>
      <c r="T2247" s="1" t="s">
        <v>29</v>
      </c>
      <c r="U2247" s="1" t="s">
        <v>30</v>
      </c>
      <c r="V2247" s="1">
        <v>0</v>
      </c>
    </row>
    <row r="2248" spans="2:22" x14ac:dyDescent="0.15">
      <c r="B2248" s="1" t="str">
        <f>"137****1045"</f>
        <v>137****1045</v>
      </c>
      <c r="C2248" s="1" t="s">
        <v>23</v>
      </c>
      <c r="D2248" s="1" t="str">
        <f t="shared" si="221"/>
        <v>89177328</v>
      </c>
      <c r="E2248" s="1" t="s">
        <v>24</v>
      </c>
      <c r="F2248" s="1" t="str">
        <f t="shared" si="223"/>
        <v>0010</v>
      </c>
      <c r="G2248" s="1" t="str">
        <f>""</f>
        <v/>
      </c>
      <c r="H2248" s="1" t="str">
        <f>""</f>
        <v/>
      </c>
      <c r="I2248" s="1" t="str">
        <f>""</f>
        <v/>
      </c>
      <c r="J2248" s="1" t="str">
        <f>""</f>
        <v/>
      </c>
      <c r="K2248" s="1" t="str">
        <f>"2017-03-23 16:12:45"</f>
        <v>2017-03-23 16:12:45</v>
      </c>
      <c r="L2248" s="1" t="str">
        <f>"-"</f>
        <v>-</v>
      </c>
      <c r="M2248" s="2">
        <v>0</v>
      </c>
      <c r="N2248" s="1" t="s">
        <v>55</v>
      </c>
      <c r="O2248" s="1" t="s">
        <v>34</v>
      </c>
      <c r="P2248" s="2">
        <v>2.3148148148148147E-5</v>
      </c>
      <c r="Q2248" s="1" t="str">
        <f>""</f>
        <v/>
      </c>
      <c r="R2248" s="1">
        <v>0</v>
      </c>
      <c r="S2248" s="1" t="str">
        <f>""</f>
        <v/>
      </c>
      <c r="T2248" s="1" t="s">
        <v>29</v>
      </c>
      <c r="U2248" s="1" t="s">
        <v>30</v>
      </c>
      <c r="V2248" s="1">
        <v>0</v>
      </c>
    </row>
    <row r="2249" spans="2:22" x14ac:dyDescent="0.15">
      <c r="B2249" s="1" t="str">
        <f>"132****1626"</f>
        <v>132****1626</v>
      </c>
      <c r="C2249" s="1" t="s">
        <v>23</v>
      </c>
      <c r="D2249" s="1" t="str">
        <f t="shared" si="221"/>
        <v>89177328</v>
      </c>
      <c r="E2249" s="1" t="s">
        <v>24</v>
      </c>
      <c r="F2249" s="1" t="str">
        <f t="shared" si="223"/>
        <v>0010</v>
      </c>
      <c r="G2249" s="1" t="str">
        <f>""</f>
        <v/>
      </c>
      <c r="H2249" s="1" t="str">
        <f>"0032"</f>
        <v>0032</v>
      </c>
      <c r="I2249" s="1" t="s">
        <v>119</v>
      </c>
      <c r="J2249" s="1" t="str">
        <f>"01043977566"</f>
        <v>01043977566</v>
      </c>
      <c r="K2249" s="1" t="str">
        <f>"2017-03-23 16:10:17"</f>
        <v>2017-03-23 16:10:17</v>
      </c>
      <c r="L2249" s="1" t="str">
        <f>"2017-03-23 16:10:29"</f>
        <v>2017-03-23 16:10:29</v>
      </c>
      <c r="M2249" s="2">
        <v>3.5416666666666665E-3</v>
      </c>
      <c r="N2249" s="1" t="s">
        <v>26</v>
      </c>
      <c r="O2249" s="1" t="s">
        <v>34</v>
      </c>
      <c r="P2249" s="2">
        <v>3.6805555555555554E-3</v>
      </c>
      <c r="Q2249" s="1" t="s">
        <v>1600</v>
      </c>
      <c r="R2249" s="1">
        <v>0</v>
      </c>
      <c r="S2249" s="1" t="str">
        <f>""</f>
        <v/>
      </c>
      <c r="T2249" s="1" t="s">
        <v>29</v>
      </c>
      <c r="U2249" s="1" t="s">
        <v>30</v>
      </c>
      <c r="V2249" s="1">
        <v>0</v>
      </c>
    </row>
    <row r="2250" spans="2:22" x14ac:dyDescent="0.15">
      <c r="B2250" s="1" t="str">
        <f>"188****9957"</f>
        <v>188****9957</v>
      </c>
      <c r="C2250" s="1" t="s">
        <v>23</v>
      </c>
      <c r="D2250" s="1" t="str">
        <f t="shared" si="221"/>
        <v>89177328</v>
      </c>
      <c r="E2250" s="1" t="s">
        <v>24</v>
      </c>
      <c r="F2250" s="1" t="str">
        <f t="shared" si="223"/>
        <v>0010</v>
      </c>
      <c r="G2250" s="1" t="str">
        <f>""</f>
        <v/>
      </c>
      <c r="H2250" s="1" t="str">
        <f>"0035"</f>
        <v>0035</v>
      </c>
      <c r="I2250" s="1" t="s">
        <v>25</v>
      </c>
      <c r="J2250" s="1" t="str">
        <f>"01043977569"</f>
        <v>01043977569</v>
      </c>
      <c r="K2250" s="1" t="str">
        <f>"2017-03-23 16:07:58"</f>
        <v>2017-03-23 16:07:58</v>
      </c>
      <c r="L2250" s="1" t="str">
        <f>"2017-03-23 16:08:05"</f>
        <v>2017-03-23 16:08:05</v>
      </c>
      <c r="M2250" s="2">
        <v>5.1273148148148146E-3</v>
      </c>
      <c r="N2250" s="1" t="s">
        <v>26</v>
      </c>
      <c r="O2250" s="1" t="s">
        <v>27</v>
      </c>
      <c r="P2250" s="2">
        <v>5.208333333333333E-3</v>
      </c>
      <c r="Q2250" s="1" t="s">
        <v>1601</v>
      </c>
      <c r="R2250" s="1">
        <v>0</v>
      </c>
      <c r="S2250" s="1" t="str">
        <f>""</f>
        <v/>
      </c>
      <c r="T2250" s="1" t="s">
        <v>29</v>
      </c>
      <c r="U2250" s="1" t="s">
        <v>30</v>
      </c>
      <c r="V2250" s="1">
        <v>0</v>
      </c>
    </row>
    <row r="2251" spans="2:22" x14ac:dyDescent="0.15">
      <c r="B2251" s="1" t="str">
        <f>"159****3328"</f>
        <v>159****3328</v>
      </c>
      <c r="C2251" s="1" t="s">
        <v>23</v>
      </c>
      <c r="D2251" s="1" t="str">
        <f t="shared" si="221"/>
        <v>89177328</v>
      </c>
      <c r="E2251" s="1" t="s">
        <v>24</v>
      </c>
      <c r="F2251" s="1" t="str">
        <f t="shared" si="223"/>
        <v>0010</v>
      </c>
      <c r="G2251" s="1" t="str">
        <f>""</f>
        <v/>
      </c>
      <c r="H2251" s="1" t="str">
        <f>"0017"</f>
        <v>0017</v>
      </c>
      <c r="I2251" s="1" t="s">
        <v>135</v>
      </c>
      <c r="J2251" s="1" t="str">
        <f>"01043989717"</f>
        <v>01043989717</v>
      </c>
      <c r="K2251" s="1" t="str">
        <f>"2017-03-23 15:56:39"</f>
        <v>2017-03-23 15:56:39</v>
      </c>
      <c r="L2251" s="1" t="str">
        <f>"2017-03-23 15:56:45"</f>
        <v>2017-03-23 15:56:45</v>
      </c>
      <c r="M2251" s="2">
        <v>1.1886574074074075E-2</v>
      </c>
      <c r="N2251" s="1" t="s">
        <v>26</v>
      </c>
      <c r="O2251" s="1" t="s">
        <v>27</v>
      </c>
      <c r="P2251" s="2">
        <v>1.1956018518518517E-2</v>
      </c>
      <c r="Q2251" s="1" t="s">
        <v>1602</v>
      </c>
      <c r="R2251" s="1">
        <v>0</v>
      </c>
      <c r="S2251" s="1" t="str">
        <f>""</f>
        <v/>
      </c>
      <c r="T2251" s="1" t="s">
        <v>29</v>
      </c>
      <c r="U2251" s="1" t="s">
        <v>30</v>
      </c>
      <c r="V2251" s="1">
        <v>0</v>
      </c>
    </row>
    <row r="2252" spans="2:22" x14ac:dyDescent="0.15">
      <c r="B2252" s="1" t="str">
        <f>"010****1208"</f>
        <v>010****1208</v>
      </c>
      <c r="C2252" s="1" t="s">
        <v>23</v>
      </c>
      <c r="D2252" s="1" t="str">
        <f t="shared" si="221"/>
        <v>89177328</v>
      </c>
      <c r="E2252" s="1" t="s">
        <v>24</v>
      </c>
      <c r="F2252" s="1" t="str">
        <f t="shared" si="223"/>
        <v>0010</v>
      </c>
      <c r="G2252" s="1" t="str">
        <f>""</f>
        <v/>
      </c>
      <c r="H2252" s="1" t="str">
        <f>"0032"</f>
        <v>0032</v>
      </c>
      <c r="I2252" s="1" t="s">
        <v>119</v>
      </c>
      <c r="J2252" s="1" t="str">
        <f>"01043977566"</f>
        <v>01043977566</v>
      </c>
      <c r="K2252" s="1" t="str">
        <f>"2017-03-23 15:52:54"</f>
        <v>2017-03-23 15:52:54</v>
      </c>
      <c r="L2252" s="1" t="str">
        <f>"2017-03-23 15:53:07"</f>
        <v>2017-03-23 15:53:07</v>
      </c>
      <c r="M2252" s="2">
        <v>4.8726851851851856E-3</v>
      </c>
      <c r="N2252" s="1" t="s">
        <v>26</v>
      </c>
      <c r="O2252" s="1" t="s">
        <v>34</v>
      </c>
      <c r="P2252" s="2">
        <v>5.0231481481481481E-3</v>
      </c>
      <c r="Q2252" s="1" t="s">
        <v>1603</v>
      </c>
      <c r="R2252" s="1">
        <v>0</v>
      </c>
      <c r="S2252" s="1" t="str">
        <f>""</f>
        <v/>
      </c>
      <c r="T2252" s="1" t="s">
        <v>29</v>
      </c>
      <c r="U2252" s="1" t="s">
        <v>30</v>
      </c>
      <c r="V2252" s="1">
        <v>0</v>
      </c>
    </row>
    <row r="2253" spans="2:22" x14ac:dyDescent="0.15">
      <c r="B2253" s="1" t="str">
        <f>"010****4006"</f>
        <v>010****4006</v>
      </c>
      <c r="C2253" s="1" t="s">
        <v>23</v>
      </c>
      <c r="D2253" s="1" t="str">
        <f t="shared" si="221"/>
        <v>89177328</v>
      </c>
      <c r="E2253" s="1" t="s">
        <v>24</v>
      </c>
      <c r="F2253" s="1" t="str">
        <f t="shared" si="223"/>
        <v>0010</v>
      </c>
      <c r="G2253" s="1" t="str">
        <f>""</f>
        <v/>
      </c>
      <c r="H2253" s="1" t="str">
        <f>"0034"</f>
        <v>0034</v>
      </c>
      <c r="I2253" s="1" t="s">
        <v>31</v>
      </c>
      <c r="J2253" s="1" t="str">
        <f>"01043977568"</f>
        <v>01043977568</v>
      </c>
      <c r="K2253" s="1" t="str">
        <f>"2017-03-23 15:48:30"</f>
        <v>2017-03-23 15:48:30</v>
      </c>
      <c r="L2253" s="1" t="str">
        <f>"2017-03-23 15:48:39"</f>
        <v>2017-03-23 15:48:39</v>
      </c>
      <c r="M2253" s="2">
        <v>1.1805555555555556E-3</v>
      </c>
      <c r="N2253" s="1" t="s">
        <v>26</v>
      </c>
      <c r="O2253" s="1" t="s">
        <v>27</v>
      </c>
      <c r="P2253" s="2">
        <v>1.2847222222222223E-3</v>
      </c>
      <c r="Q2253" s="1" t="s">
        <v>1604</v>
      </c>
      <c r="R2253" s="1">
        <v>0</v>
      </c>
      <c r="S2253" s="1" t="str">
        <f>""</f>
        <v/>
      </c>
      <c r="T2253" s="1" t="s">
        <v>29</v>
      </c>
      <c r="U2253" s="1" t="s">
        <v>30</v>
      </c>
      <c r="V2253" s="1">
        <v>0</v>
      </c>
    </row>
    <row r="2254" spans="2:22" x14ac:dyDescent="0.15">
      <c r="B2254" s="1" t="str">
        <f>"132****2221"</f>
        <v>132****2221</v>
      </c>
      <c r="C2254" s="1" t="s">
        <v>1210</v>
      </c>
      <c r="D2254" s="1" t="str">
        <f>"4000108333"</f>
        <v>4000108333</v>
      </c>
      <c r="E2254" s="1" t="s">
        <v>53</v>
      </c>
      <c r="F2254" s="1" t="str">
        <f>"0000"</f>
        <v>0000</v>
      </c>
      <c r="G2254" s="1" t="str">
        <f>""</f>
        <v/>
      </c>
      <c r="H2254" s="1" t="str">
        <f>"1012"</f>
        <v>1012</v>
      </c>
      <c r="I2254" s="1" t="s">
        <v>54</v>
      </c>
      <c r="J2254" s="1" t="str">
        <f>"13611040764"</f>
        <v>13611040764</v>
      </c>
      <c r="K2254" s="1" t="str">
        <f>"2017-03-23 15:46:35"</f>
        <v>2017-03-23 15:46:35</v>
      </c>
      <c r="L2254" s="1" t="str">
        <f>"-"</f>
        <v>-</v>
      </c>
      <c r="M2254" s="2">
        <v>0</v>
      </c>
      <c r="N2254" s="1" t="s">
        <v>33</v>
      </c>
      <c r="O2254" s="1" t="s">
        <v>34</v>
      </c>
      <c r="P2254" s="2">
        <v>8.449074074074075E-4</v>
      </c>
      <c r="Q2254" s="1" t="str">
        <f>""</f>
        <v/>
      </c>
      <c r="R2254" s="1">
        <v>0.24</v>
      </c>
      <c r="S2254" s="1" t="str">
        <f>""</f>
        <v/>
      </c>
      <c r="T2254" s="1" t="s">
        <v>29</v>
      </c>
      <c r="U2254" s="1" t="s">
        <v>30</v>
      </c>
      <c r="V2254" s="1">
        <v>0</v>
      </c>
    </row>
    <row r="2255" spans="2:22" x14ac:dyDescent="0.15">
      <c r="B2255" s="1" t="str">
        <f>"186****0313"</f>
        <v>186****0313</v>
      </c>
      <c r="C2255" s="1" t="s">
        <v>23</v>
      </c>
      <c r="D2255" s="1" t="str">
        <f>"89177328"</f>
        <v>89177328</v>
      </c>
      <c r="E2255" s="1" t="s">
        <v>24</v>
      </c>
      <c r="F2255" s="1" t="str">
        <f>"0010"</f>
        <v>0010</v>
      </c>
      <c r="G2255" s="1" t="str">
        <f>""</f>
        <v/>
      </c>
      <c r="H2255" s="1" t="str">
        <f>"0031"</f>
        <v>0031</v>
      </c>
      <c r="I2255" s="1" t="s">
        <v>95</v>
      </c>
      <c r="J2255" s="1" t="str">
        <f>"01043977565"</f>
        <v>01043977565</v>
      </c>
      <c r="K2255" s="1" t="str">
        <f>"2017-03-23 15:43:34"</f>
        <v>2017-03-23 15:43:34</v>
      </c>
      <c r="L2255" s="1" t="str">
        <f>"2017-03-23 15:43:42"</f>
        <v>2017-03-23 15:43:42</v>
      </c>
      <c r="M2255" s="2">
        <v>1.3194444444444444E-2</v>
      </c>
      <c r="N2255" s="1" t="s">
        <v>26</v>
      </c>
      <c r="O2255" s="1" t="s">
        <v>27</v>
      </c>
      <c r="P2255" s="2">
        <v>1.3287037037037036E-2</v>
      </c>
      <c r="Q2255" s="1" t="s">
        <v>1605</v>
      </c>
      <c r="R2255" s="1">
        <v>0</v>
      </c>
      <c r="S2255" s="1" t="str">
        <f>""</f>
        <v/>
      </c>
      <c r="T2255" s="1" t="s">
        <v>29</v>
      </c>
      <c r="U2255" s="1" t="s">
        <v>30</v>
      </c>
      <c r="V2255" s="1">
        <v>0</v>
      </c>
    </row>
    <row r="2256" spans="2:22" x14ac:dyDescent="0.15">
      <c r="B2256" s="1" t="str">
        <f>"138****5069"</f>
        <v>138****5069</v>
      </c>
      <c r="C2256" s="1" t="s">
        <v>237</v>
      </c>
      <c r="D2256" s="1" t="str">
        <f>"89177328"</f>
        <v>89177328</v>
      </c>
      <c r="E2256" s="1" t="s">
        <v>24</v>
      </c>
      <c r="F2256" s="1" t="str">
        <f>"0010"</f>
        <v>0010</v>
      </c>
      <c r="G2256" s="1" t="str">
        <f>""</f>
        <v/>
      </c>
      <c r="H2256" s="1" t="str">
        <f>"0032"</f>
        <v>0032</v>
      </c>
      <c r="I2256" s="1" t="s">
        <v>119</v>
      </c>
      <c r="J2256" s="1" t="str">
        <f>"01043977566"</f>
        <v>01043977566</v>
      </c>
      <c r="K2256" s="1" t="str">
        <f>"2017-03-23 15:42:06"</f>
        <v>2017-03-23 15:42:06</v>
      </c>
      <c r="L2256" s="1" t="str">
        <f>"2017-03-23 15:42:20"</f>
        <v>2017-03-23 15:42:20</v>
      </c>
      <c r="M2256" s="2">
        <v>3.414351851851852E-3</v>
      </c>
      <c r="N2256" s="1" t="s">
        <v>26</v>
      </c>
      <c r="O2256" s="1" t="s">
        <v>34</v>
      </c>
      <c r="P2256" s="2">
        <v>3.5763888888888894E-3</v>
      </c>
      <c r="Q2256" s="1" t="s">
        <v>1606</v>
      </c>
      <c r="R2256" s="1">
        <v>0</v>
      </c>
      <c r="S2256" s="1" t="str">
        <f>""</f>
        <v/>
      </c>
      <c r="T2256" s="1" t="s">
        <v>29</v>
      </c>
      <c r="U2256" s="1" t="s">
        <v>30</v>
      </c>
      <c r="V2256" s="1">
        <v>0</v>
      </c>
    </row>
    <row r="2257" spans="2:22" x14ac:dyDescent="0.15">
      <c r="B2257" s="1" t="str">
        <f>"157****1799"</f>
        <v>157****1799</v>
      </c>
      <c r="C2257" s="1" t="s">
        <v>1607</v>
      </c>
      <c r="D2257" s="1" t="str">
        <f>"89177328"</f>
        <v>89177328</v>
      </c>
      <c r="E2257" s="1" t="s">
        <v>24</v>
      </c>
      <c r="F2257" s="1" t="str">
        <f>"0010"</f>
        <v>0010</v>
      </c>
      <c r="G2257" s="1" t="str">
        <f>""</f>
        <v/>
      </c>
      <c r="H2257" s="1" t="str">
        <f>"0018"</f>
        <v>0018</v>
      </c>
      <c r="I2257" s="1" t="s">
        <v>36</v>
      </c>
      <c r="J2257" s="1" t="str">
        <f>"01043989718"</f>
        <v>01043989718</v>
      </c>
      <c r="K2257" s="1" t="str">
        <f>"2017-03-23 15:34:36"</f>
        <v>2017-03-23 15:34:36</v>
      </c>
      <c r="L2257" s="1" t="str">
        <f>"2017-03-23 15:34:44"</f>
        <v>2017-03-23 15:34:44</v>
      </c>
      <c r="M2257" s="2">
        <v>7.9629629629629634E-3</v>
      </c>
      <c r="N2257" s="1" t="s">
        <v>26</v>
      </c>
      <c r="O2257" s="1" t="s">
        <v>34</v>
      </c>
      <c r="P2257" s="2">
        <v>8.0555555555555554E-3</v>
      </c>
      <c r="Q2257" s="1" t="s">
        <v>1608</v>
      </c>
      <c r="R2257" s="1">
        <v>0</v>
      </c>
      <c r="S2257" s="1" t="str">
        <f>""</f>
        <v/>
      </c>
      <c r="T2257" s="1" t="s">
        <v>29</v>
      </c>
      <c r="U2257" s="1" t="s">
        <v>30</v>
      </c>
      <c r="V2257" s="1">
        <v>0</v>
      </c>
    </row>
    <row r="2258" spans="2:22" x14ac:dyDescent="0.15">
      <c r="B2258" s="1" t="str">
        <f>"189****8185"</f>
        <v>189****8185</v>
      </c>
      <c r="C2258" s="1" t="s">
        <v>23</v>
      </c>
      <c r="D2258" s="1" t="str">
        <f>"89177328"</f>
        <v>89177328</v>
      </c>
      <c r="E2258" s="1" t="s">
        <v>24</v>
      </c>
      <c r="F2258" s="1" t="str">
        <f>"0010"</f>
        <v>0010</v>
      </c>
      <c r="G2258" s="1" t="str">
        <f>""</f>
        <v/>
      </c>
      <c r="H2258" s="1" t="str">
        <f>"0018"</f>
        <v>0018</v>
      </c>
      <c r="I2258" s="1" t="s">
        <v>36</v>
      </c>
      <c r="J2258" s="1" t="str">
        <f>"01043989718"</f>
        <v>01043989718</v>
      </c>
      <c r="K2258" s="1" t="str">
        <f>"2017-03-23 15:22:51"</f>
        <v>2017-03-23 15:22:51</v>
      </c>
      <c r="L2258" s="1" t="str">
        <f>"2017-03-23 15:23:00"</f>
        <v>2017-03-23 15:23:00</v>
      </c>
      <c r="M2258" s="2">
        <v>2.6388888888888885E-3</v>
      </c>
      <c r="N2258" s="1" t="s">
        <v>26</v>
      </c>
      <c r="O2258" s="1" t="s">
        <v>34</v>
      </c>
      <c r="P2258" s="2">
        <v>2.7430555555555559E-3</v>
      </c>
      <c r="Q2258" s="1" t="s">
        <v>1609</v>
      </c>
      <c r="R2258" s="1">
        <v>0</v>
      </c>
      <c r="S2258" s="1" t="str">
        <f>""</f>
        <v/>
      </c>
      <c r="T2258" s="1" t="s">
        <v>29</v>
      </c>
      <c r="U2258" s="1" t="s">
        <v>30</v>
      </c>
      <c r="V2258" s="1">
        <v>0</v>
      </c>
    </row>
    <row r="2259" spans="2:22" x14ac:dyDescent="0.15">
      <c r="B2259" s="1" t="str">
        <f>"185****1918"</f>
        <v>185****1918</v>
      </c>
      <c r="C2259" s="1" t="s">
        <v>23</v>
      </c>
      <c r="D2259" s="1" t="str">
        <f>"89177328"</f>
        <v>89177328</v>
      </c>
      <c r="E2259" s="1" t="s">
        <v>24</v>
      </c>
      <c r="F2259" s="1" t="str">
        <f>"0010"</f>
        <v>0010</v>
      </c>
      <c r="G2259" s="1" t="str">
        <f>""</f>
        <v/>
      </c>
      <c r="H2259" s="1" t="str">
        <f>"0035"</f>
        <v>0035</v>
      </c>
      <c r="I2259" s="1" t="s">
        <v>25</v>
      </c>
      <c r="J2259" s="1" t="str">
        <f>"01043977569"</f>
        <v>01043977569</v>
      </c>
      <c r="K2259" s="1" t="str">
        <f>"2017-03-23 15:12:22"</f>
        <v>2017-03-23 15:12:22</v>
      </c>
      <c r="L2259" s="1" t="str">
        <f>"2017-03-23 15:12:31"</f>
        <v>2017-03-23 15:12:31</v>
      </c>
      <c r="M2259" s="2">
        <v>1.2037037037037035E-2</v>
      </c>
      <c r="N2259" s="1" t="s">
        <v>26</v>
      </c>
      <c r="O2259" s="1" t="s">
        <v>27</v>
      </c>
      <c r="P2259" s="2">
        <v>1.2141203703703704E-2</v>
      </c>
      <c r="Q2259" s="1" t="s">
        <v>1610</v>
      </c>
      <c r="R2259" s="1">
        <v>0</v>
      </c>
      <c r="S2259" s="1" t="str">
        <f>""</f>
        <v/>
      </c>
      <c r="T2259" s="1" t="s">
        <v>29</v>
      </c>
      <c r="U2259" s="1" t="s">
        <v>30</v>
      </c>
      <c r="V2259" s="1">
        <v>0</v>
      </c>
    </row>
    <row r="2260" spans="2:22" x14ac:dyDescent="0.15">
      <c r="B2260" s="1" t="str">
        <f>"137****8075"</f>
        <v>137****8075</v>
      </c>
      <c r="C2260" s="1" t="s">
        <v>416</v>
      </c>
      <c r="D2260" s="1" t="str">
        <f>"4000108333"</f>
        <v>4000108333</v>
      </c>
      <c r="E2260" s="1" t="s">
        <v>53</v>
      </c>
      <c r="F2260" s="1" t="str">
        <f>"333"</f>
        <v>333</v>
      </c>
      <c r="G2260" s="1" t="s">
        <v>952</v>
      </c>
      <c r="H2260" s="1" t="str">
        <f>""</f>
        <v/>
      </c>
      <c r="I2260" s="1" t="str">
        <f>""</f>
        <v/>
      </c>
      <c r="J2260" s="1" t="str">
        <f>"13611040764"</f>
        <v>13611040764</v>
      </c>
      <c r="K2260" s="1" t="str">
        <f>"2017-03-23 15:10:25"</f>
        <v>2017-03-23 15:10:25</v>
      </c>
      <c r="L2260" s="1" t="str">
        <f>"2017-03-23 15:11:01"</f>
        <v>2017-03-23 15:11:01</v>
      </c>
      <c r="M2260" s="2">
        <v>1.7476851851851852E-3</v>
      </c>
      <c r="N2260" s="1" t="s">
        <v>26</v>
      </c>
      <c r="O2260" s="1" t="s">
        <v>34</v>
      </c>
      <c r="P2260" s="2">
        <v>2.1643518518518518E-3</v>
      </c>
      <c r="Q2260" s="1" t="s">
        <v>1611</v>
      </c>
      <c r="R2260" s="1">
        <v>0.48</v>
      </c>
      <c r="S2260" s="1" t="str">
        <f>""</f>
        <v/>
      </c>
      <c r="T2260" s="1" t="s">
        <v>29</v>
      </c>
      <c r="U2260" s="1" t="s">
        <v>30</v>
      </c>
      <c r="V2260" s="1">
        <v>0</v>
      </c>
    </row>
    <row r="2261" spans="2:22" x14ac:dyDescent="0.15">
      <c r="B2261" s="1" t="str">
        <f>"150****0286"</f>
        <v>150****0286</v>
      </c>
      <c r="C2261" s="1" t="s">
        <v>23</v>
      </c>
      <c r="D2261" s="1" t="str">
        <f t="shared" ref="D2261:D2266" si="225">"89177328"</f>
        <v>89177328</v>
      </c>
      <c r="E2261" s="1" t="s">
        <v>24</v>
      </c>
      <c r="F2261" s="1" t="str">
        <f t="shared" ref="F2261:F2266" si="226">"0010"</f>
        <v>0010</v>
      </c>
      <c r="G2261" s="1" t="str">
        <f>""</f>
        <v/>
      </c>
      <c r="H2261" s="1" t="str">
        <f>"0017"</f>
        <v>0017</v>
      </c>
      <c r="I2261" s="1" t="s">
        <v>135</v>
      </c>
      <c r="J2261" s="1" t="str">
        <f>"01043989717"</f>
        <v>01043989717</v>
      </c>
      <c r="K2261" s="1" t="str">
        <f>"2017-03-23 15:08:33"</f>
        <v>2017-03-23 15:08:33</v>
      </c>
      <c r="L2261" s="1" t="str">
        <f>"2017-03-23 15:08:40"</f>
        <v>2017-03-23 15:08:40</v>
      </c>
      <c r="M2261" s="2">
        <v>3.6805555555555554E-3</v>
      </c>
      <c r="N2261" s="1" t="s">
        <v>26</v>
      </c>
      <c r="O2261" s="1" t="s">
        <v>27</v>
      </c>
      <c r="P2261" s="2">
        <v>3.7615740740740739E-3</v>
      </c>
      <c r="Q2261" s="1" t="s">
        <v>1612</v>
      </c>
      <c r="R2261" s="1">
        <v>0</v>
      </c>
      <c r="S2261" s="1" t="str">
        <f>""</f>
        <v/>
      </c>
      <c r="T2261" s="1" t="s">
        <v>29</v>
      </c>
      <c r="U2261" s="1" t="s">
        <v>30</v>
      </c>
      <c r="V2261" s="1">
        <v>0</v>
      </c>
    </row>
    <row r="2262" spans="2:22" x14ac:dyDescent="0.15">
      <c r="B2262" s="1" t="str">
        <f>"132****5390"</f>
        <v>132****5390</v>
      </c>
      <c r="C2262" s="1" t="s">
        <v>23</v>
      </c>
      <c r="D2262" s="1" t="str">
        <f t="shared" si="225"/>
        <v>89177328</v>
      </c>
      <c r="E2262" s="1" t="s">
        <v>24</v>
      </c>
      <c r="F2262" s="1" t="str">
        <f t="shared" si="226"/>
        <v>0010</v>
      </c>
      <c r="G2262" s="1" t="str">
        <f>""</f>
        <v/>
      </c>
      <c r="H2262" s="1" t="str">
        <f>"0018"</f>
        <v>0018</v>
      </c>
      <c r="I2262" s="1" t="s">
        <v>36</v>
      </c>
      <c r="J2262" s="1" t="str">
        <f>"01043989718"</f>
        <v>01043989718</v>
      </c>
      <c r="K2262" s="1" t="str">
        <f>"2017-03-23 15:00:03"</f>
        <v>2017-03-23 15:00:03</v>
      </c>
      <c r="L2262" s="1" t="str">
        <f>"2017-03-23 15:00:11"</f>
        <v>2017-03-23 15:00:11</v>
      </c>
      <c r="M2262" s="2">
        <v>8.4606481481481494E-3</v>
      </c>
      <c r="N2262" s="1" t="s">
        <v>26</v>
      </c>
      <c r="O2262" s="1" t="s">
        <v>34</v>
      </c>
      <c r="P2262" s="2">
        <v>8.5532407407407415E-3</v>
      </c>
      <c r="Q2262" s="1" t="s">
        <v>1613</v>
      </c>
      <c r="R2262" s="1">
        <v>0</v>
      </c>
      <c r="S2262" s="1" t="str">
        <f>""</f>
        <v/>
      </c>
      <c r="T2262" s="1" t="s">
        <v>29</v>
      </c>
      <c r="U2262" s="1" t="s">
        <v>30</v>
      </c>
      <c r="V2262" s="1">
        <v>0</v>
      </c>
    </row>
    <row r="2263" spans="2:22" x14ac:dyDescent="0.15">
      <c r="B2263" s="1" t="str">
        <f>"010****6068"</f>
        <v>010****6068</v>
      </c>
      <c r="C2263" s="1" t="s">
        <v>23</v>
      </c>
      <c r="D2263" s="1" t="str">
        <f t="shared" si="225"/>
        <v>89177328</v>
      </c>
      <c r="E2263" s="1" t="s">
        <v>24</v>
      </c>
      <c r="F2263" s="1" t="str">
        <f t="shared" si="226"/>
        <v>0010</v>
      </c>
      <c r="G2263" s="1" t="str">
        <f>""</f>
        <v/>
      </c>
      <c r="H2263" s="1" t="str">
        <f>"0018"</f>
        <v>0018</v>
      </c>
      <c r="I2263" s="1" t="s">
        <v>36</v>
      </c>
      <c r="J2263" s="1" t="str">
        <f>"01043989718"</f>
        <v>01043989718</v>
      </c>
      <c r="K2263" s="1" t="str">
        <f>"2017-03-23 14:53:19"</f>
        <v>2017-03-23 14:53:19</v>
      </c>
      <c r="L2263" s="1" t="str">
        <f>"2017-03-23 14:53:26"</f>
        <v>2017-03-23 14:53:26</v>
      </c>
      <c r="M2263" s="2">
        <v>1.3888888888888889E-3</v>
      </c>
      <c r="N2263" s="1" t="s">
        <v>26</v>
      </c>
      <c r="O2263" s="1" t="s">
        <v>34</v>
      </c>
      <c r="P2263" s="2">
        <v>1.4699074074074074E-3</v>
      </c>
      <c r="Q2263" s="1" t="s">
        <v>1614</v>
      </c>
      <c r="R2263" s="1">
        <v>0</v>
      </c>
      <c r="S2263" s="1" t="str">
        <f>""</f>
        <v/>
      </c>
      <c r="T2263" s="1" t="s">
        <v>29</v>
      </c>
      <c r="U2263" s="1" t="s">
        <v>30</v>
      </c>
      <c r="V2263" s="1">
        <v>0</v>
      </c>
    </row>
    <row r="2264" spans="2:22" x14ac:dyDescent="0.15">
      <c r="B2264" s="1" t="str">
        <f>"133****1175"</f>
        <v>133****1175</v>
      </c>
      <c r="C2264" s="1" t="s">
        <v>23</v>
      </c>
      <c r="D2264" s="1" t="str">
        <f t="shared" si="225"/>
        <v>89177328</v>
      </c>
      <c r="E2264" s="1" t="s">
        <v>24</v>
      </c>
      <c r="F2264" s="1" t="str">
        <f t="shared" si="226"/>
        <v>0010</v>
      </c>
      <c r="G2264" s="1" t="str">
        <f>""</f>
        <v/>
      </c>
      <c r="H2264" s="1" t="str">
        <f>"0017"</f>
        <v>0017</v>
      </c>
      <c r="I2264" s="1" t="s">
        <v>135</v>
      </c>
      <c r="J2264" s="1" t="str">
        <f>"01043989717"</f>
        <v>01043989717</v>
      </c>
      <c r="K2264" s="1" t="str">
        <f>"2017-03-23 14:33:08"</f>
        <v>2017-03-23 14:33:08</v>
      </c>
      <c r="L2264" s="1" t="str">
        <f>"2017-03-23 14:33:17"</f>
        <v>2017-03-23 14:33:17</v>
      </c>
      <c r="M2264" s="2">
        <v>6.7361111111111103E-3</v>
      </c>
      <c r="N2264" s="1" t="s">
        <v>26</v>
      </c>
      <c r="O2264" s="1" t="s">
        <v>27</v>
      </c>
      <c r="P2264" s="2">
        <v>6.8402777777777776E-3</v>
      </c>
      <c r="Q2264" s="1" t="s">
        <v>1615</v>
      </c>
      <c r="R2264" s="1">
        <v>0</v>
      </c>
      <c r="S2264" s="1" t="str">
        <f>""</f>
        <v/>
      </c>
      <c r="T2264" s="1" t="s">
        <v>29</v>
      </c>
      <c r="U2264" s="1" t="s">
        <v>30</v>
      </c>
      <c r="V2264" s="1">
        <v>0</v>
      </c>
    </row>
    <row r="2265" spans="2:22" x14ac:dyDescent="0.15">
      <c r="B2265" s="1" t="str">
        <f>"138****1129"</f>
        <v>138****1129</v>
      </c>
      <c r="C2265" s="1" t="s">
        <v>23</v>
      </c>
      <c r="D2265" s="1" t="str">
        <f t="shared" si="225"/>
        <v>89177328</v>
      </c>
      <c r="E2265" s="1" t="s">
        <v>24</v>
      </c>
      <c r="F2265" s="1" t="str">
        <f t="shared" si="226"/>
        <v>0010</v>
      </c>
      <c r="G2265" s="1" t="str">
        <f>""</f>
        <v/>
      </c>
      <c r="H2265" s="1" t="str">
        <f>"0018"</f>
        <v>0018</v>
      </c>
      <c r="I2265" s="1" t="s">
        <v>36</v>
      </c>
      <c r="J2265" s="1" t="str">
        <f>"01043989718"</f>
        <v>01043989718</v>
      </c>
      <c r="K2265" s="1" t="str">
        <f>"2017-03-23 14:31:17"</f>
        <v>2017-03-23 14:31:17</v>
      </c>
      <c r="L2265" s="1" t="str">
        <f>"2017-03-23 14:31:26"</f>
        <v>2017-03-23 14:31:26</v>
      </c>
      <c r="M2265" s="2">
        <v>6.2615740740740748E-3</v>
      </c>
      <c r="N2265" s="1" t="s">
        <v>26</v>
      </c>
      <c r="O2265" s="1" t="s">
        <v>34</v>
      </c>
      <c r="P2265" s="2">
        <v>6.3657407407407404E-3</v>
      </c>
      <c r="Q2265" s="1" t="s">
        <v>1616</v>
      </c>
      <c r="R2265" s="1">
        <v>0</v>
      </c>
      <c r="S2265" s="1" t="str">
        <f>""</f>
        <v/>
      </c>
      <c r="T2265" s="1" t="s">
        <v>29</v>
      </c>
      <c r="U2265" s="1" t="s">
        <v>30</v>
      </c>
      <c r="V2265" s="1">
        <v>0</v>
      </c>
    </row>
    <row r="2266" spans="2:22" x14ac:dyDescent="0.15">
      <c r="B2266" s="1" t="str">
        <f>"132****2452"</f>
        <v>132****2452</v>
      </c>
      <c r="C2266" s="1" t="s">
        <v>23</v>
      </c>
      <c r="D2266" s="1" t="str">
        <f t="shared" si="225"/>
        <v>89177328</v>
      </c>
      <c r="E2266" s="1" t="s">
        <v>24</v>
      </c>
      <c r="F2266" s="1" t="str">
        <f t="shared" si="226"/>
        <v>0010</v>
      </c>
      <c r="G2266" s="1" t="str">
        <f>""</f>
        <v/>
      </c>
      <c r="H2266" s="1" t="str">
        <f>"0012"</f>
        <v>0012</v>
      </c>
      <c r="I2266" s="1" t="s">
        <v>612</v>
      </c>
      <c r="J2266" s="1" t="str">
        <f>"01043989720"</f>
        <v>01043989720</v>
      </c>
      <c r="K2266" s="1" t="str">
        <f>"2017-03-23 14:17:13"</f>
        <v>2017-03-23 14:17:13</v>
      </c>
      <c r="L2266" s="1" t="str">
        <f>"2017-03-23 14:17:31"</f>
        <v>2017-03-23 14:17:31</v>
      </c>
      <c r="M2266" s="2">
        <v>2.5057870370370373E-2</v>
      </c>
      <c r="N2266" s="1" t="s">
        <v>26</v>
      </c>
      <c r="O2266" s="1" t="s">
        <v>27</v>
      </c>
      <c r="P2266" s="2">
        <v>2.5266203703703704E-2</v>
      </c>
      <c r="Q2266" s="1" t="s">
        <v>1617</v>
      </c>
      <c r="R2266" s="1">
        <v>0</v>
      </c>
      <c r="S2266" s="1" t="str">
        <f>""</f>
        <v/>
      </c>
      <c r="T2266" s="1" t="s">
        <v>29</v>
      </c>
      <c r="U2266" s="1" t="s">
        <v>30</v>
      </c>
      <c r="V2266" s="1">
        <v>0</v>
      </c>
    </row>
    <row r="2267" spans="2:22" x14ac:dyDescent="0.15">
      <c r="B2267" s="1" t="str">
        <f>"151****3610"</f>
        <v>151****3610</v>
      </c>
      <c r="C2267" s="1" t="s">
        <v>1618</v>
      </c>
      <c r="D2267" s="1" t="str">
        <f>"4000108333"</f>
        <v>4000108333</v>
      </c>
      <c r="E2267" s="1" t="s">
        <v>53</v>
      </c>
      <c r="F2267" s="1" t="str">
        <f>"0000"</f>
        <v>0000</v>
      </c>
      <c r="G2267" s="1" t="str">
        <f>""</f>
        <v/>
      </c>
      <c r="H2267" s="1" t="str">
        <f>"1010"</f>
        <v>1010</v>
      </c>
      <c r="I2267" s="1" t="s">
        <v>148</v>
      </c>
      <c r="J2267" s="1" t="str">
        <f>"13718091869"</f>
        <v>13718091869</v>
      </c>
      <c r="K2267" s="1" t="str">
        <f>"2017-03-23 14:12:35"</f>
        <v>2017-03-23 14:12:35</v>
      </c>
      <c r="L2267" s="1" t="str">
        <f>"2017-03-23 14:13:19"</f>
        <v>2017-03-23 14:13:19</v>
      </c>
      <c r="M2267" s="2">
        <v>7.9861111111111122E-3</v>
      </c>
      <c r="N2267" s="1" t="s">
        <v>26</v>
      </c>
      <c r="O2267" s="1" t="s">
        <v>34</v>
      </c>
      <c r="P2267" s="2">
        <v>8.4953703703703701E-3</v>
      </c>
      <c r="Q2267" s="1" t="s">
        <v>1619</v>
      </c>
      <c r="R2267" s="1">
        <v>1.56</v>
      </c>
      <c r="S2267" s="1" t="str">
        <f>""</f>
        <v/>
      </c>
      <c r="T2267" s="1" t="s">
        <v>29</v>
      </c>
      <c r="U2267" s="1" t="s">
        <v>30</v>
      </c>
      <c r="V2267" s="1">
        <v>0</v>
      </c>
    </row>
    <row r="2268" spans="2:22" x14ac:dyDescent="0.15">
      <c r="B2268" s="1" t="str">
        <f>"137****5949"</f>
        <v>137****5949</v>
      </c>
      <c r="C2268" s="1" t="s">
        <v>23</v>
      </c>
      <c r="D2268" s="1" t="str">
        <f>"89177328"</f>
        <v>89177328</v>
      </c>
      <c r="E2268" s="1" t="s">
        <v>24</v>
      </c>
      <c r="F2268" s="1" t="str">
        <f>"0010"</f>
        <v>0010</v>
      </c>
      <c r="G2268" s="1" t="str">
        <f>""</f>
        <v/>
      </c>
      <c r="H2268" s="1" t="str">
        <f>"0034"</f>
        <v>0034</v>
      </c>
      <c r="I2268" s="1" t="s">
        <v>31</v>
      </c>
      <c r="J2268" s="1" t="str">
        <f>"01043977568"</f>
        <v>01043977568</v>
      </c>
      <c r="K2268" s="1" t="str">
        <f>"2017-03-23 13:54:41"</f>
        <v>2017-03-23 13:54:41</v>
      </c>
      <c r="L2268" s="1" t="str">
        <f>"2017-03-23 13:54:47"</f>
        <v>2017-03-23 13:54:47</v>
      </c>
      <c r="M2268" s="2">
        <v>1.4699074074074074E-3</v>
      </c>
      <c r="N2268" s="1" t="s">
        <v>26</v>
      </c>
      <c r="O2268" s="1" t="s">
        <v>27</v>
      </c>
      <c r="P2268" s="2">
        <v>1.5393518518518519E-3</v>
      </c>
      <c r="Q2268" s="1" t="s">
        <v>1620</v>
      </c>
      <c r="R2268" s="1">
        <v>0</v>
      </c>
      <c r="S2268" s="1" t="str">
        <f>""</f>
        <v/>
      </c>
      <c r="T2268" s="1" t="s">
        <v>29</v>
      </c>
      <c r="U2268" s="1" t="s">
        <v>30</v>
      </c>
      <c r="V2268" s="1">
        <v>0</v>
      </c>
    </row>
    <row r="2269" spans="2:22" x14ac:dyDescent="0.15">
      <c r="B2269" s="1" t="str">
        <f>"151****3610"</f>
        <v>151****3610</v>
      </c>
      <c r="C2269" s="1" t="s">
        <v>1618</v>
      </c>
      <c r="D2269" s="1" t="str">
        <f>"4000108333"</f>
        <v>4000108333</v>
      </c>
      <c r="E2269" s="1" t="s">
        <v>53</v>
      </c>
      <c r="F2269" s="1" t="str">
        <f>""</f>
        <v/>
      </c>
      <c r="G2269" s="1" t="str">
        <f>""</f>
        <v/>
      </c>
      <c r="H2269" s="1" t="str">
        <f>""</f>
        <v/>
      </c>
      <c r="I2269" s="1" t="str">
        <f>""</f>
        <v/>
      </c>
      <c r="J2269" s="1" t="str">
        <f>""</f>
        <v/>
      </c>
      <c r="K2269" s="1" t="str">
        <f>"2017-03-23 13:46:23"</f>
        <v>2017-03-23 13:46:23</v>
      </c>
      <c r="L2269" s="1" t="str">
        <f>"-"</f>
        <v>-</v>
      </c>
      <c r="M2269" s="2">
        <v>0</v>
      </c>
      <c r="N2269" s="1" t="s">
        <v>55</v>
      </c>
      <c r="O2269" s="1" t="s">
        <v>34</v>
      </c>
      <c r="P2269" s="2">
        <v>1.7361111111111112E-4</v>
      </c>
      <c r="Q2269" s="1" t="str">
        <f>""</f>
        <v/>
      </c>
      <c r="R2269" s="1">
        <v>0.12</v>
      </c>
      <c r="S2269" s="1" t="str">
        <f>""</f>
        <v/>
      </c>
      <c r="T2269" s="1" t="s">
        <v>29</v>
      </c>
      <c r="U2269" s="1" t="s">
        <v>30</v>
      </c>
      <c r="V2269" s="1">
        <v>0</v>
      </c>
    </row>
    <row r="2270" spans="2:22" x14ac:dyDescent="0.15">
      <c r="B2270" s="1" t="str">
        <f>"151****3610"</f>
        <v>151****3610</v>
      </c>
      <c r="C2270" s="1" t="s">
        <v>1618</v>
      </c>
      <c r="D2270" s="1" t="str">
        <f>"4000108333"</f>
        <v>4000108333</v>
      </c>
      <c r="E2270" s="1" t="s">
        <v>53</v>
      </c>
      <c r="F2270" s="1" t="str">
        <f>"0000"</f>
        <v>0000</v>
      </c>
      <c r="G2270" s="1" t="str">
        <f>""</f>
        <v/>
      </c>
      <c r="H2270" s="1" t="str">
        <f>"1012"</f>
        <v>1012</v>
      </c>
      <c r="I2270" s="1" t="s">
        <v>54</v>
      </c>
      <c r="J2270" s="1" t="str">
        <f>"13611040764"</f>
        <v>13611040764</v>
      </c>
      <c r="K2270" s="1" t="str">
        <f>"2017-03-23 13:42:52"</f>
        <v>2017-03-23 13:42:52</v>
      </c>
      <c r="L2270" s="1" t="str">
        <f>"2017-03-23 13:43:40"</f>
        <v>2017-03-23 13:43:40</v>
      </c>
      <c r="M2270" s="2">
        <v>6.7129629629629625E-4</v>
      </c>
      <c r="N2270" s="1" t="s">
        <v>26</v>
      </c>
      <c r="O2270" s="1" t="s">
        <v>27</v>
      </c>
      <c r="P2270" s="2">
        <v>1.2268518518518518E-3</v>
      </c>
      <c r="Q2270" s="1" t="s">
        <v>1621</v>
      </c>
      <c r="R2270" s="1">
        <v>0.24</v>
      </c>
      <c r="S2270" s="1" t="str">
        <f>""</f>
        <v/>
      </c>
      <c r="T2270" s="1" t="s">
        <v>29</v>
      </c>
      <c r="U2270" s="1" t="s">
        <v>30</v>
      </c>
      <c r="V2270" s="1">
        <v>0</v>
      </c>
    </row>
    <row r="2271" spans="2:22" x14ac:dyDescent="0.15">
      <c r="B2271" s="1" t="str">
        <f>"158****8852"</f>
        <v>158****8852</v>
      </c>
      <c r="C2271" s="1" t="s">
        <v>23</v>
      </c>
      <c r="D2271" s="1" t="str">
        <f t="shared" ref="D2271:D2279" si="227">"89177328"</f>
        <v>89177328</v>
      </c>
      <c r="E2271" s="1" t="s">
        <v>24</v>
      </c>
      <c r="F2271" s="1" t="str">
        <f t="shared" ref="F2271:F2279" si="228">"0010"</f>
        <v>0010</v>
      </c>
      <c r="G2271" s="1" t="str">
        <f>""</f>
        <v/>
      </c>
      <c r="H2271" s="1" t="str">
        <f>""</f>
        <v/>
      </c>
      <c r="I2271" s="1" t="str">
        <f>""</f>
        <v/>
      </c>
      <c r="J2271" s="1" t="str">
        <f>""</f>
        <v/>
      </c>
      <c r="K2271" s="1" t="str">
        <f>"2017-03-23 13:42:15"</f>
        <v>2017-03-23 13:42:15</v>
      </c>
      <c r="L2271" s="1" t="str">
        <f>"-"</f>
        <v>-</v>
      </c>
      <c r="M2271" s="2">
        <v>0</v>
      </c>
      <c r="N2271" s="1" t="s">
        <v>55</v>
      </c>
      <c r="O2271" s="1" t="s">
        <v>34</v>
      </c>
      <c r="P2271" s="2">
        <v>1.5393518518518519E-3</v>
      </c>
      <c r="Q2271" s="1" t="str">
        <f>""</f>
        <v/>
      </c>
      <c r="R2271" s="1">
        <v>0</v>
      </c>
      <c r="S2271" s="1" t="str">
        <f>""</f>
        <v/>
      </c>
      <c r="T2271" s="1" t="s">
        <v>29</v>
      </c>
      <c r="U2271" s="1" t="s">
        <v>30</v>
      </c>
      <c r="V2271" s="1">
        <v>0</v>
      </c>
    </row>
    <row r="2272" spans="2:22" x14ac:dyDescent="0.15">
      <c r="B2272" s="1" t="str">
        <f>"010****4346"</f>
        <v>010****4346</v>
      </c>
      <c r="C2272" s="1" t="s">
        <v>23</v>
      </c>
      <c r="D2272" s="1" t="str">
        <f t="shared" si="227"/>
        <v>89177328</v>
      </c>
      <c r="E2272" s="1" t="s">
        <v>24</v>
      </c>
      <c r="F2272" s="1" t="str">
        <f t="shared" si="228"/>
        <v>0010</v>
      </c>
      <c r="G2272" s="1" t="str">
        <f>""</f>
        <v/>
      </c>
      <c r="H2272" s="1" t="str">
        <f>""</f>
        <v/>
      </c>
      <c r="I2272" s="1" t="str">
        <f>""</f>
        <v/>
      </c>
      <c r="J2272" s="1" t="str">
        <f>""</f>
        <v/>
      </c>
      <c r="K2272" s="1" t="str">
        <f>"2017-03-23 13:40:03"</f>
        <v>2017-03-23 13:40:03</v>
      </c>
      <c r="L2272" s="1" t="str">
        <f>"-"</f>
        <v>-</v>
      </c>
      <c r="M2272" s="2">
        <v>0</v>
      </c>
      <c r="N2272" s="1" t="s">
        <v>55</v>
      </c>
      <c r="O2272" s="1" t="s">
        <v>34</v>
      </c>
      <c r="P2272" s="2">
        <v>5.4398148148148144E-4</v>
      </c>
      <c r="Q2272" s="1" t="str">
        <f>""</f>
        <v/>
      </c>
      <c r="R2272" s="1">
        <v>0</v>
      </c>
      <c r="S2272" s="1" t="str">
        <f>""</f>
        <v/>
      </c>
      <c r="T2272" s="1" t="s">
        <v>29</v>
      </c>
      <c r="U2272" s="1" t="s">
        <v>30</v>
      </c>
      <c r="V2272" s="1">
        <v>0</v>
      </c>
    </row>
    <row r="2273" spans="2:22" x14ac:dyDescent="0.15">
      <c r="B2273" s="1" t="str">
        <f>"189****8142"</f>
        <v>189****8142</v>
      </c>
      <c r="C2273" s="1" t="s">
        <v>23</v>
      </c>
      <c r="D2273" s="1" t="str">
        <f t="shared" si="227"/>
        <v>89177328</v>
      </c>
      <c r="E2273" s="1" t="s">
        <v>24</v>
      </c>
      <c r="F2273" s="1" t="str">
        <f t="shared" si="228"/>
        <v>0010</v>
      </c>
      <c r="G2273" s="1" t="str">
        <f>""</f>
        <v/>
      </c>
      <c r="H2273" s="1" t="str">
        <f>"0035"</f>
        <v>0035</v>
      </c>
      <c r="I2273" s="1" t="s">
        <v>25</v>
      </c>
      <c r="J2273" s="1" t="str">
        <f>"01043977569"</f>
        <v>01043977569</v>
      </c>
      <c r="K2273" s="1" t="str">
        <f>"2017-03-23 13:39:13"</f>
        <v>2017-03-23 13:39:13</v>
      </c>
      <c r="L2273" s="1" t="str">
        <f>"2017-03-23 13:39:22"</f>
        <v>2017-03-23 13:39:22</v>
      </c>
      <c r="M2273" s="2">
        <v>7.083333333333333E-3</v>
      </c>
      <c r="N2273" s="1" t="s">
        <v>26</v>
      </c>
      <c r="O2273" s="1" t="s">
        <v>27</v>
      </c>
      <c r="P2273" s="2">
        <v>7.1874999999999994E-3</v>
      </c>
      <c r="Q2273" s="1" t="s">
        <v>1622</v>
      </c>
      <c r="R2273" s="1">
        <v>0</v>
      </c>
      <c r="S2273" s="1" t="str">
        <f>""</f>
        <v/>
      </c>
      <c r="T2273" s="1" t="s">
        <v>29</v>
      </c>
      <c r="U2273" s="1" t="s">
        <v>30</v>
      </c>
      <c r="V2273" s="1">
        <v>0</v>
      </c>
    </row>
    <row r="2274" spans="2:22" x14ac:dyDescent="0.15">
      <c r="B2274" s="1" t="str">
        <f>"010****4346"</f>
        <v>010****4346</v>
      </c>
      <c r="C2274" s="1" t="s">
        <v>23</v>
      </c>
      <c r="D2274" s="1" t="str">
        <f t="shared" si="227"/>
        <v>89177328</v>
      </c>
      <c r="E2274" s="1" t="s">
        <v>24</v>
      </c>
      <c r="F2274" s="1" t="str">
        <f t="shared" si="228"/>
        <v>0010</v>
      </c>
      <c r="G2274" s="1" t="str">
        <f>""</f>
        <v/>
      </c>
      <c r="H2274" s="1" t="str">
        <f>"0034"</f>
        <v>0034</v>
      </c>
      <c r="I2274" s="1" t="s">
        <v>31</v>
      </c>
      <c r="J2274" s="1" t="str">
        <f>"01043977568"</f>
        <v>01043977568</v>
      </c>
      <c r="K2274" s="1" t="str">
        <f>"2017-03-23 13:35:49"</f>
        <v>2017-03-23 13:35:49</v>
      </c>
      <c r="L2274" s="1" t="str">
        <f>"-"</f>
        <v>-</v>
      </c>
      <c r="M2274" s="2">
        <v>0</v>
      </c>
      <c r="N2274" s="1" t="s">
        <v>33</v>
      </c>
      <c r="O2274" s="1" t="s">
        <v>34</v>
      </c>
      <c r="P2274" s="2">
        <v>9.7222222222222209E-4</v>
      </c>
      <c r="Q2274" s="1" t="str">
        <f>""</f>
        <v/>
      </c>
      <c r="R2274" s="1">
        <v>0</v>
      </c>
      <c r="S2274" s="1" t="str">
        <f>""</f>
        <v/>
      </c>
      <c r="T2274" s="1" t="s">
        <v>29</v>
      </c>
      <c r="U2274" s="1" t="s">
        <v>30</v>
      </c>
      <c r="V2274" s="1">
        <v>0</v>
      </c>
    </row>
    <row r="2275" spans="2:22" x14ac:dyDescent="0.15">
      <c r="B2275" s="1" t="str">
        <f>"158****8852"</f>
        <v>158****8852</v>
      </c>
      <c r="C2275" s="1" t="s">
        <v>23</v>
      </c>
      <c r="D2275" s="1" t="str">
        <f t="shared" si="227"/>
        <v>89177328</v>
      </c>
      <c r="E2275" s="1" t="s">
        <v>24</v>
      </c>
      <c r="F2275" s="1" t="str">
        <f t="shared" si="228"/>
        <v>0010</v>
      </c>
      <c r="G2275" s="1" t="str">
        <f>""</f>
        <v/>
      </c>
      <c r="H2275" s="1" t="str">
        <f>"0010"</f>
        <v>0010</v>
      </c>
      <c r="I2275" s="1" t="s">
        <v>71</v>
      </c>
      <c r="J2275" s="1" t="str">
        <f>"01043989719"</f>
        <v>01043989719</v>
      </c>
      <c r="K2275" s="1" t="str">
        <f>"2017-03-23 13:35:44"</f>
        <v>2017-03-23 13:35:44</v>
      </c>
      <c r="L2275" s="1" t="str">
        <f>"2017-03-23 13:36:22"</f>
        <v>2017-03-23 13:36:22</v>
      </c>
      <c r="M2275" s="2">
        <v>6.4814814814814813E-4</v>
      </c>
      <c r="N2275" s="1" t="s">
        <v>26</v>
      </c>
      <c r="O2275" s="1" t="s">
        <v>27</v>
      </c>
      <c r="P2275" s="2">
        <v>1.0879629629629629E-3</v>
      </c>
      <c r="Q2275" s="1" t="s">
        <v>1623</v>
      </c>
      <c r="R2275" s="1">
        <v>0</v>
      </c>
      <c r="S2275" s="1" t="str">
        <f>""</f>
        <v/>
      </c>
      <c r="T2275" s="1" t="s">
        <v>29</v>
      </c>
      <c r="U2275" s="1" t="s">
        <v>30</v>
      </c>
      <c r="V2275" s="1">
        <v>0</v>
      </c>
    </row>
    <row r="2276" spans="2:22" x14ac:dyDescent="0.15">
      <c r="B2276" s="1" t="str">
        <f>"188****1379"</f>
        <v>188****1379</v>
      </c>
      <c r="C2276" s="1" t="s">
        <v>23</v>
      </c>
      <c r="D2276" s="1" t="str">
        <f t="shared" si="227"/>
        <v>89177328</v>
      </c>
      <c r="E2276" s="1" t="s">
        <v>24</v>
      </c>
      <c r="F2276" s="1" t="str">
        <f t="shared" si="228"/>
        <v>0010</v>
      </c>
      <c r="G2276" s="1" t="str">
        <f>""</f>
        <v/>
      </c>
      <c r="H2276" s="1" t="str">
        <f>"0035"</f>
        <v>0035</v>
      </c>
      <c r="I2276" s="1" t="s">
        <v>25</v>
      </c>
      <c r="J2276" s="1" t="str">
        <f>"01043977569"</f>
        <v>01043977569</v>
      </c>
      <c r="K2276" s="1" t="str">
        <f>"2017-03-23 13:33:18"</f>
        <v>2017-03-23 13:33:18</v>
      </c>
      <c r="L2276" s="1" t="str">
        <f>"2017-03-23 13:33:27"</f>
        <v>2017-03-23 13:33:27</v>
      </c>
      <c r="M2276" s="2">
        <v>3.0787037037037037E-3</v>
      </c>
      <c r="N2276" s="1" t="s">
        <v>26</v>
      </c>
      <c r="O2276" s="1" t="s">
        <v>34</v>
      </c>
      <c r="P2276" s="2">
        <v>3.1828703703703702E-3</v>
      </c>
      <c r="Q2276" s="1" t="s">
        <v>1624</v>
      </c>
      <c r="R2276" s="1">
        <v>0</v>
      </c>
      <c r="S2276" s="1" t="str">
        <f>""</f>
        <v/>
      </c>
      <c r="T2276" s="1" t="s">
        <v>29</v>
      </c>
      <c r="U2276" s="1" t="s">
        <v>30</v>
      </c>
      <c r="V2276" s="1">
        <v>0</v>
      </c>
    </row>
    <row r="2277" spans="2:22" x14ac:dyDescent="0.15">
      <c r="B2277" s="1" t="str">
        <f>"177****5050"</f>
        <v>177****5050</v>
      </c>
      <c r="C2277" s="1" t="s">
        <v>137</v>
      </c>
      <c r="D2277" s="1" t="str">
        <f t="shared" si="227"/>
        <v>89177328</v>
      </c>
      <c r="E2277" s="1" t="s">
        <v>24</v>
      </c>
      <c r="F2277" s="1" t="str">
        <f t="shared" si="228"/>
        <v>0010</v>
      </c>
      <c r="G2277" s="1" t="str">
        <f>""</f>
        <v/>
      </c>
      <c r="H2277" s="1" t="str">
        <f>"0034"</f>
        <v>0034</v>
      </c>
      <c r="I2277" s="1" t="s">
        <v>31</v>
      </c>
      <c r="J2277" s="1" t="str">
        <f>"01043977568"</f>
        <v>01043977568</v>
      </c>
      <c r="K2277" s="1" t="str">
        <f>"2017-03-23 13:26:40"</f>
        <v>2017-03-23 13:26:40</v>
      </c>
      <c r="L2277" s="1" t="str">
        <f>"2017-03-23 13:27:56"</f>
        <v>2017-03-23 13:27:56</v>
      </c>
      <c r="M2277" s="2">
        <v>6.2962962962962964E-3</v>
      </c>
      <c r="N2277" s="1" t="s">
        <v>26</v>
      </c>
      <c r="O2277" s="1" t="s">
        <v>27</v>
      </c>
      <c r="P2277" s="2">
        <v>7.1759259259259259E-3</v>
      </c>
      <c r="Q2277" s="1" t="s">
        <v>1625</v>
      </c>
      <c r="R2277" s="1">
        <v>0</v>
      </c>
      <c r="S2277" s="1" t="str">
        <f>""</f>
        <v/>
      </c>
      <c r="T2277" s="1" t="s">
        <v>29</v>
      </c>
      <c r="U2277" s="1" t="s">
        <v>30</v>
      </c>
      <c r="V2277" s="1">
        <v>0</v>
      </c>
    </row>
    <row r="2278" spans="2:22" x14ac:dyDescent="0.15">
      <c r="B2278" s="1" t="str">
        <f>"180****7611"</f>
        <v>180****7611</v>
      </c>
      <c r="C2278" s="1" t="s">
        <v>51</v>
      </c>
      <c r="D2278" s="1" t="str">
        <f t="shared" si="227"/>
        <v>89177328</v>
      </c>
      <c r="E2278" s="1" t="s">
        <v>24</v>
      </c>
      <c r="F2278" s="1" t="str">
        <f t="shared" si="228"/>
        <v>0010</v>
      </c>
      <c r="G2278" s="1" t="str">
        <f>""</f>
        <v/>
      </c>
      <c r="H2278" s="1" t="str">
        <f>"0035"</f>
        <v>0035</v>
      </c>
      <c r="I2278" s="1" t="s">
        <v>25</v>
      </c>
      <c r="J2278" s="1" t="str">
        <f>"01043977569"</f>
        <v>01043977569</v>
      </c>
      <c r="K2278" s="1" t="str">
        <f>"2017-03-23 13:26:01"</f>
        <v>2017-03-23 13:26:01</v>
      </c>
      <c r="L2278" s="1" t="str">
        <f>"2017-03-23 13:26:09"</f>
        <v>2017-03-23 13:26:09</v>
      </c>
      <c r="M2278" s="2">
        <v>4.6990740740740743E-3</v>
      </c>
      <c r="N2278" s="1" t="s">
        <v>26</v>
      </c>
      <c r="O2278" s="1" t="s">
        <v>27</v>
      </c>
      <c r="P2278" s="2">
        <v>4.7916666666666672E-3</v>
      </c>
      <c r="Q2278" s="1" t="s">
        <v>1626</v>
      </c>
      <c r="R2278" s="1">
        <v>0</v>
      </c>
      <c r="S2278" s="1" t="str">
        <f>""</f>
        <v/>
      </c>
      <c r="T2278" s="1" t="s">
        <v>29</v>
      </c>
      <c r="U2278" s="1" t="s">
        <v>30</v>
      </c>
      <c r="V2278" s="1">
        <v>0</v>
      </c>
    </row>
    <row r="2279" spans="2:22" x14ac:dyDescent="0.15">
      <c r="B2279" s="1" t="str">
        <f>"010****8023"</f>
        <v>010****8023</v>
      </c>
      <c r="C2279" s="1" t="s">
        <v>23</v>
      </c>
      <c r="D2279" s="1" t="str">
        <f t="shared" si="227"/>
        <v>89177328</v>
      </c>
      <c r="E2279" s="1" t="s">
        <v>24</v>
      </c>
      <c r="F2279" s="1" t="str">
        <f t="shared" si="228"/>
        <v>0010</v>
      </c>
      <c r="G2279" s="1" t="str">
        <f>""</f>
        <v/>
      </c>
      <c r="H2279" s="1" t="str">
        <f>"0035"</f>
        <v>0035</v>
      </c>
      <c r="I2279" s="1" t="s">
        <v>25</v>
      </c>
      <c r="J2279" s="1" t="str">
        <f>"01043977569"</f>
        <v>01043977569</v>
      </c>
      <c r="K2279" s="1" t="str">
        <f>"2017-03-23 13:10:05"</f>
        <v>2017-03-23 13:10:05</v>
      </c>
      <c r="L2279" s="1" t="str">
        <f>"2017-03-23 13:10:13"</f>
        <v>2017-03-23 13:10:13</v>
      </c>
      <c r="M2279" s="2">
        <v>6.6087962962962966E-3</v>
      </c>
      <c r="N2279" s="1" t="s">
        <v>26</v>
      </c>
      <c r="O2279" s="1" t="s">
        <v>27</v>
      </c>
      <c r="P2279" s="2">
        <v>6.7013888888888887E-3</v>
      </c>
      <c r="Q2279" s="1" t="s">
        <v>1627</v>
      </c>
      <c r="R2279" s="1">
        <v>0</v>
      </c>
      <c r="S2279" s="1" t="str">
        <f>""</f>
        <v/>
      </c>
      <c r="T2279" s="1" t="s">
        <v>29</v>
      </c>
      <c r="U2279" s="1" t="s">
        <v>30</v>
      </c>
      <c r="V2279" s="1">
        <v>0</v>
      </c>
    </row>
    <row r="2280" spans="2:22" x14ac:dyDescent="0.15">
      <c r="B2280" s="1" t="str">
        <f>"177****7198"</f>
        <v>177****7198</v>
      </c>
      <c r="C2280" s="1" t="s">
        <v>51</v>
      </c>
      <c r="D2280" s="1" t="str">
        <f>"4000108333"</f>
        <v>4000108333</v>
      </c>
      <c r="E2280" s="1" t="s">
        <v>53</v>
      </c>
      <c r="F2280" s="1" t="str">
        <f>"0000"</f>
        <v>0000</v>
      </c>
      <c r="G2280" s="1" t="str">
        <f>""</f>
        <v/>
      </c>
      <c r="H2280" s="1" t="str">
        <f>"1010"</f>
        <v>1010</v>
      </c>
      <c r="I2280" s="1" t="s">
        <v>148</v>
      </c>
      <c r="J2280" s="1" t="str">
        <f>"13718091869"</f>
        <v>13718091869</v>
      </c>
      <c r="K2280" s="1" t="str">
        <f>"2017-03-23 13:02:37"</f>
        <v>2017-03-23 13:02:37</v>
      </c>
      <c r="L2280" s="1" t="str">
        <f>"2017-03-23 13:03:43"</f>
        <v>2017-03-23 13:03:43</v>
      </c>
      <c r="M2280" s="2">
        <v>1.9525462962962963E-2</v>
      </c>
      <c r="N2280" s="1" t="s">
        <v>26</v>
      </c>
      <c r="O2280" s="1" t="s">
        <v>27</v>
      </c>
      <c r="P2280" s="2">
        <v>2.028935185185185E-2</v>
      </c>
      <c r="Q2280" s="1" t="s">
        <v>1628</v>
      </c>
      <c r="R2280" s="1">
        <v>3.6</v>
      </c>
      <c r="S2280" s="1" t="str">
        <f>""</f>
        <v/>
      </c>
      <c r="T2280" s="1" t="s">
        <v>29</v>
      </c>
      <c r="U2280" s="1" t="s">
        <v>30</v>
      </c>
      <c r="V2280" s="1">
        <v>0</v>
      </c>
    </row>
    <row r="2281" spans="2:22" x14ac:dyDescent="0.15">
      <c r="B2281" s="1" t="str">
        <f>"136****1836"</f>
        <v>136****1836</v>
      </c>
      <c r="C2281" s="1" t="s">
        <v>23</v>
      </c>
      <c r="D2281" s="1" t="str">
        <f t="shared" ref="D2281:D2299" si="229">"89177328"</f>
        <v>89177328</v>
      </c>
      <c r="E2281" s="1" t="s">
        <v>24</v>
      </c>
      <c r="F2281" s="1" t="str">
        <f t="shared" ref="F2281:F2299" si="230">"0010"</f>
        <v>0010</v>
      </c>
      <c r="G2281" s="1" t="str">
        <f>""</f>
        <v/>
      </c>
      <c r="H2281" s="1" t="str">
        <f>"0032"</f>
        <v>0032</v>
      </c>
      <c r="I2281" s="1" t="s">
        <v>119</v>
      </c>
      <c r="J2281" s="1" t="str">
        <f>"01043977566"</f>
        <v>01043977566</v>
      </c>
      <c r="K2281" s="1" t="str">
        <f>"2017-03-23 12:47:34"</f>
        <v>2017-03-23 12:47:34</v>
      </c>
      <c r="L2281" s="1" t="str">
        <f>"2017-03-23 12:48:03"</f>
        <v>2017-03-23 12:48:03</v>
      </c>
      <c r="M2281" s="2">
        <v>3.7268518518518514E-3</v>
      </c>
      <c r="N2281" s="1" t="s">
        <v>26</v>
      </c>
      <c r="O2281" s="1" t="s">
        <v>34</v>
      </c>
      <c r="P2281" s="2">
        <v>4.0624999999999993E-3</v>
      </c>
      <c r="Q2281" s="1" t="s">
        <v>1629</v>
      </c>
      <c r="R2281" s="1">
        <v>0</v>
      </c>
      <c r="S2281" s="1" t="str">
        <f>""</f>
        <v/>
      </c>
      <c r="T2281" s="1" t="s">
        <v>29</v>
      </c>
      <c r="U2281" s="1" t="s">
        <v>30</v>
      </c>
      <c r="V2281" s="1">
        <v>0</v>
      </c>
    </row>
    <row r="2282" spans="2:22" x14ac:dyDescent="0.15">
      <c r="B2282" s="1" t="str">
        <f>"159****1281"</f>
        <v>159****1281</v>
      </c>
      <c r="C2282" s="1" t="s">
        <v>1480</v>
      </c>
      <c r="D2282" s="1" t="str">
        <f t="shared" si="229"/>
        <v>89177328</v>
      </c>
      <c r="E2282" s="1" t="s">
        <v>24</v>
      </c>
      <c r="F2282" s="1" t="str">
        <f t="shared" si="230"/>
        <v>0010</v>
      </c>
      <c r="G2282" s="1" t="str">
        <f>""</f>
        <v/>
      </c>
      <c r="H2282" s="1" t="str">
        <f>"0017"</f>
        <v>0017</v>
      </c>
      <c r="I2282" s="1" t="s">
        <v>135</v>
      </c>
      <c r="J2282" s="1" t="str">
        <f>"01043989717"</f>
        <v>01043989717</v>
      </c>
      <c r="K2282" s="1" t="str">
        <f>"2017-03-23 12:27:15"</f>
        <v>2017-03-23 12:27:15</v>
      </c>
      <c r="L2282" s="1" t="str">
        <f>"2017-03-23 12:27:23"</f>
        <v>2017-03-23 12:27:23</v>
      </c>
      <c r="M2282" s="2">
        <v>1.3541666666666667E-3</v>
      </c>
      <c r="N2282" s="1" t="s">
        <v>26</v>
      </c>
      <c r="O2282" s="1" t="s">
        <v>27</v>
      </c>
      <c r="P2282" s="2">
        <v>1.4467592592592594E-3</v>
      </c>
      <c r="Q2282" s="1" t="s">
        <v>1630</v>
      </c>
      <c r="R2282" s="1">
        <v>0</v>
      </c>
      <c r="S2282" s="1" t="str">
        <f>""</f>
        <v/>
      </c>
      <c r="T2282" s="1" t="s">
        <v>29</v>
      </c>
      <c r="U2282" s="1" t="s">
        <v>30</v>
      </c>
      <c r="V2282" s="1">
        <v>0</v>
      </c>
    </row>
    <row r="2283" spans="2:22" x14ac:dyDescent="0.15">
      <c r="B2283" s="1" t="str">
        <f>"189****0513"</f>
        <v>189****0513</v>
      </c>
      <c r="C2283" s="1" t="s">
        <v>23</v>
      </c>
      <c r="D2283" s="1" t="str">
        <f t="shared" si="229"/>
        <v>89177328</v>
      </c>
      <c r="E2283" s="1" t="s">
        <v>24</v>
      </c>
      <c r="F2283" s="1" t="str">
        <f t="shared" si="230"/>
        <v>0010</v>
      </c>
      <c r="G2283" s="1" t="str">
        <f>""</f>
        <v/>
      </c>
      <c r="H2283" s="1" t="str">
        <f>"0017"</f>
        <v>0017</v>
      </c>
      <c r="I2283" s="1" t="s">
        <v>135</v>
      </c>
      <c r="J2283" s="1" t="str">
        <f>"01043989717"</f>
        <v>01043989717</v>
      </c>
      <c r="K2283" s="1" t="str">
        <f>"2017-03-23 12:14:26"</f>
        <v>2017-03-23 12:14:26</v>
      </c>
      <c r="L2283" s="1" t="str">
        <f>"-"</f>
        <v>-</v>
      </c>
      <c r="M2283" s="2">
        <v>0</v>
      </c>
      <c r="N2283" s="1" t="s">
        <v>33</v>
      </c>
      <c r="O2283" s="1" t="s">
        <v>34</v>
      </c>
      <c r="P2283" s="2">
        <v>1.1574074074074073E-5</v>
      </c>
      <c r="Q2283" s="1" t="str">
        <f>""</f>
        <v/>
      </c>
      <c r="R2283" s="1">
        <v>0</v>
      </c>
      <c r="S2283" s="1" t="str">
        <f>""</f>
        <v/>
      </c>
      <c r="T2283" s="1" t="s">
        <v>29</v>
      </c>
      <c r="U2283" s="1" t="s">
        <v>30</v>
      </c>
      <c r="V2283" s="1">
        <v>0</v>
      </c>
    </row>
    <row r="2284" spans="2:22" x14ac:dyDescent="0.15">
      <c r="B2284" s="1" t="str">
        <f>"177****0206"</f>
        <v>177****0206</v>
      </c>
      <c r="C2284" s="1" t="s">
        <v>23</v>
      </c>
      <c r="D2284" s="1" t="str">
        <f t="shared" si="229"/>
        <v>89177328</v>
      </c>
      <c r="E2284" s="1" t="s">
        <v>24</v>
      </c>
      <c r="F2284" s="1" t="str">
        <f t="shared" si="230"/>
        <v>0010</v>
      </c>
      <c r="G2284" s="1" t="str">
        <f>""</f>
        <v/>
      </c>
      <c r="H2284" s="1" t="str">
        <f>"0017"</f>
        <v>0017</v>
      </c>
      <c r="I2284" s="1" t="s">
        <v>135</v>
      </c>
      <c r="J2284" s="1" t="str">
        <f>"01043989717"</f>
        <v>01043989717</v>
      </c>
      <c r="K2284" s="1" t="str">
        <f>"2017-03-23 12:08:22"</f>
        <v>2017-03-23 12:08:22</v>
      </c>
      <c r="L2284" s="1" t="str">
        <f>"2017-03-23 12:08:30"</f>
        <v>2017-03-23 12:08:30</v>
      </c>
      <c r="M2284" s="2">
        <v>3.4722222222222222E-5</v>
      </c>
      <c r="N2284" s="1" t="s">
        <v>26</v>
      </c>
      <c r="O2284" s="1" t="s">
        <v>34</v>
      </c>
      <c r="P2284" s="2">
        <v>1.273148148148148E-4</v>
      </c>
      <c r="Q2284" s="1" t="str">
        <f>""</f>
        <v/>
      </c>
      <c r="R2284" s="1">
        <v>0</v>
      </c>
      <c r="S2284" s="1" t="str">
        <f>""</f>
        <v/>
      </c>
      <c r="T2284" s="1" t="s">
        <v>29</v>
      </c>
      <c r="U2284" s="1" t="s">
        <v>30</v>
      </c>
      <c r="V2284" s="1">
        <v>0</v>
      </c>
    </row>
    <row r="2285" spans="2:22" x14ac:dyDescent="0.15">
      <c r="B2285" s="1" t="str">
        <f>"010****1479"</f>
        <v>010****1479</v>
      </c>
      <c r="C2285" s="1" t="s">
        <v>23</v>
      </c>
      <c r="D2285" s="1" t="str">
        <f t="shared" si="229"/>
        <v>89177328</v>
      </c>
      <c r="E2285" s="1" t="s">
        <v>24</v>
      </c>
      <c r="F2285" s="1" t="str">
        <f t="shared" si="230"/>
        <v>0010</v>
      </c>
      <c r="G2285" s="1" t="str">
        <f>""</f>
        <v/>
      </c>
      <c r="H2285" s="1" t="str">
        <f>"0034"</f>
        <v>0034</v>
      </c>
      <c r="I2285" s="1" t="s">
        <v>31</v>
      </c>
      <c r="J2285" s="1" t="str">
        <f>"01043977568"</f>
        <v>01043977568</v>
      </c>
      <c r="K2285" s="1" t="str">
        <f>"2017-03-23 12:08:20"</f>
        <v>2017-03-23 12:08:20</v>
      </c>
      <c r="L2285" s="1" t="str">
        <f>"2017-03-23 12:08:34"</f>
        <v>2017-03-23 12:08:34</v>
      </c>
      <c r="M2285" s="2">
        <v>2.0949074074074073E-3</v>
      </c>
      <c r="N2285" s="1" t="s">
        <v>26</v>
      </c>
      <c r="O2285" s="1" t="s">
        <v>34</v>
      </c>
      <c r="P2285" s="2">
        <v>2.2569444444444447E-3</v>
      </c>
      <c r="Q2285" s="1" t="s">
        <v>1631</v>
      </c>
      <c r="R2285" s="1">
        <v>0</v>
      </c>
      <c r="S2285" s="1" t="str">
        <f>""</f>
        <v/>
      </c>
      <c r="T2285" s="1" t="s">
        <v>29</v>
      </c>
      <c r="U2285" s="1" t="s">
        <v>30</v>
      </c>
      <c r="V2285" s="1">
        <v>0</v>
      </c>
    </row>
    <row r="2286" spans="2:22" x14ac:dyDescent="0.15">
      <c r="B2286" s="1" t="str">
        <f>"157****4678"</f>
        <v>157****4678</v>
      </c>
      <c r="C2286" s="1" t="s">
        <v>23</v>
      </c>
      <c r="D2286" s="1" t="str">
        <f t="shared" si="229"/>
        <v>89177328</v>
      </c>
      <c r="E2286" s="1" t="s">
        <v>24</v>
      </c>
      <c r="F2286" s="1" t="str">
        <f t="shared" si="230"/>
        <v>0010</v>
      </c>
      <c r="G2286" s="1" t="str">
        <f>""</f>
        <v/>
      </c>
      <c r="H2286" s="1" t="str">
        <f>"0034"</f>
        <v>0034</v>
      </c>
      <c r="I2286" s="1" t="s">
        <v>31</v>
      </c>
      <c r="J2286" s="1" t="str">
        <f>"01043977568"</f>
        <v>01043977568</v>
      </c>
      <c r="K2286" s="1" t="str">
        <f>"2017-03-23 12:05:33"</f>
        <v>2017-03-23 12:05:33</v>
      </c>
      <c r="L2286" s="1" t="str">
        <f>"-"</f>
        <v>-</v>
      </c>
      <c r="M2286" s="2">
        <v>0</v>
      </c>
      <c r="N2286" s="1" t="s">
        <v>33</v>
      </c>
      <c r="O2286" s="1" t="s">
        <v>34</v>
      </c>
      <c r="P2286" s="2">
        <v>9.2592592592592588E-5</v>
      </c>
      <c r="Q2286" s="1" t="str">
        <f>""</f>
        <v/>
      </c>
      <c r="R2286" s="1">
        <v>0</v>
      </c>
      <c r="S2286" s="1" t="str">
        <f>""</f>
        <v/>
      </c>
      <c r="T2286" s="1" t="s">
        <v>29</v>
      </c>
      <c r="U2286" s="1" t="s">
        <v>30</v>
      </c>
      <c r="V2286" s="1">
        <v>0</v>
      </c>
    </row>
    <row r="2287" spans="2:22" x14ac:dyDescent="0.15">
      <c r="B2287" s="1" t="str">
        <f>"177****0206"</f>
        <v>177****0206</v>
      </c>
      <c r="C2287" s="1" t="s">
        <v>23</v>
      </c>
      <c r="D2287" s="1" t="str">
        <f t="shared" si="229"/>
        <v>89177328</v>
      </c>
      <c r="E2287" s="1" t="s">
        <v>24</v>
      </c>
      <c r="F2287" s="1" t="str">
        <f t="shared" si="230"/>
        <v>0010</v>
      </c>
      <c r="G2287" s="1" t="str">
        <f>""</f>
        <v/>
      </c>
      <c r="H2287" s="1" t="str">
        <f>"0034"</f>
        <v>0034</v>
      </c>
      <c r="I2287" s="1" t="s">
        <v>31</v>
      </c>
      <c r="J2287" s="1" t="str">
        <f>"01043977568"</f>
        <v>01043977568</v>
      </c>
      <c r="K2287" s="1" t="str">
        <f>"2017-03-23 12:04:50"</f>
        <v>2017-03-23 12:04:50</v>
      </c>
      <c r="L2287" s="1" t="str">
        <f>"-"</f>
        <v>-</v>
      </c>
      <c r="M2287" s="2">
        <v>0</v>
      </c>
      <c r="N2287" s="1" t="s">
        <v>33</v>
      </c>
      <c r="O2287" s="1" t="s">
        <v>34</v>
      </c>
      <c r="P2287" s="2">
        <v>1.0416666666666667E-4</v>
      </c>
      <c r="Q2287" s="1" t="str">
        <f>""</f>
        <v/>
      </c>
      <c r="R2287" s="1">
        <v>0</v>
      </c>
      <c r="S2287" s="1" t="str">
        <f>""</f>
        <v/>
      </c>
      <c r="T2287" s="1" t="s">
        <v>29</v>
      </c>
      <c r="U2287" s="1" t="s">
        <v>30</v>
      </c>
      <c r="V2287" s="1">
        <v>0</v>
      </c>
    </row>
    <row r="2288" spans="2:22" x14ac:dyDescent="0.15">
      <c r="B2288" s="1" t="str">
        <f>"130****5656"</f>
        <v>130****5656</v>
      </c>
      <c r="C2288" s="1" t="s">
        <v>112</v>
      </c>
      <c r="D2288" s="1" t="str">
        <f t="shared" si="229"/>
        <v>89177328</v>
      </c>
      <c r="E2288" s="1" t="s">
        <v>24</v>
      </c>
      <c r="F2288" s="1" t="str">
        <f t="shared" si="230"/>
        <v>0010</v>
      </c>
      <c r="G2288" s="1" t="str">
        <f>""</f>
        <v/>
      </c>
      <c r="H2288" s="1" t="str">
        <f>"0034"</f>
        <v>0034</v>
      </c>
      <c r="I2288" s="1" t="s">
        <v>31</v>
      </c>
      <c r="J2288" s="1" t="str">
        <f>"01043977568"</f>
        <v>01043977568</v>
      </c>
      <c r="K2288" s="1" t="str">
        <f>"2017-03-23 12:01:29"</f>
        <v>2017-03-23 12:01:29</v>
      </c>
      <c r="L2288" s="1" t="str">
        <f>"-"</f>
        <v>-</v>
      </c>
      <c r="M2288" s="2">
        <v>0</v>
      </c>
      <c r="N2288" s="1" t="s">
        <v>33</v>
      </c>
      <c r="O2288" s="1" t="s">
        <v>34</v>
      </c>
      <c r="P2288" s="2">
        <v>6.9444444444444444E-5</v>
      </c>
      <c r="Q2288" s="1" t="str">
        <f>""</f>
        <v/>
      </c>
      <c r="R2288" s="1">
        <v>0</v>
      </c>
      <c r="S2288" s="1" t="str">
        <f>""</f>
        <v/>
      </c>
      <c r="T2288" s="1" t="s">
        <v>29</v>
      </c>
      <c r="U2288" s="1" t="s">
        <v>30</v>
      </c>
      <c r="V2288" s="1">
        <v>0</v>
      </c>
    </row>
    <row r="2289" spans="2:22" x14ac:dyDescent="0.15">
      <c r="B2289" s="1" t="str">
        <f>"157****4678"</f>
        <v>157****4678</v>
      </c>
      <c r="C2289" s="1" t="s">
        <v>23</v>
      </c>
      <c r="D2289" s="1" t="str">
        <f t="shared" si="229"/>
        <v>89177328</v>
      </c>
      <c r="E2289" s="1" t="s">
        <v>24</v>
      </c>
      <c r="F2289" s="1" t="str">
        <f t="shared" si="230"/>
        <v>0010</v>
      </c>
      <c r="G2289" s="1" t="str">
        <f>""</f>
        <v/>
      </c>
      <c r="H2289" s="1" t="str">
        <f>"0032"</f>
        <v>0032</v>
      </c>
      <c r="I2289" s="1" t="s">
        <v>119</v>
      </c>
      <c r="J2289" s="1" t="str">
        <f>"01043977566"</f>
        <v>01043977566</v>
      </c>
      <c r="K2289" s="1" t="str">
        <f>"2017-03-23 12:00:54"</f>
        <v>2017-03-23 12:00:54</v>
      </c>
      <c r="L2289" s="1" t="str">
        <f>"-"</f>
        <v>-</v>
      </c>
      <c r="M2289" s="2">
        <v>0</v>
      </c>
      <c r="N2289" s="1" t="s">
        <v>33</v>
      </c>
      <c r="O2289" s="1" t="s">
        <v>34</v>
      </c>
      <c r="P2289" s="2">
        <v>1.3888888888888889E-4</v>
      </c>
      <c r="Q2289" s="1" t="str">
        <f>""</f>
        <v/>
      </c>
      <c r="R2289" s="1">
        <v>0</v>
      </c>
      <c r="S2289" s="1" t="str">
        <f>""</f>
        <v/>
      </c>
      <c r="T2289" s="1" t="s">
        <v>29</v>
      </c>
      <c r="U2289" s="1" t="s">
        <v>30</v>
      </c>
      <c r="V2289" s="1">
        <v>0</v>
      </c>
    </row>
    <row r="2290" spans="2:22" x14ac:dyDescent="0.15">
      <c r="B2290" s="1" t="str">
        <f>"130****5656"</f>
        <v>130****5656</v>
      </c>
      <c r="C2290" s="1" t="s">
        <v>112</v>
      </c>
      <c r="D2290" s="1" t="str">
        <f t="shared" si="229"/>
        <v>89177328</v>
      </c>
      <c r="E2290" s="1" t="s">
        <v>24</v>
      </c>
      <c r="F2290" s="1" t="str">
        <f t="shared" si="230"/>
        <v>0010</v>
      </c>
      <c r="G2290" s="1" t="str">
        <f>""</f>
        <v/>
      </c>
      <c r="H2290" s="1" t="str">
        <f>"0017"</f>
        <v>0017</v>
      </c>
      <c r="I2290" s="1" t="s">
        <v>135</v>
      </c>
      <c r="J2290" s="1" t="str">
        <f>"01043989717"</f>
        <v>01043989717</v>
      </c>
      <c r="K2290" s="1" t="str">
        <f>"2017-03-23 11:58:55"</f>
        <v>2017-03-23 11:58:55</v>
      </c>
      <c r="L2290" s="1" t="str">
        <f>"-"</f>
        <v>-</v>
      </c>
      <c r="M2290" s="2">
        <v>0</v>
      </c>
      <c r="N2290" s="1" t="s">
        <v>33</v>
      </c>
      <c r="O2290" s="1" t="s">
        <v>34</v>
      </c>
      <c r="P2290" s="2">
        <v>5.7870370370370366E-5</v>
      </c>
      <c r="Q2290" s="1" t="str">
        <f>""</f>
        <v/>
      </c>
      <c r="R2290" s="1">
        <v>0</v>
      </c>
      <c r="S2290" s="1" t="str">
        <f>""</f>
        <v/>
      </c>
      <c r="T2290" s="1" t="s">
        <v>29</v>
      </c>
      <c r="U2290" s="1" t="s">
        <v>30</v>
      </c>
      <c r="V2290" s="1">
        <v>0</v>
      </c>
    </row>
    <row r="2291" spans="2:22" x14ac:dyDescent="0.15">
      <c r="B2291" s="1" t="str">
        <f>"153****6451"</f>
        <v>153****6451</v>
      </c>
      <c r="C2291" s="1" t="s">
        <v>23</v>
      </c>
      <c r="D2291" s="1" t="str">
        <f t="shared" si="229"/>
        <v>89177328</v>
      </c>
      <c r="E2291" s="1" t="s">
        <v>24</v>
      </c>
      <c r="F2291" s="1" t="str">
        <f t="shared" si="230"/>
        <v>0010</v>
      </c>
      <c r="G2291" s="1" t="str">
        <f>""</f>
        <v/>
      </c>
      <c r="H2291" s="1" t="str">
        <f>"0018"</f>
        <v>0018</v>
      </c>
      <c r="I2291" s="1" t="s">
        <v>36</v>
      </c>
      <c r="J2291" s="1" t="str">
        <f>"01043989718"</f>
        <v>01043989718</v>
      </c>
      <c r="K2291" s="1" t="str">
        <f>"2017-03-23 11:56:56"</f>
        <v>2017-03-23 11:56:56</v>
      </c>
      <c r="L2291" s="1" t="str">
        <f>"2017-03-23 11:57:08"</f>
        <v>2017-03-23 11:57:08</v>
      </c>
      <c r="M2291" s="2">
        <v>1.4189814814814815E-2</v>
      </c>
      <c r="N2291" s="1" t="s">
        <v>26</v>
      </c>
      <c r="O2291" s="1" t="s">
        <v>34</v>
      </c>
      <c r="P2291" s="2">
        <v>1.4328703703703703E-2</v>
      </c>
      <c r="Q2291" s="1" t="s">
        <v>1632</v>
      </c>
      <c r="R2291" s="1">
        <v>0</v>
      </c>
      <c r="S2291" s="1" t="str">
        <f>""</f>
        <v/>
      </c>
      <c r="T2291" s="1" t="s">
        <v>29</v>
      </c>
      <c r="U2291" s="1" t="s">
        <v>30</v>
      </c>
      <c r="V2291" s="1">
        <v>0</v>
      </c>
    </row>
    <row r="2292" spans="2:22" x14ac:dyDescent="0.15">
      <c r="B2292" s="1" t="str">
        <f>"130****5656"</f>
        <v>130****5656</v>
      </c>
      <c r="C2292" s="1" t="s">
        <v>112</v>
      </c>
      <c r="D2292" s="1" t="str">
        <f t="shared" si="229"/>
        <v>89177328</v>
      </c>
      <c r="E2292" s="1" t="s">
        <v>24</v>
      </c>
      <c r="F2292" s="1" t="str">
        <f t="shared" si="230"/>
        <v>0010</v>
      </c>
      <c r="G2292" s="1" t="str">
        <f>""</f>
        <v/>
      </c>
      <c r="H2292" s="1" t="str">
        <f>"0018"</f>
        <v>0018</v>
      </c>
      <c r="I2292" s="1" t="s">
        <v>36</v>
      </c>
      <c r="J2292" s="1" t="str">
        <f>"01043989718"</f>
        <v>01043989718</v>
      </c>
      <c r="K2292" s="1" t="str">
        <f>"2017-03-23 11:55:09"</f>
        <v>2017-03-23 11:55:09</v>
      </c>
      <c r="L2292" s="1" t="str">
        <f>"-"</f>
        <v>-</v>
      </c>
      <c r="M2292" s="2">
        <v>0</v>
      </c>
      <c r="N2292" s="1" t="s">
        <v>33</v>
      </c>
      <c r="O2292" s="1" t="s">
        <v>34</v>
      </c>
      <c r="P2292" s="2">
        <v>9.2592592592592588E-5</v>
      </c>
      <c r="Q2292" s="1" t="str">
        <f>""</f>
        <v/>
      </c>
      <c r="R2292" s="1">
        <v>0</v>
      </c>
      <c r="S2292" s="1" t="str">
        <f>""</f>
        <v/>
      </c>
      <c r="T2292" s="1" t="s">
        <v>29</v>
      </c>
      <c r="U2292" s="1" t="s">
        <v>30</v>
      </c>
      <c r="V2292" s="1">
        <v>0</v>
      </c>
    </row>
    <row r="2293" spans="2:22" x14ac:dyDescent="0.15">
      <c r="B2293" s="1" t="str">
        <f>"157****4678"</f>
        <v>157****4678</v>
      </c>
      <c r="C2293" s="1" t="s">
        <v>23</v>
      </c>
      <c r="D2293" s="1" t="str">
        <f t="shared" si="229"/>
        <v>89177328</v>
      </c>
      <c r="E2293" s="1" t="s">
        <v>24</v>
      </c>
      <c r="F2293" s="1" t="str">
        <f t="shared" si="230"/>
        <v>0010</v>
      </c>
      <c r="G2293" s="1" t="str">
        <f>""</f>
        <v/>
      </c>
      <c r="H2293" s="1" t="str">
        <f>"0018"</f>
        <v>0018</v>
      </c>
      <c r="I2293" s="1" t="s">
        <v>36</v>
      </c>
      <c r="J2293" s="1" t="str">
        <f>"01043989718"</f>
        <v>01043989718</v>
      </c>
      <c r="K2293" s="1" t="str">
        <f>"2017-03-23 11:54:52"</f>
        <v>2017-03-23 11:54:52</v>
      </c>
      <c r="L2293" s="1" t="str">
        <f>"-"</f>
        <v>-</v>
      </c>
      <c r="M2293" s="2">
        <v>0</v>
      </c>
      <c r="N2293" s="1" t="s">
        <v>33</v>
      </c>
      <c r="O2293" s="1" t="s">
        <v>34</v>
      </c>
      <c r="P2293" s="2">
        <v>1.3888888888888889E-4</v>
      </c>
      <c r="Q2293" s="1" t="str">
        <f>""</f>
        <v/>
      </c>
      <c r="R2293" s="1">
        <v>0</v>
      </c>
      <c r="S2293" s="1" t="str">
        <f>""</f>
        <v/>
      </c>
      <c r="T2293" s="1" t="s">
        <v>29</v>
      </c>
      <c r="U2293" s="1" t="s">
        <v>30</v>
      </c>
      <c r="V2293" s="1">
        <v>0</v>
      </c>
    </row>
    <row r="2294" spans="2:22" x14ac:dyDescent="0.15">
      <c r="B2294" s="1" t="str">
        <f>"130****2251"</f>
        <v>130****2251</v>
      </c>
      <c r="C2294" s="1" t="s">
        <v>23</v>
      </c>
      <c r="D2294" s="1" t="str">
        <f t="shared" si="229"/>
        <v>89177328</v>
      </c>
      <c r="E2294" s="1" t="s">
        <v>24</v>
      </c>
      <c r="F2294" s="1" t="str">
        <f t="shared" si="230"/>
        <v>0010</v>
      </c>
      <c r="G2294" s="1" t="str">
        <f>""</f>
        <v/>
      </c>
      <c r="H2294" s="1" t="str">
        <f>"0034"</f>
        <v>0034</v>
      </c>
      <c r="I2294" s="1" t="s">
        <v>31</v>
      </c>
      <c r="J2294" s="1" t="str">
        <f>"01043977568"</f>
        <v>01043977568</v>
      </c>
      <c r="K2294" s="1" t="str">
        <f>"2017-03-23 11:54:39"</f>
        <v>2017-03-23 11:54:39</v>
      </c>
      <c r="L2294" s="1" t="str">
        <f>"2017-03-23 11:54:54"</f>
        <v>2017-03-23 11:54:54</v>
      </c>
      <c r="M2294" s="2">
        <v>4.409722222222222E-3</v>
      </c>
      <c r="N2294" s="1" t="s">
        <v>26</v>
      </c>
      <c r="O2294" s="1" t="s">
        <v>27</v>
      </c>
      <c r="P2294" s="2">
        <v>4.5833333333333334E-3</v>
      </c>
      <c r="Q2294" s="1" t="s">
        <v>1633</v>
      </c>
      <c r="R2294" s="1">
        <v>0</v>
      </c>
      <c r="S2294" s="1" t="str">
        <f>""</f>
        <v/>
      </c>
      <c r="T2294" s="1" t="s">
        <v>29</v>
      </c>
      <c r="U2294" s="1" t="s">
        <v>30</v>
      </c>
      <c r="V2294" s="1">
        <v>0</v>
      </c>
    </row>
    <row r="2295" spans="2:22" x14ac:dyDescent="0.15">
      <c r="B2295" s="1" t="str">
        <f>"183****4280"</f>
        <v>183****4280</v>
      </c>
      <c r="C2295" s="1" t="s">
        <v>23</v>
      </c>
      <c r="D2295" s="1" t="str">
        <f t="shared" si="229"/>
        <v>89177328</v>
      </c>
      <c r="E2295" s="1" t="s">
        <v>24</v>
      </c>
      <c r="F2295" s="1" t="str">
        <f t="shared" si="230"/>
        <v>0010</v>
      </c>
      <c r="G2295" s="1" t="str">
        <f>""</f>
        <v/>
      </c>
      <c r="H2295" s="1" t="str">
        <f>"0034"</f>
        <v>0034</v>
      </c>
      <c r="I2295" s="1" t="s">
        <v>31</v>
      </c>
      <c r="J2295" s="1" t="str">
        <f>"01043977568"</f>
        <v>01043977568</v>
      </c>
      <c r="K2295" s="1" t="str">
        <f>"2017-03-23 11:54:35"</f>
        <v>2017-03-23 11:54:35</v>
      </c>
      <c r="L2295" s="1" t="str">
        <f>"-"</f>
        <v>-</v>
      </c>
      <c r="M2295" s="2">
        <v>0</v>
      </c>
      <c r="N2295" s="1" t="s">
        <v>33</v>
      </c>
      <c r="O2295" s="1" t="s">
        <v>34</v>
      </c>
      <c r="P2295" s="2">
        <v>4.6296296296296294E-5</v>
      </c>
      <c r="Q2295" s="1" t="str">
        <f>""</f>
        <v/>
      </c>
      <c r="R2295" s="1">
        <v>0</v>
      </c>
      <c r="S2295" s="1" t="str">
        <f>""</f>
        <v/>
      </c>
      <c r="T2295" s="1" t="s">
        <v>29</v>
      </c>
      <c r="U2295" s="1" t="s">
        <v>30</v>
      </c>
      <c r="V2295" s="1">
        <v>0</v>
      </c>
    </row>
    <row r="2296" spans="2:22" x14ac:dyDescent="0.15">
      <c r="B2296" s="1" t="str">
        <f>"177****0206"</f>
        <v>177****0206</v>
      </c>
      <c r="C2296" s="1" t="s">
        <v>23</v>
      </c>
      <c r="D2296" s="1" t="str">
        <f t="shared" si="229"/>
        <v>89177328</v>
      </c>
      <c r="E2296" s="1" t="s">
        <v>24</v>
      </c>
      <c r="F2296" s="1" t="str">
        <f t="shared" si="230"/>
        <v>0010</v>
      </c>
      <c r="G2296" s="1" t="str">
        <f>""</f>
        <v/>
      </c>
      <c r="H2296" s="1" t="str">
        <f>"0034"</f>
        <v>0034</v>
      </c>
      <c r="I2296" s="1" t="s">
        <v>31</v>
      </c>
      <c r="J2296" s="1" t="str">
        <f>"01043977568"</f>
        <v>01043977568</v>
      </c>
      <c r="K2296" s="1" t="str">
        <f>"2017-03-23 11:54:00"</f>
        <v>2017-03-23 11:54:00</v>
      </c>
      <c r="L2296" s="1" t="str">
        <f>"-"</f>
        <v>-</v>
      </c>
      <c r="M2296" s="2">
        <v>0</v>
      </c>
      <c r="N2296" s="1" t="s">
        <v>33</v>
      </c>
      <c r="O2296" s="1" t="s">
        <v>34</v>
      </c>
      <c r="P2296" s="2">
        <v>9.2592592592592588E-5</v>
      </c>
      <c r="Q2296" s="1" t="str">
        <f>""</f>
        <v/>
      </c>
      <c r="R2296" s="1">
        <v>0</v>
      </c>
      <c r="S2296" s="1" t="str">
        <f>""</f>
        <v/>
      </c>
      <c r="T2296" s="1" t="s">
        <v>29</v>
      </c>
      <c r="U2296" s="1" t="s">
        <v>30</v>
      </c>
      <c r="V2296" s="1">
        <v>0</v>
      </c>
    </row>
    <row r="2297" spans="2:22" x14ac:dyDescent="0.15">
      <c r="B2297" s="1" t="str">
        <f>"183****4280"</f>
        <v>183****4280</v>
      </c>
      <c r="C2297" s="1" t="s">
        <v>23</v>
      </c>
      <c r="D2297" s="1" t="str">
        <f t="shared" si="229"/>
        <v>89177328</v>
      </c>
      <c r="E2297" s="1" t="s">
        <v>24</v>
      </c>
      <c r="F2297" s="1" t="str">
        <f t="shared" si="230"/>
        <v>0010</v>
      </c>
      <c r="G2297" s="1" t="str">
        <f>""</f>
        <v/>
      </c>
      <c r="H2297" s="1" t="str">
        <f>"0034"</f>
        <v>0034</v>
      </c>
      <c r="I2297" s="1" t="s">
        <v>31</v>
      </c>
      <c r="J2297" s="1" t="str">
        <f>"01043977568"</f>
        <v>01043977568</v>
      </c>
      <c r="K2297" s="1" t="str">
        <f>"2017-03-23 11:49:35"</f>
        <v>2017-03-23 11:49:35</v>
      </c>
      <c r="L2297" s="1" t="str">
        <f>"-"</f>
        <v>-</v>
      </c>
      <c r="M2297" s="2">
        <v>0</v>
      </c>
      <c r="N2297" s="1" t="s">
        <v>33</v>
      </c>
      <c r="O2297" s="1" t="s">
        <v>34</v>
      </c>
      <c r="P2297" s="2">
        <v>5.7870370370370366E-5</v>
      </c>
      <c r="Q2297" s="1" t="str">
        <f>""</f>
        <v/>
      </c>
      <c r="R2297" s="1">
        <v>0</v>
      </c>
      <c r="S2297" s="1" t="str">
        <f>""</f>
        <v/>
      </c>
      <c r="T2297" s="1" t="s">
        <v>29</v>
      </c>
      <c r="U2297" s="1" t="s">
        <v>30</v>
      </c>
      <c r="V2297" s="1">
        <v>0</v>
      </c>
    </row>
    <row r="2298" spans="2:22" x14ac:dyDescent="0.15">
      <c r="B2298" s="1" t="str">
        <f>"114"</f>
        <v>114</v>
      </c>
      <c r="C2298" s="1" t="s">
        <v>159</v>
      </c>
      <c r="D2298" s="1" t="str">
        <f t="shared" si="229"/>
        <v>89177328</v>
      </c>
      <c r="E2298" s="1" t="s">
        <v>24</v>
      </c>
      <c r="F2298" s="1" t="str">
        <f t="shared" si="230"/>
        <v>0010</v>
      </c>
      <c r="G2298" s="1" t="str">
        <f>""</f>
        <v/>
      </c>
      <c r="H2298" s="1" t="str">
        <f>"0034"</f>
        <v>0034</v>
      </c>
      <c r="I2298" s="1" t="s">
        <v>31</v>
      </c>
      <c r="J2298" s="1" t="str">
        <f>"01043977568"</f>
        <v>01043977568</v>
      </c>
      <c r="K2298" s="1" t="str">
        <f>"2017-03-23 11:49:22"</f>
        <v>2017-03-23 11:49:22</v>
      </c>
      <c r="L2298" s="1" t="str">
        <f>"-"</f>
        <v>-</v>
      </c>
      <c r="M2298" s="2">
        <v>0</v>
      </c>
      <c r="N2298" s="1" t="s">
        <v>33</v>
      </c>
      <c r="O2298" s="1" t="s">
        <v>34</v>
      </c>
      <c r="P2298" s="2">
        <v>8.1018518518518516E-5</v>
      </c>
      <c r="Q2298" s="1" t="str">
        <f>""</f>
        <v/>
      </c>
      <c r="R2298" s="1">
        <v>0</v>
      </c>
      <c r="S2298" s="1" t="str">
        <f>""</f>
        <v/>
      </c>
      <c r="T2298" s="1" t="s">
        <v>29</v>
      </c>
      <c r="U2298" s="1" t="s">
        <v>30</v>
      </c>
      <c r="V2298" s="1">
        <v>0</v>
      </c>
    </row>
    <row r="2299" spans="2:22" x14ac:dyDescent="0.15">
      <c r="B2299" s="1" t="str">
        <f>"136****6958"</f>
        <v>136****6958</v>
      </c>
      <c r="C2299" s="1" t="s">
        <v>23</v>
      </c>
      <c r="D2299" s="1" t="str">
        <f t="shared" si="229"/>
        <v>89177328</v>
      </c>
      <c r="E2299" s="1" t="s">
        <v>24</v>
      </c>
      <c r="F2299" s="1" t="str">
        <f t="shared" si="230"/>
        <v>0010</v>
      </c>
      <c r="G2299" s="1" t="str">
        <f>""</f>
        <v/>
      </c>
      <c r="H2299" s="1" t="str">
        <f>"0035"</f>
        <v>0035</v>
      </c>
      <c r="I2299" s="1" t="s">
        <v>25</v>
      </c>
      <c r="J2299" s="1" t="str">
        <f>"01043977569"</f>
        <v>01043977569</v>
      </c>
      <c r="K2299" s="1" t="str">
        <f>"2017-03-23 11:46:46"</f>
        <v>2017-03-23 11:46:46</v>
      </c>
      <c r="L2299" s="1" t="str">
        <f>"2017-03-23 11:46:55"</f>
        <v>2017-03-23 11:46:55</v>
      </c>
      <c r="M2299" s="2">
        <v>5.8680555555555543E-3</v>
      </c>
      <c r="N2299" s="1" t="s">
        <v>26</v>
      </c>
      <c r="O2299" s="1" t="s">
        <v>34</v>
      </c>
      <c r="P2299" s="2">
        <v>5.9722222222222225E-3</v>
      </c>
      <c r="Q2299" s="1" t="s">
        <v>1634</v>
      </c>
      <c r="R2299" s="1">
        <v>0</v>
      </c>
      <c r="S2299" s="1" t="str">
        <f>""</f>
        <v/>
      </c>
      <c r="T2299" s="1" t="s">
        <v>29</v>
      </c>
      <c r="U2299" s="1" t="s">
        <v>30</v>
      </c>
      <c r="V2299" s="1">
        <v>0</v>
      </c>
    </row>
    <row r="2300" spans="2:22" x14ac:dyDescent="0.15">
      <c r="B2300" s="1" t="str">
        <f>"156****1026"</f>
        <v>156****1026</v>
      </c>
      <c r="C2300" s="1" t="s">
        <v>283</v>
      </c>
      <c r="D2300" s="1" t="str">
        <f>"4000108333"</f>
        <v>4000108333</v>
      </c>
      <c r="E2300" s="1" t="s">
        <v>53</v>
      </c>
      <c r="F2300" s="1" t="str">
        <f>"0000"</f>
        <v>0000</v>
      </c>
      <c r="G2300" s="1" t="str">
        <f>""</f>
        <v/>
      </c>
      <c r="H2300" s="1" t="str">
        <f>"1012"</f>
        <v>1012</v>
      </c>
      <c r="I2300" s="1" t="s">
        <v>54</v>
      </c>
      <c r="J2300" s="1" t="str">
        <f>"13611040764"</f>
        <v>13611040764</v>
      </c>
      <c r="K2300" s="1" t="str">
        <f>"2017-03-23 11:42:44"</f>
        <v>2017-03-23 11:42:44</v>
      </c>
      <c r="L2300" s="1" t="str">
        <f>"2017-03-23 11:43:32"</f>
        <v>2017-03-23 11:43:32</v>
      </c>
      <c r="M2300" s="2">
        <v>1.4004629629629629E-3</v>
      </c>
      <c r="N2300" s="1" t="s">
        <v>26</v>
      </c>
      <c r="O2300" s="1" t="s">
        <v>34</v>
      </c>
      <c r="P2300" s="2">
        <v>1.9560185185185184E-3</v>
      </c>
      <c r="Q2300" s="1" t="s">
        <v>1635</v>
      </c>
      <c r="R2300" s="1">
        <v>0.36</v>
      </c>
      <c r="S2300" s="1" t="str">
        <f>""</f>
        <v/>
      </c>
      <c r="T2300" s="1" t="s">
        <v>29</v>
      </c>
      <c r="U2300" s="1" t="s">
        <v>30</v>
      </c>
      <c r="V2300" s="1">
        <v>0</v>
      </c>
    </row>
    <row r="2301" spans="2:22" x14ac:dyDescent="0.15">
      <c r="B2301" s="1" t="str">
        <f>"186****0090"</f>
        <v>186****0090</v>
      </c>
      <c r="C2301" s="1" t="s">
        <v>92</v>
      </c>
      <c r="D2301" s="1" t="str">
        <f>"4000108333"</f>
        <v>4000108333</v>
      </c>
      <c r="E2301" s="1" t="s">
        <v>53</v>
      </c>
      <c r="F2301" s="1" t="str">
        <f>"0000"</f>
        <v>0000</v>
      </c>
      <c r="G2301" s="1" t="str">
        <f>""</f>
        <v/>
      </c>
      <c r="H2301" s="1" t="str">
        <f>"1010"</f>
        <v>1010</v>
      </c>
      <c r="I2301" s="1" t="s">
        <v>148</v>
      </c>
      <c r="J2301" s="1" t="str">
        <f>"13718091869"</f>
        <v>13718091869</v>
      </c>
      <c r="K2301" s="1" t="str">
        <f>"2017-03-23 11:36:23"</f>
        <v>2017-03-23 11:36:23</v>
      </c>
      <c r="L2301" s="1" t="str">
        <f>"2017-03-23 11:37:29"</f>
        <v>2017-03-23 11:37:29</v>
      </c>
      <c r="M2301" s="2">
        <v>1.1331018518518518E-2</v>
      </c>
      <c r="N2301" s="1" t="s">
        <v>26</v>
      </c>
      <c r="O2301" s="1" t="s">
        <v>27</v>
      </c>
      <c r="P2301" s="2">
        <v>1.2094907407407408E-2</v>
      </c>
      <c r="Q2301" s="1" t="s">
        <v>1636</v>
      </c>
      <c r="R2301" s="1">
        <v>2.16</v>
      </c>
      <c r="S2301" s="1" t="str">
        <f>""</f>
        <v/>
      </c>
      <c r="T2301" s="1" t="s">
        <v>29</v>
      </c>
      <c r="U2301" s="1" t="s">
        <v>30</v>
      </c>
      <c r="V2301" s="1">
        <v>0</v>
      </c>
    </row>
    <row r="2302" spans="2:22" x14ac:dyDescent="0.15">
      <c r="B2302" s="1" t="str">
        <f>"137****3285"</f>
        <v>137****3285</v>
      </c>
      <c r="C2302" s="1" t="s">
        <v>23</v>
      </c>
      <c r="D2302" s="1" t="str">
        <f t="shared" ref="D2302:D2309" si="231">"89177328"</f>
        <v>89177328</v>
      </c>
      <c r="E2302" s="1" t="s">
        <v>24</v>
      </c>
      <c r="F2302" s="1" t="str">
        <f t="shared" ref="F2302:F2309" si="232">"0010"</f>
        <v>0010</v>
      </c>
      <c r="G2302" s="1" t="str">
        <f>""</f>
        <v/>
      </c>
      <c r="H2302" s="1" t="str">
        <f>"0017"</f>
        <v>0017</v>
      </c>
      <c r="I2302" s="1" t="s">
        <v>135</v>
      </c>
      <c r="J2302" s="1" t="str">
        <f>"01043989717"</f>
        <v>01043989717</v>
      </c>
      <c r="K2302" s="1" t="str">
        <f>"2017-03-23 11:31:23"</f>
        <v>2017-03-23 11:31:23</v>
      </c>
      <c r="L2302" s="1" t="str">
        <f>"-"</f>
        <v>-</v>
      </c>
      <c r="M2302" s="2">
        <v>0</v>
      </c>
      <c r="N2302" s="1" t="s">
        <v>33</v>
      </c>
      <c r="O2302" s="1" t="s">
        <v>34</v>
      </c>
      <c r="P2302" s="2">
        <v>2.3148148148148147E-5</v>
      </c>
      <c r="Q2302" s="1" t="str">
        <f>""</f>
        <v/>
      </c>
      <c r="R2302" s="1">
        <v>0</v>
      </c>
      <c r="S2302" s="1" t="str">
        <f>""</f>
        <v/>
      </c>
      <c r="T2302" s="1" t="s">
        <v>29</v>
      </c>
      <c r="U2302" s="1" t="s">
        <v>30</v>
      </c>
      <c r="V2302" s="1">
        <v>0</v>
      </c>
    </row>
    <row r="2303" spans="2:22" x14ac:dyDescent="0.15">
      <c r="B2303" s="1" t="str">
        <f>"177****8136"</f>
        <v>177****8136</v>
      </c>
      <c r="C2303" s="1" t="s">
        <v>23</v>
      </c>
      <c r="D2303" s="1" t="str">
        <f t="shared" si="231"/>
        <v>89177328</v>
      </c>
      <c r="E2303" s="1" t="s">
        <v>24</v>
      </c>
      <c r="F2303" s="1" t="str">
        <f t="shared" si="232"/>
        <v>0010</v>
      </c>
      <c r="G2303" s="1" t="str">
        <f>""</f>
        <v/>
      </c>
      <c r="H2303" s="1" t="str">
        <f>"0035"</f>
        <v>0035</v>
      </c>
      <c r="I2303" s="1" t="s">
        <v>25</v>
      </c>
      <c r="J2303" s="1" t="str">
        <f>"01043977569"</f>
        <v>01043977569</v>
      </c>
      <c r="K2303" s="1" t="str">
        <f>"2017-03-23 11:20:13"</f>
        <v>2017-03-23 11:20:13</v>
      </c>
      <c r="L2303" s="1" t="str">
        <f>"2017-03-23 11:20:21"</f>
        <v>2017-03-23 11:20:21</v>
      </c>
      <c r="M2303" s="2">
        <v>1.0833333333333334E-2</v>
      </c>
      <c r="N2303" s="1" t="s">
        <v>26</v>
      </c>
      <c r="O2303" s="1" t="s">
        <v>27</v>
      </c>
      <c r="P2303" s="2">
        <v>1.0925925925925924E-2</v>
      </c>
      <c r="Q2303" s="1" t="s">
        <v>1637</v>
      </c>
      <c r="R2303" s="1">
        <v>0</v>
      </c>
      <c r="S2303" s="1" t="str">
        <f>""</f>
        <v/>
      </c>
      <c r="T2303" s="1" t="s">
        <v>29</v>
      </c>
      <c r="U2303" s="1" t="s">
        <v>30</v>
      </c>
      <c r="V2303" s="1">
        <v>0</v>
      </c>
    </row>
    <row r="2304" spans="2:22" x14ac:dyDescent="0.15">
      <c r="B2304" s="1" t="str">
        <f>"150****3633"</f>
        <v>150****3633</v>
      </c>
      <c r="C2304" s="1" t="s">
        <v>51</v>
      </c>
      <c r="D2304" s="1" t="str">
        <f t="shared" si="231"/>
        <v>89177328</v>
      </c>
      <c r="E2304" s="1" t="s">
        <v>24</v>
      </c>
      <c r="F2304" s="1" t="str">
        <f t="shared" si="232"/>
        <v>0010</v>
      </c>
      <c r="G2304" s="1" t="str">
        <f>""</f>
        <v/>
      </c>
      <c r="H2304" s="1" t="str">
        <f>"0031"</f>
        <v>0031</v>
      </c>
      <c r="I2304" s="1" t="s">
        <v>95</v>
      </c>
      <c r="J2304" s="1" t="str">
        <f>"01043977565"</f>
        <v>01043977565</v>
      </c>
      <c r="K2304" s="1" t="str">
        <f>"2017-03-23 11:17:57"</f>
        <v>2017-03-23 11:17:57</v>
      </c>
      <c r="L2304" s="1" t="str">
        <f>"2017-03-23 11:18:04"</f>
        <v>2017-03-23 11:18:04</v>
      </c>
      <c r="M2304" s="2">
        <v>4.9074074074074072E-3</v>
      </c>
      <c r="N2304" s="1" t="s">
        <v>26</v>
      </c>
      <c r="O2304" s="1" t="s">
        <v>27</v>
      </c>
      <c r="P2304" s="2">
        <v>4.9884259259259265E-3</v>
      </c>
      <c r="Q2304" s="1" t="s">
        <v>1638</v>
      </c>
      <c r="R2304" s="1">
        <v>0</v>
      </c>
      <c r="S2304" s="1" t="str">
        <f>""</f>
        <v/>
      </c>
      <c r="T2304" s="1" t="s">
        <v>29</v>
      </c>
      <c r="U2304" s="1" t="s">
        <v>30</v>
      </c>
      <c r="V2304" s="1">
        <v>0</v>
      </c>
    </row>
    <row r="2305" spans="2:22" x14ac:dyDescent="0.15">
      <c r="B2305" s="1" t="str">
        <f>"159****3328"</f>
        <v>159****3328</v>
      </c>
      <c r="C2305" s="1" t="s">
        <v>23</v>
      </c>
      <c r="D2305" s="1" t="str">
        <f t="shared" si="231"/>
        <v>89177328</v>
      </c>
      <c r="E2305" s="1" t="s">
        <v>24</v>
      </c>
      <c r="F2305" s="1" t="str">
        <f t="shared" si="232"/>
        <v>0010</v>
      </c>
      <c r="G2305" s="1" t="str">
        <f>""</f>
        <v/>
      </c>
      <c r="H2305" s="1" t="str">
        <f>"0032"</f>
        <v>0032</v>
      </c>
      <c r="I2305" s="1" t="s">
        <v>119</v>
      </c>
      <c r="J2305" s="1" t="str">
        <f>"01043977566"</f>
        <v>01043977566</v>
      </c>
      <c r="K2305" s="1" t="str">
        <f>"2017-03-23 11:14:38"</f>
        <v>2017-03-23 11:14:38</v>
      </c>
      <c r="L2305" s="1" t="str">
        <f>"-"</f>
        <v>-</v>
      </c>
      <c r="M2305" s="2">
        <v>0</v>
      </c>
      <c r="N2305" s="1" t="s">
        <v>33</v>
      </c>
      <c r="O2305" s="1" t="s">
        <v>34</v>
      </c>
      <c r="P2305" s="2">
        <v>2.3148148148148147E-5</v>
      </c>
      <c r="Q2305" s="1" t="str">
        <f>""</f>
        <v/>
      </c>
      <c r="R2305" s="1">
        <v>0</v>
      </c>
      <c r="S2305" s="1" t="str">
        <f>""</f>
        <v/>
      </c>
      <c r="T2305" s="1" t="s">
        <v>29</v>
      </c>
      <c r="U2305" s="1" t="s">
        <v>30</v>
      </c>
      <c r="V2305" s="1">
        <v>0</v>
      </c>
    </row>
    <row r="2306" spans="2:22" x14ac:dyDescent="0.15">
      <c r="B2306" s="1" t="str">
        <f>"189****7698"</f>
        <v>189****7698</v>
      </c>
      <c r="C2306" s="1" t="s">
        <v>23</v>
      </c>
      <c r="D2306" s="1" t="str">
        <f t="shared" si="231"/>
        <v>89177328</v>
      </c>
      <c r="E2306" s="1" t="s">
        <v>24</v>
      </c>
      <c r="F2306" s="1" t="str">
        <f t="shared" si="232"/>
        <v>0010</v>
      </c>
      <c r="G2306" s="1" t="str">
        <f>""</f>
        <v/>
      </c>
      <c r="H2306" s="1" t="str">
        <f>"0031"</f>
        <v>0031</v>
      </c>
      <c r="I2306" s="1" t="s">
        <v>95</v>
      </c>
      <c r="J2306" s="1" t="str">
        <f>"01043977565"</f>
        <v>01043977565</v>
      </c>
      <c r="K2306" s="1" t="str">
        <f>"2017-03-23 11:08:27"</f>
        <v>2017-03-23 11:08:27</v>
      </c>
      <c r="L2306" s="1" t="str">
        <f>"2017-03-23 11:08:35"</f>
        <v>2017-03-23 11:08:35</v>
      </c>
      <c r="M2306" s="2">
        <v>4.3518518518518515E-3</v>
      </c>
      <c r="N2306" s="1" t="s">
        <v>26</v>
      </c>
      <c r="O2306" s="1" t="s">
        <v>27</v>
      </c>
      <c r="P2306" s="2">
        <v>4.4444444444444444E-3</v>
      </c>
      <c r="Q2306" s="1" t="s">
        <v>1639</v>
      </c>
      <c r="R2306" s="1">
        <v>0</v>
      </c>
      <c r="S2306" s="1" t="str">
        <f>""</f>
        <v/>
      </c>
      <c r="T2306" s="1" t="s">
        <v>29</v>
      </c>
      <c r="U2306" s="1" t="s">
        <v>30</v>
      </c>
      <c r="V2306" s="1">
        <v>0</v>
      </c>
    </row>
    <row r="2307" spans="2:22" x14ac:dyDescent="0.15">
      <c r="B2307" s="1" t="str">
        <f>"135****9799"</f>
        <v>135****9799</v>
      </c>
      <c r="C2307" s="1" t="s">
        <v>23</v>
      </c>
      <c r="D2307" s="1" t="str">
        <f t="shared" si="231"/>
        <v>89177328</v>
      </c>
      <c r="E2307" s="1" t="s">
        <v>24</v>
      </c>
      <c r="F2307" s="1" t="str">
        <f t="shared" si="232"/>
        <v>0010</v>
      </c>
      <c r="G2307" s="1" t="str">
        <f>""</f>
        <v/>
      </c>
      <c r="H2307" s="1" t="str">
        <f>"0031"</f>
        <v>0031</v>
      </c>
      <c r="I2307" s="1" t="s">
        <v>95</v>
      </c>
      <c r="J2307" s="1" t="str">
        <f>"01043977565"</f>
        <v>01043977565</v>
      </c>
      <c r="K2307" s="1" t="str">
        <f>"2017-03-23 11:01:56"</f>
        <v>2017-03-23 11:01:56</v>
      </c>
      <c r="L2307" s="1" t="str">
        <f>"2017-03-23 11:02:03"</f>
        <v>2017-03-23 11:02:03</v>
      </c>
      <c r="M2307" s="2">
        <v>3.5532407407407405E-3</v>
      </c>
      <c r="N2307" s="1" t="s">
        <v>26</v>
      </c>
      <c r="O2307" s="1" t="s">
        <v>34</v>
      </c>
      <c r="P2307" s="2">
        <v>3.6342592592592594E-3</v>
      </c>
      <c r="Q2307" s="1" t="s">
        <v>1640</v>
      </c>
      <c r="R2307" s="1">
        <v>0</v>
      </c>
      <c r="S2307" s="1" t="str">
        <f>""</f>
        <v/>
      </c>
      <c r="T2307" s="1" t="s">
        <v>29</v>
      </c>
      <c r="U2307" s="1" t="s">
        <v>30</v>
      </c>
      <c r="V2307" s="1">
        <v>0</v>
      </c>
    </row>
    <row r="2308" spans="2:22" x14ac:dyDescent="0.15">
      <c r="B2308" s="1" t="str">
        <f>"138****1166"</f>
        <v>138****1166</v>
      </c>
      <c r="C2308" s="1" t="s">
        <v>78</v>
      </c>
      <c r="D2308" s="1" t="str">
        <f t="shared" si="231"/>
        <v>89177328</v>
      </c>
      <c r="E2308" s="1" t="s">
        <v>24</v>
      </c>
      <c r="F2308" s="1" t="str">
        <f t="shared" si="232"/>
        <v>0010</v>
      </c>
      <c r="G2308" s="1" t="str">
        <f>""</f>
        <v/>
      </c>
      <c r="H2308" s="1" t="str">
        <f>"0032"</f>
        <v>0032</v>
      </c>
      <c r="I2308" s="1" t="s">
        <v>119</v>
      </c>
      <c r="J2308" s="1" t="str">
        <f>"01043977566"</f>
        <v>01043977566</v>
      </c>
      <c r="K2308" s="1" t="str">
        <f>"2017-03-23 10:54:51"</f>
        <v>2017-03-23 10:54:51</v>
      </c>
      <c r="L2308" s="1" t="str">
        <f>"2017-03-23 10:55:01"</f>
        <v>2017-03-23 10:55:01</v>
      </c>
      <c r="M2308" s="2">
        <v>9.9537037037037042E-4</v>
      </c>
      <c r="N2308" s="1" t="s">
        <v>26</v>
      </c>
      <c r="O2308" s="1" t="s">
        <v>34</v>
      </c>
      <c r="P2308" s="2">
        <v>1.1111111111111111E-3</v>
      </c>
      <c r="Q2308" s="1" t="s">
        <v>1641</v>
      </c>
      <c r="R2308" s="1">
        <v>0</v>
      </c>
      <c r="S2308" s="1" t="str">
        <f>""</f>
        <v/>
      </c>
      <c r="T2308" s="1" t="s">
        <v>29</v>
      </c>
      <c r="U2308" s="1" t="s">
        <v>30</v>
      </c>
      <c r="V2308" s="1">
        <v>0</v>
      </c>
    </row>
    <row r="2309" spans="2:22" x14ac:dyDescent="0.15">
      <c r="B2309" s="1" t="str">
        <f>"185****1268"</f>
        <v>185****1268</v>
      </c>
      <c r="C2309" s="1" t="s">
        <v>23</v>
      </c>
      <c r="D2309" s="1" t="str">
        <f t="shared" si="231"/>
        <v>89177328</v>
      </c>
      <c r="E2309" s="1" t="s">
        <v>24</v>
      </c>
      <c r="F2309" s="1" t="str">
        <f t="shared" si="232"/>
        <v>0010</v>
      </c>
      <c r="G2309" s="1" t="str">
        <f>""</f>
        <v/>
      </c>
      <c r="H2309" s="1" t="str">
        <f>"0031"</f>
        <v>0031</v>
      </c>
      <c r="I2309" s="1" t="s">
        <v>95</v>
      </c>
      <c r="J2309" s="1" t="str">
        <f>"01043977565"</f>
        <v>01043977565</v>
      </c>
      <c r="K2309" s="1" t="str">
        <f>"2017-03-23 10:52:10"</f>
        <v>2017-03-23 10:52:10</v>
      </c>
      <c r="L2309" s="1" t="str">
        <f>"2017-03-23 10:52:16"</f>
        <v>2017-03-23 10:52:16</v>
      </c>
      <c r="M2309" s="2">
        <v>6.3425925925925915E-3</v>
      </c>
      <c r="N2309" s="1" t="s">
        <v>26</v>
      </c>
      <c r="O2309" s="1" t="s">
        <v>27</v>
      </c>
      <c r="P2309" s="2">
        <v>6.4120370370370364E-3</v>
      </c>
      <c r="Q2309" s="1" t="s">
        <v>1642</v>
      </c>
      <c r="R2309" s="1">
        <v>0</v>
      </c>
      <c r="S2309" s="1" t="str">
        <f>""</f>
        <v/>
      </c>
      <c r="T2309" s="1" t="s">
        <v>29</v>
      </c>
      <c r="U2309" s="1" t="s">
        <v>30</v>
      </c>
      <c r="V2309" s="1">
        <v>0</v>
      </c>
    </row>
    <row r="2310" spans="2:22" x14ac:dyDescent="0.15">
      <c r="B2310" s="1" t="str">
        <f>"010****3545"</f>
        <v>010****3545</v>
      </c>
      <c r="C2310" s="1" t="s">
        <v>23</v>
      </c>
      <c r="D2310" s="1" t="str">
        <f>"4000108333"</f>
        <v>4000108333</v>
      </c>
      <c r="E2310" s="1" t="s">
        <v>53</v>
      </c>
      <c r="F2310" s="1" t="str">
        <f>"0000"</f>
        <v>0000</v>
      </c>
      <c r="G2310" s="1" t="str">
        <f>""</f>
        <v/>
      </c>
      <c r="H2310" s="1" t="str">
        <f>"1010"</f>
        <v>1010</v>
      </c>
      <c r="I2310" s="1" t="s">
        <v>148</v>
      </c>
      <c r="J2310" s="1" t="str">
        <f>"13718091869"</f>
        <v>13718091869</v>
      </c>
      <c r="K2310" s="1" t="str">
        <f>"2017-03-23 10:50:06"</f>
        <v>2017-03-23 10:50:06</v>
      </c>
      <c r="L2310" s="1" t="str">
        <f>"2017-03-23 10:50:44"</f>
        <v>2017-03-23 10:50:44</v>
      </c>
      <c r="M2310" s="2">
        <v>7.2569444444444443E-3</v>
      </c>
      <c r="N2310" s="1" t="s">
        <v>26</v>
      </c>
      <c r="O2310" s="1" t="s">
        <v>27</v>
      </c>
      <c r="P2310" s="2">
        <v>7.69675925925926E-3</v>
      </c>
      <c r="Q2310" s="1" t="s">
        <v>1643</v>
      </c>
      <c r="R2310" s="1">
        <v>1.44</v>
      </c>
      <c r="S2310" s="1" t="str">
        <f>""</f>
        <v/>
      </c>
      <c r="T2310" s="1" t="s">
        <v>29</v>
      </c>
      <c r="U2310" s="1" t="s">
        <v>30</v>
      </c>
      <c r="V2310" s="1">
        <v>0</v>
      </c>
    </row>
    <row r="2311" spans="2:22" x14ac:dyDescent="0.15">
      <c r="B2311" s="1" t="str">
        <f>"138****2816"</f>
        <v>138****2816</v>
      </c>
      <c r="C2311" s="1" t="s">
        <v>118</v>
      </c>
      <c r="D2311" s="1" t="str">
        <f>"89177328"</f>
        <v>89177328</v>
      </c>
      <c r="E2311" s="1" t="s">
        <v>24</v>
      </c>
      <c r="F2311" s="1" t="str">
        <f>"0010"</f>
        <v>0010</v>
      </c>
      <c r="G2311" s="1" t="str">
        <f>""</f>
        <v/>
      </c>
      <c r="H2311" s="1" t="str">
        <f>"0035"</f>
        <v>0035</v>
      </c>
      <c r="I2311" s="1" t="s">
        <v>25</v>
      </c>
      <c r="J2311" s="1" t="str">
        <f>"01043977569"</f>
        <v>01043977569</v>
      </c>
      <c r="K2311" s="1" t="str">
        <f>"2017-03-23 10:35:46"</f>
        <v>2017-03-23 10:35:46</v>
      </c>
      <c r="L2311" s="1" t="str">
        <f>"2017-03-23 10:35:55"</f>
        <v>2017-03-23 10:35:55</v>
      </c>
      <c r="M2311" s="2">
        <v>5.4861111111111117E-3</v>
      </c>
      <c r="N2311" s="1" t="s">
        <v>26</v>
      </c>
      <c r="O2311" s="1" t="s">
        <v>27</v>
      </c>
      <c r="P2311" s="2">
        <v>5.5902777777777782E-3</v>
      </c>
      <c r="Q2311" s="1" t="s">
        <v>1644</v>
      </c>
      <c r="R2311" s="1">
        <v>0</v>
      </c>
      <c r="S2311" s="1" t="str">
        <f>""</f>
        <v/>
      </c>
      <c r="T2311" s="1" t="s">
        <v>29</v>
      </c>
      <c r="U2311" s="1" t="s">
        <v>30</v>
      </c>
      <c r="V2311" s="1">
        <v>0</v>
      </c>
    </row>
    <row r="2312" spans="2:22" x14ac:dyDescent="0.15">
      <c r="B2312" s="1" t="str">
        <f>"132****1239"</f>
        <v>132****1239</v>
      </c>
      <c r="C2312" s="1" t="s">
        <v>170</v>
      </c>
      <c r="D2312" s="1" t="str">
        <f>"89177328"</f>
        <v>89177328</v>
      </c>
      <c r="E2312" s="1" t="s">
        <v>24</v>
      </c>
      <c r="F2312" s="1" t="str">
        <f>"0010"</f>
        <v>0010</v>
      </c>
      <c r="G2312" s="1" t="str">
        <f>""</f>
        <v/>
      </c>
      <c r="H2312" s="1" t="str">
        <f>"0031"</f>
        <v>0031</v>
      </c>
      <c r="I2312" s="1" t="s">
        <v>95</v>
      </c>
      <c r="J2312" s="1" t="str">
        <f>"01043977565"</f>
        <v>01043977565</v>
      </c>
      <c r="K2312" s="1" t="str">
        <f>"2017-03-23 10:30:42"</f>
        <v>2017-03-23 10:30:42</v>
      </c>
      <c r="L2312" s="1" t="str">
        <f>"2017-03-23 10:30:50"</f>
        <v>2017-03-23 10:30:50</v>
      </c>
      <c r="M2312" s="2">
        <v>3.7847222222222223E-3</v>
      </c>
      <c r="N2312" s="1" t="s">
        <v>26</v>
      </c>
      <c r="O2312" s="1" t="s">
        <v>34</v>
      </c>
      <c r="P2312" s="2">
        <v>3.8773148148148143E-3</v>
      </c>
      <c r="Q2312" s="1" t="s">
        <v>1645</v>
      </c>
      <c r="R2312" s="1">
        <v>0</v>
      </c>
      <c r="S2312" s="1" t="str">
        <f>""</f>
        <v/>
      </c>
      <c r="T2312" s="1" t="s">
        <v>29</v>
      </c>
      <c r="U2312" s="1" t="s">
        <v>30</v>
      </c>
      <c r="V2312" s="1">
        <v>0</v>
      </c>
    </row>
    <row r="2313" spans="2:22" x14ac:dyDescent="0.15">
      <c r="B2313" s="1" t="str">
        <f>"138****2887"</f>
        <v>138****2887</v>
      </c>
      <c r="C2313" s="1" t="s">
        <v>23</v>
      </c>
      <c r="D2313" s="1" t="str">
        <f>"89177328"</f>
        <v>89177328</v>
      </c>
      <c r="E2313" s="1" t="s">
        <v>24</v>
      </c>
      <c r="F2313" s="1" t="str">
        <f>"0010"</f>
        <v>0010</v>
      </c>
      <c r="G2313" s="1" t="str">
        <f>""</f>
        <v/>
      </c>
      <c r="H2313" s="1" t="str">
        <f>"0032"</f>
        <v>0032</v>
      </c>
      <c r="I2313" s="1" t="s">
        <v>119</v>
      </c>
      <c r="J2313" s="1" t="str">
        <f>"01043977566"</f>
        <v>01043977566</v>
      </c>
      <c r="K2313" s="1" t="str">
        <f>"2017-03-23 10:23:45"</f>
        <v>2017-03-23 10:23:45</v>
      </c>
      <c r="L2313" s="1" t="str">
        <f>"2017-03-23 10:23:56"</f>
        <v>2017-03-23 10:23:56</v>
      </c>
      <c r="M2313" s="2">
        <v>1.5740740740740741E-3</v>
      </c>
      <c r="N2313" s="1" t="s">
        <v>26</v>
      </c>
      <c r="O2313" s="1" t="s">
        <v>34</v>
      </c>
      <c r="P2313" s="2">
        <v>1.7013888888888892E-3</v>
      </c>
      <c r="Q2313" s="1" t="s">
        <v>1646</v>
      </c>
      <c r="R2313" s="1">
        <v>0</v>
      </c>
      <c r="S2313" s="1" t="str">
        <f>""</f>
        <v/>
      </c>
      <c r="T2313" s="1" t="s">
        <v>29</v>
      </c>
      <c r="U2313" s="1" t="s">
        <v>30</v>
      </c>
      <c r="V2313" s="1">
        <v>0</v>
      </c>
    </row>
    <row r="2314" spans="2:22" x14ac:dyDescent="0.15">
      <c r="B2314" s="1" t="str">
        <f>"180****2467"</f>
        <v>180****2467</v>
      </c>
      <c r="C2314" s="1" t="s">
        <v>51</v>
      </c>
      <c r="D2314" s="1" t="str">
        <f>"89177328"</f>
        <v>89177328</v>
      </c>
      <c r="E2314" s="1" t="s">
        <v>24</v>
      </c>
      <c r="F2314" s="1" t="str">
        <f>"0010"</f>
        <v>0010</v>
      </c>
      <c r="G2314" s="1" t="str">
        <f>""</f>
        <v/>
      </c>
      <c r="H2314" s="1" t="str">
        <f>"0032"</f>
        <v>0032</v>
      </c>
      <c r="I2314" s="1" t="s">
        <v>119</v>
      </c>
      <c r="J2314" s="1" t="str">
        <f>"01043977566"</f>
        <v>01043977566</v>
      </c>
      <c r="K2314" s="1" t="str">
        <f>"2017-03-23 10:19:40"</f>
        <v>2017-03-23 10:19:40</v>
      </c>
      <c r="L2314" s="1" t="str">
        <f>"2017-03-23 10:19:56"</f>
        <v>2017-03-23 10:19:56</v>
      </c>
      <c r="M2314" s="2">
        <v>1.712962962962963E-3</v>
      </c>
      <c r="N2314" s="1" t="s">
        <v>26</v>
      </c>
      <c r="O2314" s="1" t="s">
        <v>34</v>
      </c>
      <c r="P2314" s="2">
        <v>1.8981481481481482E-3</v>
      </c>
      <c r="Q2314" s="1" t="s">
        <v>1647</v>
      </c>
      <c r="R2314" s="1">
        <v>0</v>
      </c>
      <c r="S2314" s="1" t="str">
        <f>""</f>
        <v/>
      </c>
      <c r="T2314" s="1" t="s">
        <v>29</v>
      </c>
      <c r="U2314" s="1" t="s">
        <v>30</v>
      </c>
      <c r="V2314" s="1">
        <v>0</v>
      </c>
    </row>
    <row r="2315" spans="2:22" x14ac:dyDescent="0.15">
      <c r="B2315" s="1" t="str">
        <f>"0316018315576895"</f>
        <v>0316018315576895</v>
      </c>
      <c r="C2315" s="1" t="s">
        <v>51</v>
      </c>
      <c r="D2315" s="1" t="str">
        <f>"89177328"</f>
        <v>89177328</v>
      </c>
      <c r="E2315" s="1" t="s">
        <v>24</v>
      </c>
      <c r="F2315" s="1" t="str">
        <f>"0010"</f>
        <v>0010</v>
      </c>
      <c r="G2315" s="1" t="str">
        <f>""</f>
        <v/>
      </c>
      <c r="H2315" s="1" t="str">
        <f>"0034"</f>
        <v>0034</v>
      </c>
      <c r="I2315" s="1" t="s">
        <v>31</v>
      </c>
      <c r="J2315" s="1" t="str">
        <f>"01043977568"</f>
        <v>01043977568</v>
      </c>
      <c r="K2315" s="1" t="str">
        <f>"2017-03-23 10:02:27"</f>
        <v>2017-03-23 10:02:27</v>
      </c>
      <c r="L2315" s="1" t="str">
        <f>"2017-03-23 10:02:37"</f>
        <v>2017-03-23 10:02:37</v>
      </c>
      <c r="M2315" s="2">
        <v>7.291666666666667E-4</v>
      </c>
      <c r="N2315" s="1" t="s">
        <v>26</v>
      </c>
      <c r="O2315" s="1" t="s">
        <v>27</v>
      </c>
      <c r="P2315" s="2">
        <v>8.449074074074075E-4</v>
      </c>
      <c r="Q2315" s="1" t="s">
        <v>1648</v>
      </c>
      <c r="R2315" s="1">
        <v>0</v>
      </c>
      <c r="S2315" s="1" t="str">
        <f>""</f>
        <v/>
      </c>
      <c r="T2315" s="1" t="s">
        <v>29</v>
      </c>
      <c r="U2315" s="1" t="s">
        <v>30</v>
      </c>
      <c r="V2315" s="1">
        <v>0</v>
      </c>
    </row>
    <row r="2316" spans="2:22" x14ac:dyDescent="0.15">
      <c r="B2316" s="1" t="str">
        <f>"156****1026"</f>
        <v>156****1026</v>
      </c>
      <c r="C2316" s="1" t="s">
        <v>283</v>
      </c>
      <c r="D2316" s="1" t="str">
        <f>"4000108333"</f>
        <v>4000108333</v>
      </c>
      <c r="E2316" s="1" t="s">
        <v>53</v>
      </c>
      <c r="F2316" s="1" t="str">
        <f>"0000"</f>
        <v>0000</v>
      </c>
      <c r="G2316" s="1" t="str">
        <f>""</f>
        <v/>
      </c>
      <c r="H2316" s="1" t="str">
        <f>"0012"</f>
        <v>0012</v>
      </c>
      <c r="I2316" s="1" t="s">
        <v>612</v>
      </c>
      <c r="J2316" s="1" t="str">
        <f>"01043989720"</f>
        <v>01043989720</v>
      </c>
      <c r="K2316" s="1" t="str">
        <f>"2017-03-23 09:57:59"</f>
        <v>2017-03-23 09:57:59</v>
      </c>
      <c r="L2316" s="1" t="str">
        <f>"2017-03-23 09:58:43"</f>
        <v>2017-03-23 09:58:43</v>
      </c>
      <c r="M2316" s="2">
        <v>1.1655092592592594E-2</v>
      </c>
      <c r="N2316" s="1" t="s">
        <v>26</v>
      </c>
      <c r="O2316" s="1" t="s">
        <v>34</v>
      </c>
      <c r="P2316" s="2">
        <v>1.2164351851851852E-2</v>
      </c>
      <c r="Q2316" s="1" t="s">
        <v>1649</v>
      </c>
      <c r="R2316" s="1">
        <v>2.16</v>
      </c>
      <c r="S2316" s="1" t="str">
        <f>""</f>
        <v/>
      </c>
      <c r="T2316" s="1" t="s">
        <v>29</v>
      </c>
      <c r="U2316" s="1" t="s">
        <v>30</v>
      </c>
      <c r="V2316" s="1">
        <v>0</v>
      </c>
    </row>
    <row r="2317" spans="2:22" x14ac:dyDescent="0.15">
      <c r="B2317" s="1" t="str">
        <f>"135****2743"</f>
        <v>135****2743</v>
      </c>
      <c r="C2317" s="1" t="s">
        <v>23</v>
      </c>
      <c r="D2317" s="1" t="str">
        <f t="shared" ref="D2317:D2340" si="233">"89177328"</f>
        <v>89177328</v>
      </c>
      <c r="E2317" s="1" t="s">
        <v>24</v>
      </c>
      <c r="F2317" s="1" t="str">
        <f t="shared" ref="F2317:F2330" si="234">"0010"</f>
        <v>0010</v>
      </c>
      <c r="G2317" s="1" t="str">
        <f>""</f>
        <v/>
      </c>
      <c r="H2317" s="1" t="str">
        <f>"0012"</f>
        <v>0012</v>
      </c>
      <c r="I2317" s="1" t="s">
        <v>612</v>
      </c>
      <c r="J2317" s="1" t="str">
        <f>"01043989720"</f>
        <v>01043989720</v>
      </c>
      <c r="K2317" s="1" t="str">
        <f>"2017-03-23 09:44:06"</f>
        <v>2017-03-23 09:44:06</v>
      </c>
      <c r="L2317" s="1" t="str">
        <f>"2017-03-23 09:44:19"</f>
        <v>2017-03-23 09:44:19</v>
      </c>
      <c r="M2317" s="2">
        <v>3.5416666666666665E-3</v>
      </c>
      <c r="N2317" s="1" t="s">
        <v>26</v>
      </c>
      <c r="O2317" s="1" t="s">
        <v>27</v>
      </c>
      <c r="P2317" s="2">
        <v>3.6921296296296298E-3</v>
      </c>
      <c r="Q2317" s="1" t="s">
        <v>1650</v>
      </c>
      <c r="R2317" s="1">
        <v>0</v>
      </c>
      <c r="S2317" s="1" t="str">
        <f>""</f>
        <v/>
      </c>
      <c r="T2317" s="1" t="s">
        <v>29</v>
      </c>
      <c r="U2317" s="1" t="s">
        <v>30</v>
      </c>
      <c r="V2317" s="1">
        <v>0</v>
      </c>
    </row>
    <row r="2318" spans="2:22" x14ac:dyDescent="0.15">
      <c r="B2318" s="1" t="str">
        <f>"187****8165"</f>
        <v>187****8165</v>
      </c>
      <c r="C2318" s="1" t="s">
        <v>51</v>
      </c>
      <c r="D2318" s="1" t="str">
        <f t="shared" si="233"/>
        <v>89177328</v>
      </c>
      <c r="E2318" s="1" t="s">
        <v>24</v>
      </c>
      <c r="F2318" s="1" t="str">
        <f t="shared" si="234"/>
        <v>0010</v>
      </c>
      <c r="G2318" s="1" t="str">
        <f>""</f>
        <v/>
      </c>
      <c r="H2318" s="1" t="str">
        <f>"0032"</f>
        <v>0032</v>
      </c>
      <c r="I2318" s="1" t="s">
        <v>119</v>
      </c>
      <c r="J2318" s="1" t="str">
        <f>"01043977566"</f>
        <v>01043977566</v>
      </c>
      <c r="K2318" s="1" t="str">
        <f>"2017-03-23 09:37:45"</f>
        <v>2017-03-23 09:37:45</v>
      </c>
      <c r="L2318" s="1" t="str">
        <f>"2017-03-23 09:38:01"</f>
        <v>2017-03-23 09:38:01</v>
      </c>
      <c r="M2318" s="2">
        <v>2.5115740740740741E-3</v>
      </c>
      <c r="N2318" s="1" t="s">
        <v>26</v>
      </c>
      <c r="O2318" s="1" t="s">
        <v>34</v>
      </c>
      <c r="P2318" s="2">
        <v>2.6967592592592594E-3</v>
      </c>
      <c r="Q2318" s="1" t="s">
        <v>1651</v>
      </c>
      <c r="R2318" s="1">
        <v>0</v>
      </c>
      <c r="S2318" s="1" t="str">
        <f>""</f>
        <v/>
      </c>
      <c r="T2318" s="1" t="s">
        <v>29</v>
      </c>
      <c r="U2318" s="1" t="s">
        <v>30</v>
      </c>
      <c r="V2318" s="1">
        <v>0</v>
      </c>
    </row>
    <row r="2319" spans="2:22" x14ac:dyDescent="0.15">
      <c r="B2319" s="1" t="str">
        <f>"135****8642"</f>
        <v>135****8642</v>
      </c>
      <c r="C2319" s="1" t="s">
        <v>23</v>
      </c>
      <c r="D2319" s="1" t="str">
        <f t="shared" si="233"/>
        <v>89177328</v>
      </c>
      <c r="E2319" s="1" t="s">
        <v>24</v>
      </c>
      <c r="F2319" s="1" t="str">
        <f t="shared" si="234"/>
        <v>0010</v>
      </c>
      <c r="G2319" s="1" t="str">
        <f>""</f>
        <v/>
      </c>
      <c r="H2319" s="1" t="str">
        <f>"0035"</f>
        <v>0035</v>
      </c>
      <c r="I2319" s="1" t="s">
        <v>25</v>
      </c>
      <c r="J2319" s="1" t="str">
        <f>"01043977569"</f>
        <v>01043977569</v>
      </c>
      <c r="K2319" s="1" t="str">
        <f>"2017-03-23 09:34:44"</f>
        <v>2017-03-23 09:34:44</v>
      </c>
      <c r="L2319" s="1" t="str">
        <f>"2017-03-23 09:34:51"</f>
        <v>2017-03-23 09:34:51</v>
      </c>
      <c r="M2319" s="2">
        <v>3.1249999999999997E-3</v>
      </c>
      <c r="N2319" s="1" t="s">
        <v>26</v>
      </c>
      <c r="O2319" s="1" t="s">
        <v>27</v>
      </c>
      <c r="P2319" s="2">
        <v>3.2060185185185191E-3</v>
      </c>
      <c r="Q2319" s="1" t="s">
        <v>1652</v>
      </c>
      <c r="R2319" s="1">
        <v>0</v>
      </c>
      <c r="S2319" s="1" t="str">
        <f>""</f>
        <v/>
      </c>
      <c r="T2319" s="1" t="s">
        <v>29</v>
      </c>
      <c r="U2319" s="1" t="s">
        <v>30</v>
      </c>
      <c r="V2319" s="1">
        <v>0</v>
      </c>
    </row>
    <row r="2320" spans="2:22" x14ac:dyDescent="0.15">
      <c r="B2320" s="1" t="str">
        <f>"152****8409"</f>
        <v>152****8409</v>
      </c>
      <c r="C2320" s="1" t="s">
        <v>241</v>
      </c>
      <c r="D2320" s="1" t="str">
        <f t="shared" si="233"/>
        <v>89177328</v>
      </c>
      <c r="E2320" s="1" t="s">
        <v>24</v>
      </c>
      <c r="F2320" s="1" t="str">
        <f t="shared" si="234"/>
        <v>0010</v>
      </c>
      <c r="G2320" s="1" t="str">
        <f>""</f>
        <v/>
      </c>
      <c r="H2320" s="1" t="str">
        <f>"0018"</f>
        <v>0018</v>
      </c>
      <c r="I2320" s="1" t="s">
        <v>36</v>
      </c>
      <c r="J2320" s="1" t="str">
        <f>"01043989718"</f>
        <v>01043989718</v>
      </c>
      <c r="K2320" s="1" t="str">
        <f>"2017-03-23 09:33:49"</f>
        <v>2017-03-23 09:33:49</v>
      </c>
      <c r="L2320" s="1" t="str">
        <f>"2017-03-23 09:33:57"</f>
        <v>2017-03-23 09:33:57</v>
      </c>
      <c r="M2320" s="2">
        <v>9.780092592592592E-3</v>
      </c>
      <c r="N2320" s="1" t="s">
        <v>26</v>
      </c>
      <c r="O2320" s="1" t="s">
        <v>34</v>
      </c>
      <c r="P2320" s="2">
        <v>9.8726851851851857E-3</v>
      </c>
      <c r="Q2320" s="1" t="s">
        <v>1653</v>
      </c>
      <c r="R2320" s="1">
        <v>0</v>
      </c>
      <c r="S2320" s="1" t="str">
        <f>""</f>
        <v/>
      </c>
      <c r="T2320" s="1" t="s">
        <v>29</v>
      </c>
      <c r="U2320" s="1" t="s">
        <v>30</v>
      </c>
      <c r="V2320" s="1">
        <v>0</v>
      </c>
    </row>
    <row r="2321" spans="2:22" x14ac:dyDescent="0.15">
      <c r="B2321" s="1" t="str">
        <f>"158****7083"</f>
        <v>158****7083</v>
      </c>
      <c r="C2321" s="1" t="s">
        <v>23</v>
      </c>
      <c r="D2321" s="1" t="str">
        <f t="shared" si="233"/>
        <v>89177328</v>
      </c>
      <c r="E2321" s="1" t="s">
        <v>24</v>
      </c>
      <c r="F2321" s="1" t="str">
        <f t="shared" si="234"/>
        <v>0010</v>
      </c>
      <c r="G2321" s="1" t="str">
        <f>""</f>
        <v/>
      </c>
      <c r="H2321" s="1" t="str">
        <f>"0034"</f>
        <v>0034</v>
      </c>
      <c r="I2321" s="1" t="s">
        <v>31</v>
      </c>
      <c r="J2321" s="1" t="str">
        <f>"01043977568"</f>
        <v>01043977568</v>
      </c>
      <c r="K2321" s="1" t="str">
        <f>"2017-03-23 09:22:19"</f>
        <v>2017-03-23 09:22:19</v>
      </c>
      <c r="L2321" s="1" t="str">
        <f>"-"</f>
        <v>-</v>
      </c>
      <c r="M2321" s="2">
        <v>0</v>
      </c>
      <c r="N2321" s="1" t="s">
        <v>33</v>
      </c>
      <c r="O2321" s="1" t="s">
        <v>34</v>
      </c>
      <c r="P2321" s="2">
        <v>2.3148148148148147E-5</v>
      </c>
      <c r="Q2321" s="1" t="str">
        <f>""</f>
        <v/>
      </c>
      <c r="R2321" s="1">
        <v>0</v>
      </c>
      <c r="S2321" s="1" t="str">
        <f>""</f>
        <v/>
      </c>
      <c r="T2321" s="1" t="s">
        <v>29</v>
      </c>
      <c r="U2321" s="1" t="s">
        <v>30</v>
      </c>
      <c r="V2321" s="1">
        <v>0</v>
      </c>
    </row>
    <row r="2322" spans="2:22" x14ac:dyDescent="0.15">
      <c r="B2322" s="1" t="str">
        <f>"183****7133"</f>
        <v>183****7133</v>
      </c>
      <c r="C2322" s="1" t="s">
        <v>1104</v>
      </c>
      <c r="D2322" s="1" t="str">
        <f t="shared" si="233"/>
        <v>89177328</v>
      </c>
      <c r="E2322" s="1" t="s">
        <v>24</v>
      </c>
      <c r="F2322" s="1" t="str">
        <f t="shared" si="234"/>
        <v>0010</v>
      </c>
      <c r="G2322" s="1" t="str">
        <f>""</f>
        <v/>
      </c>
      <c r="H2322" s="1" t="str">
        <f>"0012"</f>
        <v>0012</v>
      </c>
      <c r="I2322" s="1" t="s">
        <v>612</v>
      </c>
      <c r="J2322" s="1" t="str">
        <f>"01043989720"</f>
        <v>01043989720</v>
      </c>
      <c r="K2322" s="1" t="str">
        <f>"2017-03-23 09:20:35"</f>
        <v>2017-03-23 09:20:35</v>
      </c>
      <c r="L2322" s="1" t="str">
        <f>"-"</f>
        <v>-</v>
      </c>
      <c r="M2322" s="2">
        <v>0</v>
      </c>
      <c r="N2322" s="1" t="s">
        <v>33</v>
      </c>
      <c r="O2322" s="1" t="s">
        <v>34</v>
      </c>
      <c r="P2322" s="2">
        <v>2.3148148148148147E-5</v>
      </c>
      <c r="Q2322" s="1" t="str">
        <f>""</f>
        <v/>
      </c>
      <c r="R2322" s="1">
        <v>0</v>
      </c>
      <c r="S2322" s="1" t="str">
        <f>""</f>
        <v/>
      </c>
      <c r="T2322" s="1" t="s">
        <v>29</v>
      </c>
      <c r="U2322" s="1" t="s">
        <v>30</v>
      </c>
      <c r="V2322" s="1">
        <v>0</v>
      </c>
    </row>
    <row r="2323" spans="2:22" x14ac:dyDescent="0.15">
      <c r="B2323" s="1" t="str">
        <f>"031****3160"</f>
        <v>031****3160</v>
      </c>
      <c r="C2323" s="1" t="s">
        <v>51</v>
      </c>
      <c r="D2323" s="1" t="str">
        <f t="shared" si="233"/>
        <v>89177328</v>
      </c>
      <c r="E2323" s="1" t="s">
        <v>24</v>
      </c>
      <c r="F2323" s="1" t="str">
        <f t="shared" si="234"/>
        <v>0010</v>
      </c>
      <c r="G2323" s="1" t="str">
        <f>""</f>
        <v/>
      </c>
      <c r="H2323" s="1" t="str">
        <f>"0034"</f>
        <v>0034</v>
      </c>
      <c r="I2323" s="1" t="s">
        <v>31</v>
      </c>
      <c r="J2323" s="1" t="str">
        <f>"01043977568"</f>
        <v>01043977568</v>
      </c>
      <c r="K2323" s="1" t="str">
        <f>"2017-03-23 08:56:39"</f>
        <v>2017-03-23 08:56:39</v>
      </c>
      <c r="L2323" s="1" t="str">
        <f>"2017-03-23 08:56:48"</f>
        <v>2017-03-23 08:56:48</v>
      </c>
      <c r="M2323" s="2">
        <v>3.472222222222222E-3</v>
      </c>
      <c r="N2323" s="1" t="s">
        <v>26</v>
      </c>
      <c r="O2323" s="1" t="s">
        <v>27</v>
      </c>
      <c r="P2323" s="2">
        <v>3.5763888888888894E-3</v>
      </c>
      <c r="Q2323" s="1" t="s">
        <v>1654</v>
      </c>
      <c r="R2323" s="1">
        <v>0</v>
      </c>
      <c r="S2323" s="1" t="str">
        <f>""</f>
        <v/>
      </c>
      <c r="T2323" s="1" t="s">
        <v>29</v>
      </c>
      <c r="U2323" s="1" t="s">
        <v>30</v>
      </c>
      <c r="V2323" s="1">
        <v>0</v>
      </c>
    </row>
    <row r="2324" spans="2:22" x14ac:dyDescent="0.15">
      <c r="B2324" s="1" t="str">
        <f>"010****2756"</f>
        <v>010****2756</v>
      </c>
      <c r="C2324" s="1" t="s">
        <v>23</v>
      </c>
      <c r="D2324" s="1" t="str">
        <f t="shared" si="233"/>
        <v>89177328</v>
      </c>
      <c r="E2324" s="1" t="s">
        <v>24</v>
      </c>
      <c r="F2324" s="1" t="str">
        <f t="shared" si="234"/>
        <v>0010</v>
      </c>
      <c r="G2324" s="1" t="str">
        <f>""</f>
        <v/>
      </c>
      <c r="H2324" s="1" t="str">
        <f>"0012"</f>
        <v>0012</v>
      </c>
      <c r="I2324" s="1" t="s">
        <v>612</v>
      </c>
      <c r="J2324" s="1" t="str">
        <f>"01043989720"</f>
        <v>01043989720</v>
      </c>
      <c r="K2324" s="1" t="str">
        <f>"2017-03-23 08:48:20"</f>
        <v>2017-03-23 08:48:20</v>
      </c>
      <c r="L2324" s="1" t="str">
        <f>"2017-03-23 08:48:32"</f>
        <v>2017-03-23 08:48:32</v>
      </c>
      <c r="M2324" s="2">
        <v>3.4490740740740745E-3</v>
      </c>
      <c r="N2324" s="1" t="s">
        <v>26</v>
      </c>
      <c r="O2324" s="1" t="s">
        <v>34</v>
      </c>
      <c r="P2324" s="2">
        <v>3.5879629629629629E-3</v>
      </c>
      <c r="Q2324" s="1" t="s">
        <v>1655</v>
      </c>
      <c r="R2324" s="1">
        <v>0</v>
      </c>
      <c r="S2324" s="1" t="str">
        <f>""</f>
        <v/>
      </c>
      <c r="T2324" s="1" t="s">
        <v>29</v>
      </c>
      <c r="U2324" s="1" t="s">
        <v>30</v>
      </c>
      <c r="V2324" s="1">
        <v>0</v>
      </c>
    </row>
    <row r="2325" spans="2:22" x14ac:dyDescent="0.15">
      <c r="B2325" s="1" t="str">
        <f>"153****7786"</f>
        <v>153****7786</v>
      </c>
      <c r="C2325" s="1" t="s">
        <v>1087</v>
      </c>
      <c r="D2325" s="1" t="str">
        <f t="shared" si="233"/>
        <v>89177328</v>
      </c>
      <c r="E2325" s="1" t="s">
        <v>24</v>
      </c>
      <c r="F2325" s="1" t="str">
        <f t="shared" si="234"/>
        <v>0010</v>
      </c>
      <c r="G2325" s="1" t="str">
        <f>""</f>
        <v/>
      </c>
      <c r="H2325" s="1" t="str">
        <f>"0012"</f>
        <v>0012</v>
      </c>
      <c r="I2325" s="1" t="s">
        <v>612</v>
      </c>
      <c r="J2325" s="1" t="str">
        <f>"01043989720"</f>
        <v>01043989720</v>
      </c>
      <c r="K2325" s="1" t="str">
        <f>"2017-03-23 08:45:09"</f>
        <v>2017-03-23 08:45:09</v>
      </c>
      <c r="L2325" s="1" t="str">
        <f>"2017-03-23 08:45:20"</f>
        <v>2017-03-23 08:45:20</v>
      </c>
      <c r="M2325" s="2">
        <v>5.6712962962962956E-4</v>
      </c>
      <c r="N2325" s="1" t="s">
        <v>26</v>
      </c>
      <c r="O2325" s="1" t="s">
        <v>34</v>
      </c>
      <c r="P2325" s="2">
        <v>6.9444444444444447E-4</v>
      </c>
      <c r="Q2325" s="1" t="s">
        <v>1656</v>
      </c>
      <c r="R2325" s="1">
        <v>0</v>
      </c>
      <c r="S2325" s="1" t="str">
        <f>""</f>
        <v/>
      </c>
      <c r="T2325" s="1" t="s">
        <v>29</v>
      </c>
      <c r="U2325" s="1" t="s">
        <v>30</v>
      </c>
      <c r="V2325" s="1">
        <v>0</v>
      </c>
    </row>
    <row r="2326" spans="2:22" x14ac:dyDescent="0.15">
      <c r="B2326" s="1" t="str">
        <f>"135****9093"</f>
        <v>135****9093</v>
      </c>
      <c r="C2326" s="1" t="s">
        <v>23</v>
      </c>
      <c r="D2326" s="1" t="str">
        <f t="shared" si="233"/>
        <v>89177328</v>
      </c>
      <c r="E2326" s="1" t="s">
        <v>24</v>
      </c>
      <c r="F2326" s="1" t="str">
        <f t="shared" si="234"/>
        <v>0010</v>
      </c>
      <c r="G2326" s="1" t="str">
        <f>""</f>
        <v/>
      </c>
      <c r="H2326" s="1" t="str">
        <f>"0035"</f>
        <v>0035</v>
      </c>
      <c r="I2326" s="1" t="s">
        <v>25</v>
      </c>
      <c r="J2326" s="1" t="str">
        <f>"01043977569"</f>
        <v>01043977569</v>
      </c>
      <c r="K2326" s="1" t="str">
        <f>"2017-03-23 08:39:04"</f>
        <v>2017-03-23 08:39:04</v>
      </c>
      <c r="L2326" s="1" t="str">
        <f>"2017-03-23 08:39:16"</f>
        <v>2017-03-23 08:39:16</v>
      </c>
      <c r="M2326" s="2">
        <v>4.9652777777777777E-3</v>
      </c>
      <c r="N2326" s="1" t="s">
        <v>26</v>
      </c>
      <c r="O2326" s="1" t="s">
        <v>27</v>
      </c>
      <c r="P2326" s="2">
        <v>5.1041666666666666E-3</v>
      </c>
      <c r="Q2326" s="1" t="s">
        <v>1657</v>
      </c>
      <c r="R2326" s="1">
        <v>0</v>
      </c>
      <c r="S2326" s="1" t="str">
        <f>""</f>
        <v/>
      </c>
      <c r="T2326" s="1" t="s">
        <v>29</v>
      </c>
      <c r="U2326" s="1" t="s">
        <v>30</v>
      </c>
      <c r="V2326" s="1">
        <v>0</v>
      </c>
    </row>
    <row r="2327" spans="2:22" x14ac:dyDescent="0.15">
      <c r="B2327" s="1" t="str">
        <f>"185****1341"</f>
        <v>185****1341</v>
      </c>
      <c r="C2327" s="1" t="s">
        <v>193</v>
      </c>
      <c r="D2327" s="1" t="str">
        <f t="shared" si="233"/>
        <v>89177328</v>
      </c>
      <c r="E2327" s="1" t="s">
        <v>24</v>
      </c>
      <c r="F2327" s="1" t="str">
        <f t="shared" si="234"/>
        <v>0010</v>
      </c>
      <c r="G2327" s="1" t="str">
        <f>""</f>
        <v/>
      </c>
      <c r="H2327" s="1" t="str">
        <f>"0017"</f>
        <v>0017</v>
      </c>
      <c r="I2327" s="1" t="s">
        <v>135</v>
      </c>
      <c r="J2327" s="1" t="str">
        <f>"01043989717"</f>
        <v>01043989717</v>
      </c>
      <c r="K2327" s="1" t="str">
        <f>"2017-03-23 08:34:29"</f>
        <v>2017-03-23 08:34:29</v>
      </c>
      <c r="L2327" s="1" t="str">
        <f>"2017-03-23 08:34:37"</f>
        <v>2017-03-23 08:34:37</v>
      </c>
      <c r="M2327" s="2">
        <v>9.571759259259259E-3</v>
      </c>
      <c r="N2327" s="1" t="s">
        <v>26</v>
      </c>
      <c r="O2327" s="1" t="s">
        <v>27</v>
      </c>
      <c r="P2327" s="2">
        <v>9.6643518518518511E-3</v>
      </c>
      <c r="Q2327" s="1" t="s">
        <v>1658</v>
      </c>
      <c r="R2327" s="1">
        <v>0</v>
      </c>
      <c r="S2327" s="1" t="str">
        <f>""</f>
        <v/>
      </c>
      <c r="T2327" s="1" t="s">
        <v>29</v>
      </c>
      <c r="U2327" s="1" t="s">
        <v>30</v>
      </c>
      <c r="V2327" s="1">
        <v>0</v>
      </c>
    </row>
    <row r="2328" spans="2:22" x14ac:dyDescent="0.15">
      <c r="B2328" s="1" t="str">
        <f>"185****4171"</f>
        <v>185****4171</v>
      </c>
      <c r="C2328" s="1" t="s">
        <v>23</v>
      </c>
      <c r="D2328" s="1" t="str">
        <f t="shared" si="233"/>
        <v>89177328</v>
      </c>
      <c r="E2328" s="1" t="s">
        <v>24</v>
      </c>
      <c r="F2328" s="1" t="str">
        <f t="shared" si="234"/>
        <v>0010</v>
      </c>
      <c r="G2328" s="1" t="str">
        <f>""</f>
        <v/>
      </c>
      <c r="H2328" s="1" t="str">
        <f>"0018"</f>
        <v>0018</v>
      </c>
      <c r="I2328" s="1" t="s">
        <v>36</v>
      </c>
      <c r="J2328" s="1" t="str">
        <f>"01043989718"</f>
        <v>01043989718</v>
      </c>
      <c r="K2328" s="1" t="str">
        <f>"2017-03-23 08:27:06"</f>
        <v>2017-03-23 08:27:06</v>
      </c>
      <c r="L2328" s="1" t="str">
        <f>"2017-03-23 08:27:13"</f>
        <v>2017-03-23 08:27:13</v>
      </c>
      <c r="M2328" s="2">
        <v>3.2060185185185191E-3</v>
      </c>
      <c r="N2328" s="1" t="s">
        <v>26</v>
      </c>
      <c r="O2328" s="1" t="s">
        <v>34</v>
      </c>
      <c r="P2328" s="2">
        <v>3.2870370370370367E-3</v>
      </c>
      <c r="Q2328" s="1" t="s">
        <v>1659</v>
      </c>
      <c r="R2328" s="1">
        <v>0</v>
      </c>
      <c r="S2328" s="1" t="str">
        <f>""</f>
        <v/>
      </c>
      <c r="T2328" s="1" t="s">
        <v>29</v>
      </c>
      <c r="U2328" s="1" t="s">
        <v>30</v>
      </c>
      <c r="V2328" s="1">
        <v>0</v>
      </c>
    </row>
    <row r="2329" spans="2:22" x14ac:dyDescent="0.15">
      <c r="B2329" s="1" t="str">
        <f>"151****4445"</f>
        <v>151****4445</v>
      </c>
      <c r="C2329" s="1" t="s">
        <v>237</v>
      </c>
      <c r="D2329" s="1" t="str">
        <f t="shared" si="233"/>
        <v>89177328</v>
      </c>
      <c r="E2329" s="1" t="s">
        <v>24</v>
      </c>
      <c r="F2329" s="1" t="str">
        <f t="shared" si="234"/>
        <v>0010</v>
      </c>
      <c r="G2329" s="1" t="str">
        <f>""</f>
        <v/>
      </c>
      <c r="H2329" s="1" t="str">
        <f>"0010"</f>
        <v>0010</v>
      </c>
      <c r="I2329" s="1" t="s">
        <v>71</v>
      </c>
      <c r="J2329" s="1" t="str">
        <f>"01043989719"</f>
        <v>01043989719</v>
      </c>
      <c r="K2329" s="1" t="str">
        <f>"2017-03-23 08:23:45"</f>
        <v>2017-03-23 08:23:45</v>
      </c>
      <c r="L2329" s="1" t="str">
        <f>"2017-03-23 08:23:56"</f>
        <v>2017-03-23 08:23:56</v>
      </c>
      <c r="M2329" s="2">
        <v>1.539351851851852E-2</v>
      </c>
      <c r="N2329" s="1" t="s">
        <v>26</v>
      </c>
      <c r="O2329" s="1" t="s">
        <v>27</v>
      </c>
      <c r="P2329" s="2">
        <v>1.5520833333333333E-2</v>
      </c>
      <c r="Q2329" s="1" t="s">
        <v>1660</v>
      </c>
      <c r="R2329" s="1">
        <v>0</v>
      </c>
      <c r="S2329" s="1" t="str">
        <f>""</f>
        <v/>
      </c>
      <c r="T2329" s="1" t="s">
        <v>29</v>
      </c>
      <c r="U2329" s="1" t="s">
        <v>30</v>
      </c>
      <c r="V2329" s="1">
        <v>0</v>
      </c>
    </row>
    <row r="2330" spans="2:22" x14ac:dyDescent="0.15">
      <c r="B2330" s="1" t="str">
        <f>"137****0195"</f>
        <v>137****0195</v>
      </c>
      <c r="C2330" s="1" t="s">
        <v>76</v>
      </c>
      <c r="D2330" s="1" t="str">
        <f t="shared" si="233"/>
        <v>89177328</v>
      </c>
      <c r="E2330" s="1" t="s">
        <v>24</v>
      </c>
      <c r="F2330" s="1" t="str">
        <f t="shared" si="234"/>
        <v>0010</v>
      </c>
      <c r="G2330" s="1" t="str">
        <f>""</f>
        <v/>
      </c>
      <c r="H2330" s="1" t="str">
        <f>"0034"</f>
        <v>0034</v>
      </c>
      <c r="I2330" s="1" t="s">
        <v>31</v>
      </c>
      <c r="J2330" s="1" t="str">
        <f>"01043977568"</f>
        <v>01043977568</v>
      </c>
      <c r="K2330" s="1" t="str">
        <f>"2017-03-23 08:13:52"</f>
        <v>2017-03-23 08:13:52</v>
      </c>
      <c r="L2330" s="1" t="str">
        <f>"2017-03-23 08:14:04"</f>
        <v>2017-03-23 08:14:04</v>
      </c>
      <c r="M2330" s="2">
        <v>2.3148148148148151E-3</v>
      </c>
      <c r="N2330" s="1" t="s">
        <v>26</v>
      </c>
      <c r="O2330" s="1" t="s">
        <v>27</v>
      </c>
      <c r="P2330" s="2">
        <v>2.4537037037037036E-3</v>
      </c>
      <c r="Q2330" s="1" t="s">
        <v>1661</v>
      </c>
      <c r="R2330" s="1">
        <v>0</v>
      </c>
      <c r="S2330" s="1" t="str">
        <f>""</f>
        <v/>
      </c>
      <c r="T2330" s="1" t="s">
        <v>29</v>
      </c>
      <c r="U2330" s="1" t="s">
        <v>30</v>
      </c>
      <c r="V2330" s="1">
        <v>0</v>
      </c>
    </row>
    <row r="2331" spans="2:22" x14ac:dyDescent="0.15">
      <c r="B2331" s="1" t="str">
        <f>"188****8820"</f>
        <v>188****8820</v>
      </c>
      <c r="C2331" s="1" t="s">
        <v>1662</v>
      </c>
      <c r="D2331" s="1" t="str">
        <f t="shared" si="233"/>
        <v>89177328</v>
      </c>
      <c r="E2331" s="1" t="s">
        <v>181</v>
      </c>
      <c r="F2331" s="1" t="str">
        <f>""</f>
        <v/>
      </c>
      <c r="G2331" s="1" t="str">
        <f>""</f>
        <v/>
      </c>
      <c r="H2331" s="1" t="str">
        <f>""</f>
        <v/>
      </c>
      <c r="I2331" s="1" t="str">
        <f>""</f>
        <v/>
      </c>
      <c r="J2331" s="1" t="str">
        <f>""</f>
        <v/>
      </c>
      <c r="K2331" s="1" t="str">
        <f>"2017-03-23 07:48:44"</f>
        <v>2017-03-23 07:48:44</v>
      </c>
      <c r="L2331" s="1" t="str">
        <f>"2017-03-23 07:48:54"</f>
        <v>2017-03-23 07:48:54</v>
      </c>
      <c r="M2331" s="2">
        <v>2.7777777777777778E-4</v>
      </c>
      <c r="N2331" s="1" t="s">
        <v>55</v>
      </c>
      <c r="O2331" s="1" t="s">
        <v>34</v>
      </c>
      <c r="P2331" s="2">
        <v>3.9351851851851852E-4</v>
      </c>
      <c r="Q2331" s="1" t="s">
        <v>1663</v>
      </c>
      <c r="R2331" s="1">
        <v>0</v>
      </c>
      <c r="S2331" s="1" t="str">
        <f>""</f>
        <v/>
      </c>
      <c r="T2331" s="1" t="s">
        <v>183</v>
      </c>
      <c r="U2331" s="1" t="s">
        <v>30</v>
      </c>
      <c r="V2331" s="1">
        <v>0</v>
      </c>
    </row>
    <row r="2332" spans="2:22" x14ac:dyDescent="0.15">
      <c r="B2332" s="1" t="str">
        <f>"136****1630"</f>
        <v>136****1630</v>
      </c>
      <c r="C2332" s="1" t="s">
        <v>23</v>
      </c>
      <c r="D2332" s="1" t="str">
        <f t="shared" si="233"/>
        <v>89177328</v>
      </c>
      <c r="E2332" s="1" t="s">
        <v>181</v>
      </c>
      <c r="F2332" s="1" t="str">
        <f>""</f>
        <v/>
      </c>
      <c r="G2332" s="1" t="str">
        <f>""</f>
        <v/>
      </c>
      <c r="H2332" s="1" t="str">
        <f>""</f>
        <v/>
      </c>
      <c r="I2332" s="1" t="str">
        <f>""</f>
        <v/>
      </c>
      <c r="J2332" s="1" t="str">
        <f>""</f>
        <v/>
      </c>
      <c r="K2332" s="1" t="str">
        <f>"2017-03-22 23:56:28"</f>
        <v>2017-03-22 23:56:28</v>
      </c>
      <c r="L2332" s="1" t="str">
        <f>"2017-03-22 23:56:39"</f>
        <v>2017-03-22 23:56:39</v>
      </c>
      <c r="M2332" s="2">
        <v>3.4722222222222222E-5</v>
      </c>
      <c r="N2332" s="1" t="s">
        <v>55</v>
      </c>
      <c r="O2332" s="1" t="s">
        <v>34</v>
      </c>
      <c r="P2332" s="2">
        <v>1.6203703703703703E-4</v>
      </c>
      <c r="Q2332" s="1" t="str">
        <f>""</f>
        <v/>
      </c>
      <c r="R2332" s="1">
        <v>0</v>
      </c>
      <c r="S2332" s="1" t="str">
        <f>""</f>
        <v/>
      </c>
      <c r="T2332" s="1" t="s">
        <v>183</v>
      </c>
      <c r="U2332" s="1" t="s">
        <v>30</v>
      </c>
      <c r="V2332" s="1">
        <v>0</v>
      </c>
    </row>
    <row r="2333" spans="2:22" x14ac:dyDescent="0.15">
      <c r="B2333" s="1" t="str">
        <f>"157****0260"</f>
        <v>157****0260</v>
      </c>
      <c r="C2333" s="1" t="s">
        <v>831</v>
      </c>
      <c r="D2333" s="1" t="str">
        <f t="shared" si="233"/>
        <v>89177328</v>
      </c>
      <c r="E2333" s="1" t="s">
        <v>181</v>
      </c>
      <c r="F2333" s="1" t="str">
        <f>""</f>
        <v/>
      </c>
      <c r="G2333" s="1" t="str">
        <f>""</f>
        <v/>
      </c>
      <c r="H2333" s="1" t="str">
        <f>""</f>
        <v/>
      </c>
      <c r="I2333" s="1" t="str">
        <f>""</f>
        <v/>
      </c>
      <c r="J2333" s="1" t="str">
        <f>""</f>
        <v/>
      </c>
      <c r="K2333" s="1" t="str">
        <f>"2017-03-22 21:41:27"</f>
        <v>2017-03-22 21:41:27</v>
      </c>
      <c r="L2333" s="1" t="str">
        <f>"2017-03-22 21:41:38"</f>
        <v>2017-03-22 21:41:38</v>
      </c>
      <c r="M2333" s="2">
        <v>2.6620370370370372E-4</v>
      </c>
      <c r="N2333" s="1" t="s">
        <v>55</v>
      </c>
      <c r="O2333" s="1" t="s">
        <v>34</v>
      </c>
      <c r="P2333" s="2">
        <v>3.9351851851851852E-4</v>
      </c>
      <c r="Q2333" s="1" t="s">
        <v>1664</v>
      </c>
      <c r="R2333" s="1">
        <v>0</v>
      </c>
      <c r="S2333" s="1" t="str">
        <f>""</f>
        <v/>
      </c>
      <c r="T2333" s="1" t="s">
        <v>183</v>
      </c>
      <c r="U2333" s="1" t="s">
        <v>30</v>
      </c>
      <c r="V2333" s="1">
        <v>0</v>
      </c>
    </row>
    <row r="2334" spans="2:22" x14ac:dyDescent="0.15">
      <c r="B2334" s="1" t="str">
        <f>"138****5116"</f>
        <v>138****5116</v>
      </c>
      <c r="C2334" s="1" t="s">
        <v>23</v>
      </c>
      <c r="D2334" s="1" t="str">
        <f t="shared" si="233"/>
        <v>89177328</v>
      </c>
      <c r="E2334" s="1" t="s">
        <v>181</v>
      </c>
      <c r="F2334" s="1" t="str">
        <f>""</f>
        <v/>
      </c>
      <c r="G2334" s="1" t="str">
        <f>""</f>
        <v/>
      </c>
      <c r="H2334" s="1" t="str">
        <f>""</f>
        <v/>
      </c>
      <c r="I2334" s="1" t="str">
        <f>""</f>
        <v/>
      </c>
      <c r="J2334" s="1" t="str">
        <f>""</f>
        <v/>
      </c>
      <c r="K2334" s="1" t="str">
        <f>"2017-03-22 21:24:15"</f>
        <v>2017-03-22 21:24:15</v>
      </c>
      <c r="L2334" s="1" t="str">
        <f>"2017-03-22 21:24:26"</f>
        <v>2017-03-22 21:24:26</v>
      </c>
      <c r="M2334" s="2">
        <v>4.6296296296296294E-5</v>
      </c>
      <c r="N2334" s="1" t="s">
        <v>55</v>
      </c>
      <c r="O2334" s="1" t="s">
        <v>34</v>
      </c>
      <c r="P2334" s="2">
        <v>1.7361111111111112E-4</v>
      </c>
      <c r="Q2334" s="1" t="str">
        <f>""</f>
        <v/>
      </c>
      <c r="R2334" s="1">
        <v>0</v>
      </c>
      <c r="S2334" s="1" t="str">
        <f>""</f>
        <v/>
      </c>
      <c r="T2334" s="1" t="s">
        <v>183</v>
      </c>
      <c r="U2334" s="1" t="s">
        <v>30</v>
      </c>
      <c r="V2334" s="1">
        <v>0</v>
      </c>
    </row>
    <row r="2335" spans="2:22" x14ac:dyDescent="0.15">
      <c r="B2335" s="1" t="str">
        <f>"010****5592"</f>
        <v>010****5592</v>
      </c>
      <c r="C2335" s="1" t="s">
        <v>23</v>
      </c>
      <c r="D2335" s="1" t="str">
        <f t="shared" si="233"/>
        <v>89177328</v>
      </c>
      <c r="E2335" s="1" t="s">
        <v>181</v>
      </c>
      <c r="F2335" s="1" t="str">
        <f>""</f>
        <v/>
      </c>
      <c r="G2335" s="1" t="str">
        <f>""</f>
        <v/>
      </c>
      <c r="H2335" s="1" t="str">
        <f>""</f>
        <v/>
      </c>
      <c r="I2335" s="1" t="str">
        <f>""</f>
        <v/>
      </c>
      <c r="J2335" s="1" t="str">
        <f>""</f>
        <v/>
      </c>
      <c r="K2335" s="1" t="str">
        <f>"2017-03-22 21:20:26"</f>
        <v>2017-03-22 21:20:26</v>
      </c>
      <c r="L2335" s="1" t="str">
        <f>"2017-03-22 21:20:37"</f>
        <v>2017-03-22 21:20:37</v>
      </c>
      <c r="M2335" s="2">
        <v>2.5462962962962961E-4</v>
      </c>
      <c r="N2335" s="1" t="s">
        <v>55</v>
      </c>
      <c r="O2335" s="1" t="s">
        <v>34</v>
      </c>
      <c r="P2335" s="2">
        <v>3.8194444444444446E-4</v>
      </c>
      <c r="Q2335" s="1" t="s">
        <v>1665</v>
      </c>
      <c r="R2335" s="1">
        <v>0</v>
      </c>
      <c r="S2335" s="1" t="str">
        <f>""</f>
        <v/>
      </c>
      <c r="T2335" s="1" t="s">
        <v>183</v>
      </c>
      <c r="U2335" s="1" t="s">
        <v>30</v>
      </c>
      <c r="V2335" s="1">
        <v>0</v>
      </c>
    </row>
    <row r="2336" spans="2:22" x14ac:dyDescent="0.15">
      <c r="B2336" s="1" t="str">
        <f>"157****3146"</f>
        <v>157****3146</v>
      </c>
      <c r="C2336" s="1" t="s">
        <v>137</v>
      </c>
      <c r="D2336" s="1" t="str">
        <f t="shared" si="233"/>
        <v>89177328</v>
      </c>
      <c r="E2336" s="1" t="s">
        <v>24</v>
      </c>
      <c r="F2336" s="1" t="str">
        <f>"0010"</f>
        <v>0010</v>
      </c>
      <c r="G2336" s="1" t="str">
        <f>""</f>
        <v/>
      </c>
      <c r="H2336" s="1" t="str">
        <f>""</f>
        <v/>
      </c>
      <c r="I2336" s="1" t="str">
        <f>""</f>
        <v/>
      </c>
      <c r="J2336" s="1" t="str">
        <f>""</f>
        <v/>
      </c>
      <c r="K2336" s="1" t="str">
        <f>"2017-03-22 20:25:43"</f>
        <v>2017-03-22 20:25:43</v>
      </c>
      <c r="L2336" s="1" t="str">
        <f>"-"</f>
        <v>-</v>
      </c>
      <c r="M2336" s="2">
        <v>0</v>
      </c>
      <c r="N2336" s="1" t="s">
        <v>55</v>
      </c>
      <c r="O2336" s="1" t="s">
        <v>34</v>
      </c>
      <c r="P2336" s="2">
        <v>3.4722222222222224E-4</v>
      </c>
      <c r="Q2336" s="1" t="str">
        <f>""</f>
        <v/>
      </c>
      <c r="R2336" s="1">
        <v>0</v>
      </c>
      <c r="S2336" s="1" t="str">
        <f>""</f>
        <v/>
      </c>
      <c r="T2336" s="1" t="s">
        <v>29</v>
      </c>
      <c r="U2336" s="1" t="s">
        <v>30</v>
      </c>
      <c r="V2336" s="1">
        <v>0</v>
      </c>
    </row>
    <row r="2337" spans="2:22" x14ac:dyDescent="0.15">
      <c r="B2337" s="1" t="str">
        <f>"132****5509"</f>
        <v>132****5509</v>
      </c>
      <c r="C2337" s="1" t="s">
        <v>237</v>
      </c>
      <c r="D2337" s="1" t="str">
        <f t="shared" si="233"/>
        <v>89177328</v>
      </c>
      <c r="E2337" s="1" t="s">
        <v>24</v>
      </c>
      <c r="F2337" s="1" t="str">
        <f>"0010"</f>
        <v>0010</v>
      </c>
      <c r="G2337" s="1" t="str">
        <f>""</f>
        <v/>
      </c>
      <c r="H2337" s="1" t="str">
        <f>"0018"</f>
        <v>0018</v>
      </c>
      <c r="I2337" s="1" t="s">
        <v>36</v>
      </c>
      <c r="J2337" s="1" t="str">
        <f>"01043989718"</f>
        <v>01043989718</v>
      </c>
      <c r="K2337" s="1" t="str">
        <f>"2017-03-22 20:23:01"</f>
        <v>2017-03-22 20:23:01</v>
      </c>
      <c r="L2337" s="1" t="str">
        <f>"2017-03-22 20:23:11"</f>
        <v>2017-03-22 20:23:11</v>
      </c>
      <c r="M2337" s="2">
        <v>1.0254629629629629E-2</v>
      </c>
      <c r="N2337" s="1" t="s">
        <v>26</v>
      </c>
      <c r="O2337" s="1" t="s">
        <v>34</v>
      </c>
      <c r="P2337" s="2">
        <v>1.037037037037037E-2</v>
      </c>
      <c r="Q2337" s="1" t="s">
        <v>1666</v>
      </c>
      <c r="R2337" s="1">
        <v>0</v>
      </c>
      <c r="S2337" s="1" t="str">
        <f>""</f>
        <v/>
      </c>
      <c r="T2337" s="1" t="s">
        <v>29</v>
      </c>
      <c r="U2337" s="1" t="s">
        <v>30</v>
      </c>
      <c r="V2337" s="1">
        <v>0</v>
      </c>
    </row>
    <row r="2338" spans="2:22" x14ac:dyDescent="0.15">
      <c r="B2338" s="1" t="str">
        <f>"138****1559"</f>
        <v>138****1559</v>
      </c>
      <c r="C2338" s="1" t="s">
        <v>23</v>
      </c>
      <c r="D2338" s="1" t="str">
        <f t="shared" si="233"/>
        <v>89177328</v>
      </c>
      <c r="E2338" s="1" t="s">
        <v>24</v>
      </c>
      <c r="F2338" s="1" t="str">
        <f>"0010"</f>
        <v>0010</v>
      </c>
      <c r="G2338" s="1" t="str">
        <f>""</f>
        <v/>
      </c>
      <c r="H2338" s="1" t="str">
        <f>"0032"</f>
        <v>0032</v>
      </c>
      <c r="I2338" s="1" t="s">
        <v>119</v>
      </c>
      <c r="J2338" s="1" t="str">
        <f>"01043977566"</f>
        <v>01043977566</v>
      </c>
      <c r="K2338" s="1" t="str">
        <f>"2017-03-22 20:20:04"</f>
        <v>2017-03-22 20:20:04</v>
      </c>
      <c r="L2338" s="1" t="str">
        <f>"2017-03-22 20:20:13"</f>
        <v>2017-03-22 20:20:13</v>
      </c>
      <c r="M2338" s="2">
        <v>5.5787037037037038E-3</v>
      </c>
      <c r="N2338" s="1" t="s">
        <v>26</v>
      </c>
      <c r="O2338" s="1" t="s">
        <v>34</v>
      </c>
      <c r="P2338" s="2">
        <v>5.6828703703703702E-3</v>
      </c>
      <c r="Q2338" s="1" t="s">
        <v>1667</v>
      </c>
      <c r="R2338" s="1">
        <v>0</v>
      </c>
      <c r="S2338" s="1" t="str">
        <f>""</f>
        <v/>
      </c>
      <c r="T2338" s="1" t="s">
        <v>29</v>
      </c>
      <c r="U2338" s="1" t="s">
        <v>30</v>
      </c>
      <c r="V2338" s="1">
        <v>0</v>
      </c>
    </row>
    <row r="2339" spans="2:22" x14ac:dyDescent="0.15">
      <c r="B2339" s="1" t="str">
        <f>"138****8738"</f>
        <v>138****8738</v>
      </c>
      <c r="C2339" s="1" t="s">
        <v>76</v>
      </c>
      <c r="D2339" s="1" t="str">
        <f t="shared" si="233"/>
        <v>89177328</v>
      </c>
      <c r="E2339" s="1" t="s">
        <v>24</v>
      </c>
      <c r="F2339" s="1" t="str">
        <f>"0010"</f>
        <v>0010</v>
      </c>
      <c r="G2339" s="1" t="str">
        <f>""</f>
        <v/>
      </c>
      <c r="H2339" s="1" t="str">
        <f>"0018"</f>
        <v>0018</v>
      </c>
      <c r="I2339" s="1" t="s">
        <v>36</v>
      </c>
      <c r="J2339" s="1" t="str">
        <f>"01043989718"</f>
        <v>01043989718</v>
      </c>
      <c r="K2339" s="1" t="str">
        <f>"2017-03-22 20:01:44"</f>
        <v>2017-03-22 20:01:44</v>
      </c>
      <c r="L2339" s="1" t="str">
        <f>"2017-03-22 20:01:51"</f>
        <v>2017-03-22 20:01:51</v>
      </c>
      <c r="M2339" s="2">
        <v>6.168981481481481E-3</v>
      </c>
      <c r="N2339" s="1" t="s">
        <v>26</v>
      </c>
      <c r="O2339" s="1" t="s">
        <v>27</v>
      </c>
      <c r="P2339" s="2">
        <v>6.2499999999999995E-3</v>
      </c>
      <c r="Q2339" s="1" t="s">
        <v>1668</v>
      </c>
      <c r="R2339" s="1">
        <v>0</v>
      </c>
      <c r="S2339" s="1" t="str">
        <f>""</f>
        <v/>
      </c>
      <c r="T2339" s="1" t="s">
        <v>29</v>
      </c>
      <c r="U2339" s="1" t="s">
        <v>30</v>
      </c>
      <c r="V2339" s="1">
        <v>0</v>
      </c>
    </row>
    <row r="2340" spans="2:22" x14ac:dyDescent="0.15">
      <c r="B2340" s="1" t="str">
        <f>"155****5725"</f>
        <v>155****5725</v>
      </c>
      <c r="C2340" s="1" t="s">
        <v>291</v>
      </c>
      <c r="D2340" s="1" t="str">
        <f t="shared" si="233"/>
        <v>89177328</v>
      </c>
      <c r="E2340" s="1" t="s">
        <v>24</v>
      </c>
      <c r="F2340" s="1" t="str">
        <f>"0010"</f>
        <v>0010</v>
      </c>
      <c r="G2340" s="1" t="str">
        <f>""</f>
        <v/>
      </c>
      <c r="H2340" s="1" t="str">
        <f>"0018"</f>
        <v>0018</v>
      </c>
      <c r="I2340" s="1" t="s">
        <v>36</v>
      </c>
      <c r="J2340" s="1" t="str">
        <f>"01043989718"</f>
        <v>01043989718</v>
      </c>
      <c r="K2340" s="1" t="str">
        <f>"2017-03-22 19:20:20"</f>
        <v>2017-03-22 19:20:20</v>
      </c>
      <c r="L2340" s="1" t="str">
        <f>"2017-03-22 19:20:27"</f>
        <v>2017-03-22 19:20:27</v>
      </c>
      <c r="M2340" s="2">
        <v>4.5717592592592589E-3</v>
      </c>
      <c r="N2340" s="1" t="s">
        <v>26</v>
      </c>
      <c r="O2340" s="1" t="s">
        <v>27</v>
      </c>
      <c r="P2340" s="2">
        <v>4.6527777777777774E-3</v>
      </c>
      <c r="Q2340" s="1" t="s">
        <v>1669</v>
      </c>
      <c r="R2340" s="1">
        <v>0</v>
      </c>
      <c r="S2340" s="1" t="str">
        <f>""</f>
        <v/>
      </c>
      <c r="T2340" s="1" t="s">
        <v>29</v>
      </c>
      <c r="U2340" s="1" t="s">
        <v>30</v>
      </c>
      <c r="V2340" s="1">
        <v>0</v>
      </c>
    </row>
    <row r="2341" spans="2:22" x14ac:dyDescent="0.15">
      <c r="B2341" s="1" t="str">
        <f>"187****6695"</f>
        <v>187****6695</v>
      </c>
      <c r="C2341" s="1" t="s">
        <v>917</v>
      </c>
      <c r="D2341" s="1" t="str">
        <f>"4000108333"</f>
        <v>4000108333</v>
      </c>
      <c r="E2341" s="1" t="s">
        <v>53</v>
      </c>
      <c r="F2341" s="1" t="str">
        <f>"0000"</f>
        <v>0000</v>
      </c>
      <c r="G2341" s="1" t="str">
        <f>""</f>
        <v/>
      </c>
      <c r="H2341" s="1" t="str">
        <f>"1010"</f>
        <v>1010</v>
      </c>
      <c r="I2341" s="1" t="s">
        <v>148</v>
      </c>
      <c r="J2341" s="1" t="str">
        <f>"13718091869"</f>
        <v>13718091869</v>
      </c>
      <c r="K2341" s="1" t="str">
        <f>"2017-03-22 19:17:56"</f>
        <v>2017-03-22 19:17:56</v>
      </c>
      <c r="L2341" s="1" t="str">
        <f>"2017-03-22 19:18:38"</f>
        <v>2017-03-22 19:18:38</v>
      </c>
      <c r="M2341" s="2">
        <v>1.1817129629629629E-2</v>
      </c>
      <c r="N2341" s="1" t="s">
        <v>26</v>
      </c>
      <c r="O2341" s="1" t="s">
        <v>34</v>
      </c>
      <c r="P2341" s="2">
        <v>1.230324074074074E-2</v>
      </c>
      <c r="Q2341" s="1" t="s">
        <v>1670</v>
      </c>
      <c r="R2341" s="1">
        <v>2.16</v>
      </c>
      <c r="S2341" s="1" t="str">
        <f>""</f>
        <v/>
      </c>
      <c r="T2341" s="1" t="s">
        <v>29</v>
      </c>
      <c r="U2341" s="1" t="s">
        <v>30</v>
      </c>
      <c r="V2341" s="1">
        <v>0</v>
      </c>
    </row>
    <row r="2342" spans="2:22" x14ac:dyDescent="0.15">
      <c r="B2342" s="1" t="str">
        <f>"114"</f>
        <v>114</v>
      </c>
      <c r="C2342" s="1" t="s">
        <v>159</v>
      </c>
      <c r="D2342" s="1" t="str">
        <f t="shared" ref="D2342:D2365" si="235">"89177328"</f>
        <v>89177328</v>
      </c>
      <c r="E2342" s="1" t="s">
        <v>24</v>
      </c>
      <c r="F2342" s="1" t="str">
        <f t="shared" ref="F2342:F2365" si="236">"0010"</f>
        <v>0010</v>
      </c>
      <c r="G2342" s="1" t="str">
        <f>""</f>
        <v/>
      </c>
      <c r="H2342" s="1" t="str">
        <f>"0018"</f>
        <v>0018</v>
      </c>
      <c r="I2342" s="1" t="s">
        <v>36</v>
      </c>
      <c r="J2342" s="1" t="str">
        <f>"01043989718"</f>
        <v>01043989718</v>
      </c>
      <c r="K2342" s="1" t="str">
        <f>"2017-03-22 18:59:30"</f>
        <v>2017-03-22 18:59:30</v>
      </c>
      <c r="L2342" s="1" t="str">
        <f>"2017-03-22 18:59:39"</f>
        <v>2017-03-22 18:59:39</v>
      </c>
      <c r="M2342" s="2">
        <v>1.2002314814814815E-2</v>
      </c>
      <c r="N2342" s="1" t="s">
        <v>26</v>
      </c>
      <c r="O2342" s="1" t="s">
        <v>34</v>
      </c>
      <c r="P2342" s="2">
        <v>1.2106481481481482E-2</v>
      </c>
      <c r="Q2342" s="1" t="s">
        <v>1671</v>
      </c>
      <c r="R2342" s="1">
        <v>0</v>
      </c>
      <c r="S2342" s="1" t="str">
        <f>""</f>
        <v/>
      </c>
      <c r="T2342" s="1" t="s">
        <v>29</v>
      </c>
      <c r="U2342" s="1" t="s">
        <v>30</v>
      </c>
      <c r="V2342" s="1">
        <v>0</v>
      </c>
    </row>
    <row r="2343" spans="2:22" x14ac:dyDescent="0.15">
      <c r="B2343" s="1" t="str">
        <f>"010****4108"</f>
        <v>010****4108</v>
      </c>
      <c r="C2343" s="1" t="s">
        <v>23</v>
      </c>
      <c r="D2343" s="1" t="str">
        <f t="shared" si="235"/>
        <v>89177328</v>
      </c>
      <c r="E2343" s="1" t="s">
        <v>24</v>
      </c>
      <c r="F2343" s="1" t="str">
        <f t="shared" si="236"/>
        <v>0010</v>
      </c>
      <c r="G2343" s="1" t="str">
        <f>""</f>
        <v/>
      </c>
      <c r="H2343" s="1" t="str">
        <f>"0010"</f>
        <v>0010</v>
      </c>
      <c r="I2343" s="1" t="s">
        <v>71</v>
      </c>
      <c r="J2343" s="1" t="str">
        <f>"01043989719"</f>
        <v>01043989719</v>
      </c>
      <c r="K2343" s="1" t="str">
        <f>"2017-03-22 18:58:00"</f>
        <v>2017-03-22 18:58:00</v>
      </c>
      <c r="L2343" s="1" t="str">
        <f>"2017-03-22 18:58:11"</f>
        <v>2017-03-22 18:58:11</v>
      </c>
      <c r="M2343" s="2">
        <v>1.6435185185185183E-3</v>
      </c>
      <c r="N2343" s="1" t="s">
        <v>26</v>
      </c>
      <c r="O2343" s="1" t="s">
        <v>27</v>
      </c>
      <c r="P2343" s="2">
        <v>1.7708333333333332E-3</v>
      </c>
      <c r="Q2343" s="1" t="s">
        <v>1672</v>
      </c>
      <c r="R2343" s="1">
        <v>0</v>
      </c>
      <c r="S2343" s="1" t="str">
        <f>""</f>
        <v/>
      </c>
      <c r="T2343" s="1" t="s">
        <v>29</v>
      </c>
      <c r="U2343" s="1" t="s">
        <v>30</v>
      </c>
      <c r="V2343" s="1">
        <v>0</v>
      </c>
    </row>
    <row r="2344" spans="2:22" x14ac:dyDescent="0.15">
      <c r="B2344" s="1" t="str">
        <f>"134****8764"</f>
        <v>134****8764</v>
      </c>
      <c r="C2344" s="1" t="s">
        <v>23</v>
      </c>
      <c r="D2344" s="1" t="str">
        <f t="shared" si="235"/>
        <v>89177328</v>
      </c>
      <c r="E2344" s="1" t="s">
        <v>24</v>
      </c>
      <c r="F2344" s="1" t="str">
        <f t="shared" si="236"/>
        <v>0010</v>
      </c>
      <c r="G2344" s="1" t="str">
        <f>""</f>
        <v/>
      </c>
      <c r="H2344" s="1" t="str">
        <f>"0010"</f>
        <v>0010</v>
      </c>
      <c r="I2344" s="1" t="s">
        <v>71</v>
      </c>
      <c r="J2344" s="1" t="str">
        <f>"01043989719"</f>
        <v>01043989719</v>
      </c>
      <c r="K2344" s="1" t="str">
        <f>"2017-03-22 18:57:31"</f>
        <v>2017-03-22 18:57:31</v>
      </c>
      <c r="L2344" s="1" t="str">
        <f>"-"</f>
        <v>-</v>
      </c>
      <c r="M2344" s="2">
        <v>0</v>
      </c>
      <c r="N2344" s="1" t="s">
        <v>33</v>
      </c>
      <c r="O2344" s="1" t="s">
        <v>34</v>
      </c>
      <c r="P2344" s="2">
        <v>1.1574074074074073E-5</v>
      </c>
      <c r="Q2344" s="1" t="str">
        <f>""</f>
        <v/>
      </c>
      <c r="R2344" s="1">
        <v>0</v>
      </c>
      <c r="S2344" s="1" t="str">
        <f>""</f>
        <v/>
      </c>
      <c r="T2344" s="1" t="s">
        <v>29</v>
      </c>
      <c r="U2344" s="1" t="s">
        <v>30</v>
      </c>
      <c r="V2344" s="1">
        <v>0</v>
      </c>
    </row>
    <row r="2345" spans="2:22" x14ac:dyDescent="0.15">
      <c r="B2345" s="1" t="str">
        <f>"133****3299"</f>
        <v>133****3299</v>
      </c>
      <c r="C2345" s="1" t="s">
        <v>109</v>
      </c>
      <c r="D2345" s="1" t="str">
        <f t="shared" si="235"/>
        <v>89177328</v>
      </c>
      <c r="E2345" s="1" t="s">
        <v>24</v>
      </c>
      <c r="F2345" s="1" t="str">
        <f t="shared" si="236"/>
        <v>0010</v>
      </c>
      <c r="G2345" s="1" t="str">
        <f>""</f>
        <v/>
      </c>
      <c r="H2345" s="1" t="str">
        <f>"0034"</f>
        <v>0034</v>
      </c>
      <c r="I2345" s="1" t="s">
        <v>31</v>
      </c>
      <c r="J2345" s="1" t="str">
        <f>"01043977568"</f>
        <v>01043977568</v>
      </c>
      <c r="K2345" s="1" t="str">
        <f>"2017-03-22 18:21:55"</f>
        <v>2017-03-22 18:21:55</v>
      </c>
      <c r="L2345" s="1" t="str">
        <f>"2017-03-22 18:22:27"</f>
        <v>2017-03-22 18:22:27</v>
      </c>
      <c r="M2345" s="2">
        <v>2.4074074074074076E-3</v>
      </c>
      <c r="N2345" s="1" t="s">
        <v>26</v>
      </c>
      <c r="O2345" s="1" t="s">
        <v>34</v>
      </c>
      <c r="P2345" s="2">
        <v>2.7777777777777779E-3</v>
      </c>
      <c r="Q2345" s="1" t="s">
        <v>1673</v>
      </c>
      <c r="R2345" s="1">
        <v>0</v>
      </c>
      <c r="S2345" s="1" t="str">
        <f>""</f>
        <v/>
      </c>
      <c r="T2345" s="1" t="s">
        <v>29</v>
      </c>
      <c r="U2345" s="1" t="s">
        <v>30</v>
      </c>
      <c r="V2345" s="1">
        <v>0</v>
      </c>
    </row>
    <row r="2346" spans="2:22" x14ac:dyDescent="0.15">
      <c r="B2346" s="1" t="str">
        <f>"133****6902"</f>
        <v>133****6902</v>
      </c>
      <c r="C2346" s="1" t="s">
        <v>23</v>
      </c>
      <c r="D2346" s="1" t="str">
        <f t="shared" si="235"/>
        <v>89177328</v>
      </c>
      <c r="E2346" s="1" t="s">
        <v>24</v>
      </c>
      <c r="F2346" s="1" t="str">
        <f t="shared" si="236"/>
        <v>0010</v>
      </c>
      <c r="G2346" s="1" t="str">
        <f>""</f>
        <v/>
      </c>
      <c r="H2346" s="1" t="str">
        <f>"0034"</f>
        <v>0034</v>
      </c>
      <c r="I2346" s="1" t="s">
        <v>31</v>
      </c>
      <c r="J2346" s="1" t="str">
        <f>"01043977568"</f>
        <v>01043977568</v>
      </c>
      <c r="K2346" s="1" t="str">
        <f>"2017-03-22 18:13:12"</f>
        <v>2017-03-22 18:13:12</v>
      </c>
      <c r="L2346" s="1" t="str">
        <f>"2017-03-22 18:13:18"</f>
        <v>2017-03-22 18:13:18</v>
      </c>
      <c r="M2346" s="2">
        <v>5.7986111111111112E-3</v>
      </c>
      <c r="N2346" s="1" t="s">
        <v>26</v>
      </c>
      <c r="O2346" s="1" t="s">
        <v>27</v>
      </c>
      <c r="P2346" s="2">
        <v>5.8680555555555543E-3</v>
      </c>
      <c r="Q2346" s="1" t="s">
        <v>1674</v>
      </c>
      <c r="R2346" s="1">
        <v>0</v>
      </c>
      <c r="S2346" s="1" t="str">
        <f>""</f>
        <v/>
      </c>
      <c r="T2346" s="1" t="s">
        <v>29</v>
      </c>
      <c r="U2346" s="1" t="s">
        <v>30</v>
      </c>
      <c r="V2346" s="1">
        <v>0</v>
      </c>
    </row>
    <row r="2347" spans="2:22" x14ac:dyDescent="0.15">
      <c r="B2347" s="1" t="str">
        <f>"188****1100"</f>
        <v>188****1100</v>
      </c>
      <c r="C2347" s="1" t="s">
        <v>23</v>
      </c>
      <c r="D2347" s="1" t="str">
        <f t="shared" si="235"/>
        <v>89177328</v>
      </c>
      <c r="E2347" s="1" t="s">
        <v>24</v>
      </c>
      <c r="F2347" s="1" t="str">
        <f t="shared" si="236"/>
        <v>0010</v>
      </c>
      <c r="G2347" s="1" t="str">
        <f>""</f>
        <v/>
      </c>
      <c r="H2347" s="1" t="str">
        <f>"0017"</f>
        <v>0017</v>
      </c>
      <c r="I2347" s="1" t="s">
        <v>135</v>
      </c>
      <c r="J2347" s="1" t="str">
        <f>"01043989717"</f>
        <v>01043989717</v>
      </c>
      <c r="K2347" s="1" t="str">
        <f>"2017-03-22 18:00:52"</f>
        <v>2017-03-22 18:00:52</v>
      </c>
      <c r="L2347" s="1" t="str">
        <f>"2017-03-22 18:00:59"</f>
        <v>2017-03-22 18:00:59</v>
      </c>
      <c r="M2347" s="2">
        <v>8.2175925925925917E-4</v>
      </c>
      <c r="N2347" s="1" t="s">
        <v>26</v>
      </c>
      <c r="O2347" s="1" t="s">
        <v>34</v>
      </c>
      <c r="P2347" s="2">
        <v>9.0277777777777784E-4</v>
      </c>
      <c r="Q2347" s="1" t="s">
        <v>1675</v>
      </c>
      <c r="R2347" s="1">
        <v>0</v>
      </c>
      <c r="S2347" s="1" t="str">
        <f>""</f>
        <v/>
      </c>
      <c r="T2347" s="1" t="s">
        <v>29</v>
      </c>
      <c r="U2347" s="1" t="s">
        <v>30</v>
      </c>
      <c r="V2347" s="1">
        <v>0</v>
      </c>
    </row>
    <row r="2348" spans="2:22" x14ac:dyDescent="0.15">
      <c r="B2348" s="1" t="str">
        <f>"010****8206"</f>
        <v>010****8206</v>
      </c>
      <c r="C2348" s="1" t="s">
        <v>23</v>
      </c>
      <c r="D2348" s="1" t="str">
        <f t="shared" si="235"/>
        <v>89177328</v>
      </c>
      <c r="E2348" s="1" t="s">
        <v>24</v>
      </c>
      <c r="F2348" s="1" t="str">
        <f t="shared" si="236"/>
        <v>0010</v>
      </c>
      <c r="G2348" s="1" t="str">
        <f>""</f>
        <v/>
      </c>
      <c r="H2348" s="1" t="str">
        <f t="shared" ref="H2348:H2353" si="237">"0033"</f>
        <v>0033</v>
      </c>
      <c r="I2348" s="1" t="s">
        <v>106</v>
      </c>
      <c r="J2348" s="1" t="str">
        <f t="shared" ref="J2348:J2353" si="238">"01043977567"</f>
        <v>01043977567</v>
      </c>
      <c r="K2348" s="1" t="str">
        <f>"2017-03-22 17:59:45"</f>
        <v>2017-03-22 17:59:45</v>
      </c>
      <c r="L2348" s="1" t="str">
        <f>"2017-03-22 17:59:52"</f>
        <v>2017-03-22 17:59:52</v>
      </c>
      <c r="M2348" s="2">
        <v>3.7847222222222223E-3</v>
      </c>
      <c r="N2348" s="1" t="s">
        <v>26</v>
      </c>
      <c r="O2348" s="1" t="s">
        <v>27</v>
      </c>
      <c r="P2348" s="2">
        <v>3.8657407407407408E-3</v>
      </c>
      <c r="Q2348" s="1" t="s">
        <v>1676</v>
      </c>
      <c r="R2348" s="1">
        <v>0</v>
      </c>
      <c r="S2348" s="1" t="str">
        <f>""</f>
        <v/>
      </c>
      <c r="T2348" s="1" t="s">
        <v>29</v>
      </c>
      <c r="U2348" s="1" t="s">
        <v>30</v>
      </c>
      <c r="V2348" s="1">
        <v>0</v>
      </c>
    </row>
    <row r="2349" spans="2:22" x14ac:dyDescent="0.15">
      <c r="B2349" s="1" t="str">
        <f>"188****1100"</f>
        <v>188****1100</v>
      </c>
      <c r="C2349" s="1" t="s">
        <v>23</v>
      </c>
      <c r="D2349" s="1" t="str">
        <f t="shared" si="235"/>
        <v>89177328</v>
      </c>
      <c r="E2349" s="1" t="s">
        <v>24</v>
      </c>
      <c r="F2349" s="1" t="str">
        <f t="shared" si="236"/>
        <v>0010</v>
      </c>
      <c r="G2349" s="1" t="str">
        <f>""</f>
        <v/>
      </c>
      <c r="H2349" s="1" t="str">
        <f t="shared" si="237"/>
        <v>0033</v>
      </c>
      <c r="I2349" s="1" t="s">
        <v>106</v>
      </c>
      <c r="J2349" s="1" t="str">
        <f t="shared" si="238"/>
        <v>01043977567</v>
      </c>
      <c r="K2349" s="1" t="str">
        <f>"2017-03-22 17:59:00"</f>
        <v>2017-03-22 17:59:00</v>
      </c>
      <c r="L2349" s="1" t="str">
        <f>"-"</f>
        <v>-</v>
      </c>
      <c r="M2349" s="2">
        <v>0</v>
      </c>
      <c r="N2349" s="1" t="s">
        <v>33</v>
      </c>
      <c r="O2349" s="1" t="s">
        <v>34</v>
      </c>
      <c r="P2349" s="2">
        <v>2.3148148148148147E-5</v>
      </c>
      <c r="Q2349" s="1" t="str">
        <f>""</f>
        <v/>
      </c>
      <c r="R2349" s="1">
        <v>0</v>
      </c>
      <c r="S2349" s="1" t="str">
        <f>""</f>
        <v/>
      </c>
      <c r="T2349" s="1" t="s">
        <v>29</v>
      </c>
      <c r="U2349" s="1" t="s">
        <v>30</v>
      </c>
      <c r="V2349" s="1">
        <v>0</v>
      </c>
    </row>
    <row r="2350" spans="2:22" x14ac:dyDescent="0.15">
      <c r="B2350" s="1" t="str">
        <f>"157****4678"</f>
        <v>157****4678</v>
      </c>
      <c r="C2350" s="1" t="s">
        <v>23</v>
      </c>
      <c r="D2350" s="1" t="str">
        <f t="shared" si="235"/>
        <v>89177328</v>
      </c>
      <c r="E2350" s="1" t="s">
        <v>24</v>
      </c>
      <c r="F2350" s="1" t="str">
        <f t="shared" si="236"/>
        <v>0010</v>
      </c>
      <c r="G2350" s="1" t="str">
        <f>""</f>
        <v/>
      </c>
      <c r="H2350" s="1" t="str">
        <f t="shared" si="237"/>
        <v>0033</v>
      </c>
      <c r="I2350" s="1" t="s">
        <v>106</v>
      </c>
      <c r="J2350" s="1" t="str">
        <f t="shared" si="238"/>
        <v>01043977567</v>
      </c>
      <c r="K2350" s="1" t="str">
        <f>"2017-03-22 17:58:31"</f>
        <v>2017-03-22 17:58:31</v>
      </c>
      <c r="L2350" s="1" t="str">
        <f>"2017-03-22 17:58:39"</f>
        <v>2017-03-22 17:58:39</v>
      </c>
      <c r="M2350" s="2">
        <v>9.2592592592592588E-5</v>
      </c>
      <c r="N2350" s="1" t="s">
        <v>26</v>
      </c>
      <c r="O2350" s="1" t="s">
        <v>34</v>
      </c>
      <c r="P2350" s="2">
        <v>1.8518518518518518E-4</v>
      </c>
      <c r="Q2350" s="1" t="s">
        <v>1677</v>
      </c>
      <c r="R2350" s="1">
        <v>0</v>
      </c>
      <c r="S2350" s="1" t="str">
        <f>""</f>
        <v/>
      </c>
      <c r="T2350" s="1" t="s">
        <v>29</v>
      </c>
      <c r="U2350" s="1" t="s">
        <v>30</v>
      </c>
      <c r="V2350" s="1">
        <v>0</v>
      </c>
    </row>
    <row r="2351" spans="2:22" x14ac:dyDescent="0.15">
      <c r="B2351" s="1" t="str">
        <f>"157****4678"</f>
        <v>157****4678</v>
      </c>
      <c r="C2351" s="1" t="s">
        <v>23</v>
      </c>
      <c r="D2351" s="1" t="str">
        <f t="shared" si="235"/>
        <v>89177328</v>
      </c>
      <c r="E2351" s="1" t="s">
        <v>24</v>
      </c>
      <c r="F2351" s="1" t="str">
        <f t="shared" si="236"/>
        <v>0010</v>
      </c>
      <c r="G2351" s="1" t="str">
        <f>""</f>
        <v/>
      </c>
      <c r="H2351" s="1" t="str">
        <f t="shared" si="237"/>
        <v>0033</v>
      </c>
      <c r="I2351" s="1" t="s">
        <v>106</v>
      </c>
      <c r="J2351" s="1" t="str">
        <f t="shared" si="238"/>
        <v>01043977567</v>
      </c>
      <c r="K2351" s="1" t="str">
        <f>"2017-03-22 17:56:07"</f>
        <v>2017-03-22 17:56:07</v>
      </c>
      <c r="L2351" s="1" t="str">
        <f>"2017-03-22 17:56:13"</f>
        <v>2017-03-22 17:56:13</v>
      </c>
      <c r="M2351" s="2">
        <v>1.7361111111111112E-4</v>
      </c>
      <c r="N2351" s="1" t="s">
        <v>26</v>
      </c>
      <c r="O2351" s="1" t="s">
        <v>27</v>
      </c>
      <c r="P2351" s="2">
        <v>2.4305555555555552E-4</v>
      </c>
      <c r="Q2351" s="1" t="s">
        <v>1678</v>
      </c>
      <c r="R2351" s="1">
        <v>0</v>
      </c>
      <c r="S2351" s="1" t="str">
        <f>""</f>
        <v/>
      </c>
      <c r="T2351" s="1" t="s">
        <v>29</v>
      </c>
      <c r="U2351" s="1" t="s">
        <v>30</v>
      </c>
      <c r="V2351" s="1">
        <v>0</v>
      </c>
    </row>
    <row r="2352" spans="2:22" x14ac:dyDescent="0.15">
      <c r="B2352" s="1" t="str">
        <f>"133****9597"</f>
        <v>133****9597</v>
      </c>
      <c r="C2352" s="1" t="s">
        <v>23</v>
      </c>
      <c r="D2352" s="1" t="str">
        <f t="shared" si="235"/>
        <v>89177328</v>
      </c>
      <c r="E2352" s="1" t="s">
        <v>24</v>
      </c>
      <c r="F2352" s="1" t="str">
        <f t="shared" si="236"/>
        <v>0010</v>
      </c>
      <c r="G2352" s="1" t="str">
        <f>""</f>
        <v/>
      </c>
      <c r="H2352" s="1" t="str">
        <f t="shared" si="237"/>
        <v>0033</v>
      </c>
      <c r="I2352" s="1" t="s">
        <v>106</v>
      </c>
      <c r="J2352" s="1" t="str">
        <f t="shared" si="238"/>
        <v>01043977567</v>
      </c>
      <c r="K2352" s="1" t="str">
        <f>"2017-03-22 17:54:12"</f>
        <v>2017-03-22 17:54:12</v>
      </c>
      <c r="L2352" s="1" t="str">
        <f>"2017-03-22 17:54:19"</f>
        <v>2017-03-22 17:54:19</v>
      </c>
      <c r="M2352" s="2">
        <v>2.6620370370370372E-4</v>
      </c>
      <c r="N2352" s="1" t="s">
        <v>26</v>
      </c>
      <c r="O2352" s="1" t="s">
        <v>27</v>
      </c>
      <c r="P2352" s="2">
        <v>3.4722222222222224E-4</v>
      </c>
      <c r="Q2352" s="1" t="s">
        <v>1679</v>
      </c>
      <c r="R2352" s="1">
        <v>0</v>
      </c>
      <c r="S2352" s="1" t="str">
        <f>""</f>
        <v/>
      </c>
      <c r="T2352" s="1" t="s">
        <v>29</v>
      </c>
      <c r="U2352" s="1" t="s">
        <v>30</v>
      </c>
      <c r="V2352" s="1">
        <v>0</v>
      </c>
    </row>
    <row r="2353" spans="2:22" x14ac:dyDescent="0.15">
      <c r="B2353" s="1" t="str">
        <f>"137****1869"</f>
        <v>137****1869</v>
      </c>
      <c r="C2353" s="1" t="s">
        <v>23</v>
      </c>
      <c r="D2353" s="1" t="str">
        <f t="shared" si="235"/>
        <v>89177328</v>
      </c>
      <c r="E2353" s="1" t="s">
        <v>24</v>
      </c>
      <c r="F2353" s="1" t="str">
        <f t="shared" si="236"/>
        <v>0010</v>
      </c>
      <c r="G2353" s="1" t="str">
        <f>""</f>
        <v/>
      </c>
      <c r="H2353" s="1" t="str">
        <f t="shared" si="237"/>
        <v>0033</v>
      </c>
      <c r="I2353" s="1" t="s">
        <v>106</v>
      </c>
      <c r="J2353" s="1" t="str">
        <f t="shared" si="238"/>
        <v>01043977567</v>
      </c>
      <c r="K2353" s="1" t="str">
        <f>"2017-03-22 17:52:33"</f>
        <v>2017-03-22 17:52:33</v>
      </c>
      <c r="L2353" s="1" t="str">
        <f>"2017-03-22 17:52:55"</f>
        <v>2017-03-22 17:52:55</v>
      </c>
      <c r="M2353" s="2">
        <v>3.7037037037037035E-4</v>
      </c>
      <c r="N2353" s="1" t="s">
        <v>26</v>
      </c>
      <c r="O2353" s="1" t="s">
        <v>27</v>
      </c>
      <c r="P2353" s="2">
        <v>6.2500000000000001E-4</v>
      </c>
      <c r="Q2353" s="1" t="s">
        <v>1680</v>
      </c>
      <c r="R2353" s="1">
        <v>0</v>
      </c>
      <c r="S2353" s="1" t="str">
        <f>""</f>
        <v/>
      </c>
      <c r="T2353" s="1" t="s">
        <v>29</v>
      </c>
      <c r="U2353" s="1" t="s">
        <v>30</v>
      </c>
      <c r="V2353" s="1">
        <v>0</v>
      </c>
    </row>
    <row r="2354" spans="2:22" x14ac:dyDescent="0.15">
      <c r="B2354" s="1" t="str">
        <f>"157****4678"</f>
        <v>157****4678</v>
      </c>
      <c r="C2354" s="1" t="s">
        <v>23</v>
      </c>
      <c r="D2354" s="1" t="str">
        <f t="shared" si="235"/>
        <v>89177328</v>
      </c>
      <c r="E2354" s="1" t="s">
        <v>24</v>
      </c>
      <c r="F2354" s="1" t="str">
        <f t="shared" si="236"/>
        <v>0010</v>
      </c>
      <c r="G2354" s="1" t="str">
        <f>""</f>
        <v/>
      </c>
      <c r="H2354" s="1" t="str">
        <f>""</f>
        <v/>
      </c>
      <c r="I2354" s="1" t="str">
        <f>""</f>
        <v/>
      </c>
      <c r="J2354" s="1" t="str">
        <f>""</f>
        <v/>
      </c>
      <c r="K2354" s="1" t="str">
        <f>"2017-03-22 17:52:24"</f>
        <v>2017-03-22 17:52:24</v>
      </c>
      <c r="L2354" s="1" t="str">
        <f>"-"</f>
        <v>-</v>
      </c>
      <c r="M2354" s="2">
        <v>0</v>
      </c>
      <c r="N2354" s="1" t="s">
        <v>55</v>
      </c>
      <c r="O2354" s="1" t="s">
        <v>34</v>
      </c>
      <c r="P2354" s="2">
        <v>2.3148148148148147E-5</v>
      </c>
      <c r="Q2354" s="1" t="str">
        <f>""</f>
        <v/>
      </c>
      <c r="R2354" s="1">
        <v>0</v>
      </c>
      <c r="S2354" s="1" t="str">
        <f>""</f>
        <v/>
      </c>
      <c r="T2354" s="1" t="s">
        <v>29</v>
      </c>
      <c r="U2354" s="1" t="s">
        <v>30</v>
      </c>
      <c r="V2354" s="1">
        <v>0</v>
      </c>
    </row>
    <row r="2355" spans="2:22" x14ac:dyDescent="0.15">
      <c r="B2355" s="1" t="str">
        <f>"133****9597"</f>
        <v>133****9597</v>
      </c>
      <c r="C2355" s="1" t="s">
        <v>23</v>
      </c>
      <c r="D2355" s="1" t="str">
        <f t="shared" si="235"/>
        <v>89177328</v>
      </c>
      <c r="E2355" s="1" t="s">
        <v>24</v>
      </c>
      <c r="F2355" s="1" t="str">
        <f t="shared" si="236"/>
        <v>0010</v>
      </c>
      <c r="G2355" s="1" t="str">
        <f>""</f>
        <v/>
      </c>
      <c r="H2355" s="1" t="str">
        <f>"0033"</f>
        <v>0033</v>
      </c>
      <c r="I2355" s="1" t="s">
        <v>106</v>
      </c>
      <c r="J2355" s="1" t="str">
        <f>"01043977567"</f>
        <v>01043977567</v>
      </c>
      <c r="K2355" s="1" t="str">
        <f>"2017-03-22 17:52:15"</f>
        <v>2017-03-22 17:52:15</v>
      </c>
      <c r="L2355" s="1" t="str">
        <f>"2017-03-22 17:52:21"</f>
        <v>2017-03-22 17:52:21</v>
      </c>
      <c r="M2355" s="2">
        <v>2.199074074074074E-4</v>
      </c>
      <c r="N2355" s="1" t="s">
        <v>26</v>
      </c>
      <c r="O2355" s="1" t="s">
        <v>34</v>
      </c>
      <c r="P2355" s="2">
        <v>2.8935185185185189E-4</v>
      </c>
      <c r="Q2355" s="1" t="s">
        <v>1681</v>
      </c>
      <c r="R2355" s="1">
        <v>0</v>
      </c>
      <c r="S2355" s="1" t="str">
        <f>""</f>
        <v/>
      </c>
      <c r="T2355" s="1" t="s">
        <v>29</v>
      </c>
      <c r="U2355" s="1" t="s">
        <v>30</v>
      </c>
      <c r="V2355" s="1">
        <v>0</v>
      </c>
    </row>
    <row r="2356" spans="2:22" x14ac:dyDescent="0.15">
      <c r="B2356" s="1" t="str">
        <f>"133****9597"</f>
        <v>133****9597</v>
      </c>
      <c r="C2356" s="1" t="s">
        <v>23</v>
      </c>
      <c r="D2356" s="1" t="str">
        <f t="shared" si="235"/>
        <v>89177328</v>
      </c>
      <c r="E2356" s="1" t="s">
        <v>24</v>
      </c>
      <c r="F2356" s="1" t="str">
        <f t="shared" si="236"/>
        <v>0010</v>
      </c>
      <c r="G2356" s="1" t="str">
        <f>""</f>
        <v/>
      </c>
      <c r="H2356" s="1" t="str">
        <f>"0033"</f>
        <v>0033</v>
      </c>
      <c r="I2356" s="1" t="s">
        <v>106</v>
      </c>
      <c r="J2356" s="1" t="str">
        <f>"01043977567"</f>
        <v>01043977567</v>
      </c>
      <c r="K2356" s="1" t="str">
        <f>"2017-03-22 17:50:07"</f>
        <v>2017-03-22 17:50:07</v>
      </c>
      <c r="L2356" s="1" t="str">
        <f>"2017-03-22 17:50:15"</f>
        <v>2017-03-22 17:50:15</v>
      </c>
      <c r="M2356" s="2">
        <v>1.273148148148148E-4</v>
      </c>
      <c r="N2356" s="1" t="s">
        <v>26</v>
      </c>
      <c r="O2356" s="1" t="s">
        <v>34</v>
      </c>
      <c r="P2356" s="2">
        <v>2.199074074074074E-4</v>
      </c>
      <c r="Q2356" s="1" t="s">
        <v>1682</v>
      </c>
      <c r="R2356" s="1">
        <v>0</v>
      </c>
      <c r="S2356" s="1" t="str">
        <f>""</f>
        <v/>
      </c>
      <c r="T2356" s="1" t="s">
        <v>29</v>
      </c>
      <c r="U2356" s="1" t="s">
        <v>30</v>
      </c>
      <c r="V2356" s="1">
        <v>0</v>
      </c>
    </row>
    <row r="2357" spans="2:22" x14ac:dyDescent="0.15">
      <c r="B2357" s="1" t="str">
        <f>"157****4678"</f>
        <v>157****4678</v>
      </c>
      <c r="C2357" s="1" t="s">
        <v>23</v>
      </c>
      <c r="D2357" s="1" t="str">
        <f t="shared" si="235"/>
        <v>89177328</v>
      </c>
      <c r="E2357" s="1" t="s">
        <v>24</v>
      </c>
      <c r="F2357" s="1" t="str">
        <f t="shared" si="236"/>
        <v>0010</v>
      </c>
      <c r="G2357" s="1" t="str">
        <f>""</f>
        <v/>
      </c>
      <c r="H2357" s="1" t="str">
        <f>"0033"</f>
        <v>0033</v>
      </c>
      <c r="I2357" s="1" t="s">
        <v>106</v>
      </c>
      <c r="J2357" s="1" t="str">
        <f>"01043977567"</f>
        <v>01043977567</v>
      </c>
      <c r="K2357" s="1" t="str">
        <f>"2017-03-22 17:48:31"</f>
        <v>2017-03-22 17:48:31</v>
      </c>
      <c r="L2357" s="1" t="str">
        <f>"2017-03-22 17:49:45"</f>
        <v>2017-03-22 17:49:45</v>
      </c>
      <c r="M2357" s="2">
        <v>8.1018518518518516E-5</v>
      </c>
      <c r="N2357" s="1" t="s">
        <v>26</v>
      </c>
      <c r="O2357" s="1" t="s">
        <v>27</v>
      </c>
      <c r="P2357" s="2">
        <v>9.3750000000000007E-4</v>
      </c>
      <c r="Q2357" s="1" t="s">
        <v>1683</v>
      </c>
      <c r="R2357" s="1">
        <v>0</v>
      </c>
      <c r="S2357" s="1" t="str">
        <f>""</f>
        <v/>
      </c>
      <c r="T2357" s="1" t="s">
        <v>29</v>
      </c>
      <c r="U2357" s="1" t="s">
        <v>30</v>
      </c>
      <c r="V2357" s="1">
        <v>0</v>
      </c>
    </row>
    <row r="2358" spans="2:22" x14ac:dyDescent="0.15">
      <c r="B2358" s="1" t="str">
        <f>"135****4044"</f>
        <v>135****4044</v>
      </c>
      <c r="C2358" s="1" t="s">
        <v>935</v>
      </c>
      <c r="D2358" s="1" t="str">
        <f t="shared" si="235"/>
        <v>89177328</v>
      </c>
      <c r="E2358" s="1" t="s">
        <v>24</v>
      </c>
      <c r="F2358" s="1" t="str">
        <f t="shared" si="236"/>
        <v>0010</v>
      </c>
      <c r="G2358" s="1" t="str">
        <f>""</f>
        <v/>
      </c>
      <c r="H2358" s="1" t="str">
        <f>"0017"</f>
        <v>0017</v>
      </c>
      <c r="I2358" s="1" t="s">
        <v>135</v>
      </c>
      <c r="J2358" s="1" t="str">
        <f>"01043989717"</f>
        <v>01043989717</v>
      </c>
      <c r="K2358" s="1" t="str">
        <f>"2017-03-22 17:47:58"</f>
        <v>2017-03-22 17:47:58</v>
      </c>
      <c r="L2358" s="1" t="str">
        <f>"2017-03-22 17:49:34"</f>
        <v>2017-03-22 17:49:34</v>
      </c>
      <c r="M2358" s="2">
        <v>6.6666666666666671E-3</v>
      </c>
      <c r="N2358" s="1" t="s">
        <v>26</v>
      </c>
      <c r="O2358" s="1" t="s">
        <v>27</v>
      </c>
      <c r="P2358" s="2">
        <v>7.7777777777777767E-3</v>
      </c>
      <c r="Q2358" s="1" t="s">
        <v>1684</v>
      </c>
      <c r="R2358" s="1">
        <v>0</v>
      </c>
      <c r="S2358" s="1" t="str">
        <f>""</f>
        <v/>
      </c>
      <c r="T2358" s="1" t="s">
        <v>29</v>
      </c>
      <c r="U2358" s="1" t="s">
        <v>30</v>
      </c>
      <c r="V2358" s="1">
        <v>0</v>
      </c>
    </row>
    <row r="2359" spans="2:22" x14ac:dyDescent="0.15">
      <c r="B2359" s="1" t="str">
        <f>"183****4280"</f>
        <v>183****4280</v>
      </c>
      <c r="C2359" s="1" t="s">
        <v>23</v>
      </c>
      <c r="D2359" s="1" t="str">
        <f t="shared" si="235"/>
        <v>89177328</v>
      </c>
      <c r="E2359" s="1" t="s">
        <v>24</v>
      </c>
      <c r="F2359" s="1" t="str">
        <f t="shared" si="236"/>
        <v>0010</v>
      </c>
      <c r="G2359" s="1" t="str">
        <f>""</f>
        <v/>
      </c>
      <c r="H2359" s="1" t="str">
        <f>""</f>
        <v/>
      </c>
      <c r="I2359" s="1" t="str">
        <f>""</f>
        <v/>
      </c>
      <c r="J2359" s="1" t="str">
        <f>""</f>
        <v/>
      </c>
      <c r="K2359" s="1" t="str">
        <f>"2017-03-22 17:47:58"</f>
        <v>2017-03-22 17:47:58</v>
      </c>
      <c r="L2359" s="1" t="str">
        <f>"-"</f>
        <v>-</v>
      </c>
      <c r="M2359" s="2">
        <v>0</v>
      </c>
      <c r="N2359" s="1" t="s">
        <v>55</v>
      </c>
      <c r="O2359" s="1" t="s">
        <v>34</v>
      </c>
      <c r="P2359" s="2">
        <v>5.7870370370370366E-5</v>
      </c>
      <c r="Q2359" s="1" t="str">
        <f>""</f>
        <v/>
      </c>
      <c r="R2359" s="1">
        <v>0</v>
      </c>
      <c r="S2359" s="1" t="str">
        <f>""</f>
        <v/>
      </c>
      <c r="T2359" s="1" t="s">
        <v>29</v>
      </c>
      <c r="U2359" s="1" t="s">
        <v>30</v>
      </c>
      <c r="V2359" s="1">
        <v>0</v>
      </c>
    </row>
    <row r="2360" spans="2:22" x14ac:dyDescent="0.15">
      <c r="B2360" s="1" t="str">
        <f>"185****6796"</f>
        <v>185****6796</v>
      </c>
      <c r="C2360" s="1" t="s">
        <v>23</v>
      </c>
      <c r="D2360" s="1" t="str">
        <f t="shared" si="235"/>
        <v>89177328</v>
      </c>
      <c r="E2360" s="1" t="s">
        <v>24</v>
      </c>
      <c r="F2360" s="1" t="str">
        <f t="shared" si="236"/>
        <v>0010</v>
      </c>
      <c r="G2360" s="1" t="str">
        <f>""</f>
        <v/>
      </c>
      <c r="H2360" s="1" t="str">
        <f>"0035"</f>
        <v>0035</v>
      </c>
      <c r="I2360" s="1" t="s">
        <v>25</v>
      </c>
      <c r="J2360" s="1" t="str">
        <f>"01043977569"</f>
        <v>01043977569</v>
      </c>
      <c r="K2360" s="1" t="str">
        <f>"2017-03-22 17:46:34"</f>
        <v>2017-03-22 17:46:34</v>
      </c>
      <c r="L2360" s="1" t="str">
        <f>"2017-03-22 17:46:43"</f>
        <v>2017-03-22 17:46:43</v>
      </c>
      <c r="M2360" s="2">
        <v>4.6643518518518518E-3</v>
      </c>
      <c r="N2360" s="1" t="s">
        <v>26</v>
      </c>
      <c r="O2360" s="1" t="s">
        <v>27</v>
      </c>
      <c r="P2360" s="2">
        <v>4.7685185185185183E-3</v>
      </c>
      <c r="Q2360" s="1" t="s">
        <v>1685</v>
      </c>
      <c r="R2360" s="1">
        <v>0</v>
      </c>
      <c r="S2360" s="1" t="str">
        <f>""</f>
        <v/>
      </c>
      <c r="T2360" s="1" t="s">
        <v>29</v>
      </c>
      <c r="U2360" s="1" t="s">
        <v>30</v>
      </c>
      <c r="V2360" s="1">
        <v>0</v>
      </c>
    </row>
    <row r="2361" spans="2:22" x14ac:dyDescent="0.15">
      <c r="B2361" s="1" t="str">
        <f>"183****4280"</f>
        <v>183****4280</v>
      </c>
      <c r="C2361" s="1" t="s">
        <v>23</v>
      </c>
      <c r="D2361" s="1" t="str">
        <f t="shared" si="235"/>
        <v>89177328</v>
      </c>
      <c r="E2361" s="1" t="s">
        <v>24</v>
      </c>
      <c r="F2361" s="1" t="str">
        <f t="shared" si="236"/>
        <v>0010</v>
      </c>
      <c r="G2361" s="1" t="str">
        <f>""</f>
        <v/>
      </c>
      <c r="H2361" s="1" t="str">
        <f>"0035"</f>
        <v>0035</v>
      </c>
      <c r="I2361" s="1" t="s">
        <v>25</v>
      </c>
      <c r="J2361" s="1" t="str">
        <f>"01043977569"</f>
        <v>01043977569</v>
      </c>
      <c r="K2361" s="1" t="str">
        <f>"2017-03-22 17:44:14"</f>
        <v>2017-03-22 17:44:14</v>
      </c>
      <c r="L2361" s="1" t="str">
        <f>"2017-03-22 17:44:20"</f>
        <v>2017-03-22 17:44:20</v>
      </c>
      <c r="M2361" s="2">
        <v>1.5046296296296297E-4</v>
      </c>
      <c r="N2361" s="1" t="s">
        <v>26</v>
      </c>
      <c r="O2361" s="1" t="s">
        <v>34</v>
      </c>
      <c r="P2361" s="2">
        <v>2.199074074074074E-4</v>
      </c>
      <c r="Q2361" s="1" t="s">
        <v>1686</v>
      </c>
      <c r="R2361" s="1">
        <v>0</v>
      </c>
      <c r="S2361" s="1" t="str">
        <f>""</f>
        <v/>
      </c>
      <c r="T2361" s="1" t="s">
        <v>29</v>
      </c>
      <c r="U2361" s="1" t="s">
        <v>30</v>
      </c>
      <c r="V2361" s="1">
        <v>0</v>
      </c>
    </row>
    <row r="2362" spans="2:22" x14ac:dyDescent="0.15">
      <c r="B2362" s="1" t="str">
        <f>"133****9597"</f>
        <v>133****9597</v>
      </c>
      <c r="C2362" s="1" t="s">
        <v>23</v>
      </c>
      <c r="D2362" s="1" t="str">
        <f t="shared" si="235"/>
        <v>89177328</v>
      </c>
      <c r="E2362" s="1" t="s">
        <v>24</v>
      </c>
      <c r="F2362" s="1" t="str">
        <f t="shared" si="236"/>
        <v>0010</v>
      </c>
      <c r="G2362" s="1" t="str">
        <f>""</f>
        <v/>
      </c>
      <c r="H2362" s="1" t="str">
        <f>"0035"</f>
        <v>0035</v>
      </c>
      <c r="I2362" s="1" t="s">
        <v>25</v>
      </c>
      <c r="J2362" s="1" t="str">
        <f>"01043977569"</f>
        <v>01043977569</v>
      </c>
      <c r="K2362" s="1" t="str">
        <f>"2017-03-22 17:44:02"</f>
        <v>2017-03-22 17:44:02</v>
      </c>
      <c r="L2362" s="1" t="str">
        <f>"-"</f>
        <v>-</v>
      </c>
      <c r="M2362" s="2">
        <v>0</v>
      </c>
      <c r="N2362" s="1" t="s">
        <v>33</v>
      </c>
      <c r="O2362" s="1" t="s">
        <v>34</v>
      </c>
      <c r="P2362" s="2">
        <v>2.3148148148148147E-5</v>
      </c>
      <c r="Q2362" s="1" t="str">
        <f>""</f>
        <v/>
      </c>
      <c r="R2362" s="1">
        <v>0</v>
      </c>
      <c r="S2362" s="1" t="str">
        <f>""</f>
        <v/>
      </c>
      <c r="T2362" s="1" t="s">
        <v>29</v>
      </c>
      <c r="U2362" s="1" t="s">
        <v>30</v>
      </c>
      <c r="V2362" s="1">
        <v>0</v>
      </c>
    </row>
    <row r="2363" spans="2:22" x14ac:dyDescent="0.15">
      <c r="B2363" s="1" t="str">
        <f>"157****4678"</f>
        <v>157****4678</v>
      </c>
      <c r="C2363" s="1" t="s">
        <v>23</v>
      </c>
      <c r="D2363" s="1" t="str">
        <f t="shared" si="235"/>
        <v>89177328</v>
      </c>
      <c r="E2363" s="1" t="s">
        <v>24</v>
      </c>
      <c r="F2363" s="1" t="str">
        <f t="shared" si="236"/>
        <v>0010</v>
      </c>
      <c r="G2363" s="1" t="str">
        <f>""</f>
        <v/>
      </c>
      <c r="H2363" s="1" t="str">
        <f>"0035"</f>
        <v>0035</v>
      </c>
      <c r="I2363" s="1" t="s">
        <v>25</v>
      </c>
      <c r="J2363" s="1" t="str">
        <f>"01043977569"</f>
        <v>01043977569</v>
      </c>
      <c r="K2363" s="1" t="str">
        <f>"2017-03-22 17:42:29"</f>
        <v>2017-03-22 17:42:29</v>
      </c>
      <c r="L2363" s="1" t="str">
        <f>"2017-03-22 17:43:03"</f>
        <v>2017-03-22 17:43:03</v>
      </c>
      <c r="M2363" s="2">
        <v>4.3981481481481481E-4</v>
      </c>
      <c r="N2363" s="1" t="s">
        <v>26</v>
      </c>
      <c r="O2363" s="1" t="s">
        <v>27</v>
      </c>
      <c r="P2363" s="2">
        <v>8.3333333333333339E-4</v>
      </c>
      <c r="Q2363" s="1" t="s">
        <v>1687</v>
      </c>
      <c r="R2363" s="1">
        <v>0</v>
      </c>
      <c r="S2363" s="1" t="str">
        <f>""</f>
        <v/>
      </c>
      <c r="T2363" s="1" t="s">
        <v>29</v>
      </c>
      <c r="U2363" s="1" t="s">
        <v>30</v>
      </c>
      <c r="V2363" s="1">
        <v>0</v>
      </c>
    </row>
    <row r="2364" spans="2:22" x14ac:dyDescent="0.15">
      <c r="B2364" s="1" t="str">
        <f>"183****4280"</f>
        <v>183****4280</v>
      </c>
      <c r="C2364" s="1" t="s">
        <v>23</v>
      </c>
      <c r="D2364" s="1" t="str">
        <f t="shared" si="235"/>
        <v>89177328</v>
      </c>
      <c r="E2364" s="1" t="s">
        <v>24</v>
      </c>
      <c r="F2364" s="1" t="str">
        <f t="shared" si="236"/>
        <v>0010</v>
      </c>
      <c r="G2364" s="1" t="str">
        <f>""</f>
        <v/>
      </c>
      <c r="H2364" s="1" t="str">
        <f>"0035"</f>
        <v>0035</v>
      </c>
      <c r="I2364" s="1" t="s">
        <v>25</v>
      </c>
      <c r="J2364" s="1" t="str">
        <f>"01043977569"</f>
        <v>01043977569</v>
      </c>
      <c r="K2364" s="1" t="str">
        <f>"2017-03-22 17:42:12"</f>
        <v>2017-03-22 17:42:12</v>
      </c>
      <c r="L2364" s="1" t="str">
        <f>"2017-03-22 17:42:21"</f>
        <v>2017-03-22 17:42:21</v>
      </c>
      <c r="M2364" s="2">
        <v>2.7777777777777778E-4</v>
      </c>
      <c r="N2364" s="1" t="s">
        <v>26</v>
      </c>
      <c r="O2364" s="1" t="s">
        <v>34</v>
      </c>
      <c r="P2364" s="2">
        <v>3.8194444444444446E-4</v>
      </c>
      <c r="Q2364" s="1" t="s">
        <v>1688</v>
      </c>
      <c r="R2364" s="1">
        <v>0</v>
      </c>
      <c r="S2364" s="1" t="str">
        <f>""</f>
        <v/>
      </c>
      <c r="T2364" s="1" t="s">
        <v>29</v>
      </c>
      <c r="U2364" s="1" t="s">
        <v>30</v>
      </c>
      <c r="V2364" s="1">
        <v>0</v>
      </c>
    </row>
    <row r="2365" spans="2:22" x14ac:dyDescent="0.15">
      <c r="B2365" s="1" t="str">
        <f>"137****1869"</f>
        <v>137****1869</v>
      </c>
      <c r="C2365" s="1" t="s">
        <v>23</v>
      </c>
      <c r="D2365" s="1" t="str">
        <f t="shared" si="235"/>
        <v>89177328</v>
      </c>
      <c r="E2365" s="1" t="s">
        <v>24</v>
      </c>
      <c r="F2365" s="1" t="str">
        <f t="shared" si="236"/>
        <v>0010</v>
      </c>
      <c r="G2365" s="1" t="str">
        <f>""</f>
        <v/>
      </c>
      <c r="H2365" s="1" t="str">
        <f>"0017"</f>
        <v>0017</v>
      </c>
      <c r="I2365" s="1" t="s">
        <v>135</v>
      </c>
      <c r="J2365" s="1" t="str">
        <f>"01043989717"</f>
        <v>01043989717</v>
      </c>
      <c r="K2365" s="1" t="str">
        <f>"2017-03-22 17:41:53"</f>
        <v>2017-03-22 17:41:53</v>
      </c>
      <c r="L2365" s="1" t="str">
        <f>"2017-03-22 17:42:02"</f>
        <v>2017-03-22 17:42:02</v>
      </c>
      <c r="M2365" s="2">
        <v>5.0347222222222225E-3</v>
      </c>
      <c r="N2365" s="1" t="s">
        <v>26</v>
      </c>
      <c r="O2365" s="1" t="s">
        <v>27</v>
      </c>
      <c r="P2365" s="2">
        <v>5.138888888888889E-3</v>
      </c>
      <c r="Q2365" s="1" t="s">
        <v>1689</v>
      </c>
      <c r="R2365" s="1">
        <v>0</v>
      </c>
      <c r="S2365" s="1" t="str">
        <f>""</f>
        <v/>
      </c>
      <c r="T2365" s="1" t="s">
        <v>29</v>
      </c>
      <c r="U2365" s="1" t="s">
        <v>30</v>
      </c>
      <c r="V2365" s="1">
        <v>0</v>
      </c>
    </row>
    <row r="2366" spans="2:22" x14ac:dyDescent="0.15">
      <c r="B2366" s="1" t="str">
        <f>"132****4082"</f>
        <v>132****4082</v>
      </c>
      <c r="C2366" s="1" t="s">
        <v>23</v>
      </c>
      <c r="D2366" s="1" t="str">
        <f>"4000108333"</f>
        <v>4000108333</v>
      </c>
      <c r="E2366" s="1" t="s">
        <v>53</v>
      </c>
      <c r="F2366" s="1" t="str">
        <f>"0000"</f>
        <v>0000</v>
      </c>
      <c r="G2366" s="1" t="str">
        <f>""</f>
        <v/>
      </c>
      <c r="H2366" s="1" t="str">
        <f>"1012"</f>
        <v>1012</v>
      </c>
      <c r="I2366" s="1" t="s">
        <v>54</v>
      </c>
      <c r="J2366" s="1" t="str">
        <f>"13611040764"</f>
        <v>13611040764</v>
      </c>
      <c r="K2366" s="1" t="str">
        <f>"2017-03-22 17:39:53"</f>
        <v>2017-03-22 17:39:53</v>
      </c>
      <c r="L2366" s="1" t="str">
        <f>"-"</f>
        <v>-</v>
      </c>
      <c r="M2366" s="2">
        <v>0</v>
      </c>
      <c r="N2366" s="1" t="s">
        <v>33</v>
      </c>
      <c r="O2366" s="1" t="s">
        <v>34</v>
      </c>
      <c r="P2366" s="2">
        <v>7.175925925925927E-4</v>
      </c>
      <c r="Q2366" s="1" t="str">
        <f>""</f>
        <v/>
      </c>
      <c r="R2366" s="1">
        <v>0.24</v>
      </c>
      <c r="S2366" s="1" t="str">
        <f>""</f>
        <v/>
      </c>
      <c r="T2366" s="1" t="s">
        <v>29</v>
      </c>
      <c r="U2366" s="1" t="s">
        <v>30</v>
      </c>
      <c r="V2366" s="1">
        <v>0</v>
      </c>
    </row>
    <row r="2367" spans="2:22" x14ac:dyDescent="0.15">
      <c r="B2367" s="1" t="str">
        <f>"188****9687"</f>
        <v>188****9687</v>
      </c>
      <c r="C2367" s="1" t="s">
        <v>49</v>
      </c>
      <c r="D2367" s="1" t="str">
        <f t="shared" ref="D2367:D2373" si="239">"89177328"</f>
        <v>89177328</v>
      </c>
      <c r="E2367" s="1" t="s">
        <v>24</v>
      </c>
      <c r="F2367" s="1" t="str">
        <f t="shared" ref="F2367:F2373" si="240">"0010"</f>
        <v>0010</v>
      </c>
      <c r="G2367" s="1" t="str">
        <f>""</f>
        <v/>
      </c>
      <c r="H2367" s="1" t="str">
        <f>"0012"</f>
        <v>0012</v>
      </c>
      <c r="I2367" s="1" t="s">
        <v>612</v>
      </c>
      <c r="J2367" s="1" t="str">
        <f>"01043989720"</f>
        <v>01043989720</v>
      </c>
      <c r="K2367" s="1" t="str">
        <f>"2017-03-22 17:12:16"</f>
        <v>2017-03-22 17:12:16</v>
      </c>
      <c r="L2367" s="1" t="str">
        <f>"2017-03-22 17:12:31"</f>
        <v>2017-03-22 17:12:31</v>
      </c>
      <c r="M2367" s="2">
        <v>1.6203703703703703E-3</v>
      </c>
      <c r="N2367" s="1" t="s">
        <v>26</v>
      </c>
      <c r="O2367" s="1" t="s">
        <v>34</v>
      </c>
      <c r="P2367" s="2">
        <v>1.7939814814814815E-3</v>
      </c>
      <c r="Q2367" s="1" t="s">
        <v>1690</v>
      </c>
      <c r="R2367" s="1">
        <v>0</v>
      </c>
      <c r="S2367" s="1" t="str">
        <f>""</f>
        <v/>
      </c>
      <c r="T2367" s="1" t="s">
        <v>29</v>
      </c>
      <c r="U2367" s="1" t="s">
        <v>30</v>
      </c>
      <c r="V2367" s="1">
        <v>0</v>
      </c>
    </row>
    <row r="2368" spans="2:22" x14ac:dyDescent="0.15">
      <c r="B2368" s="1" t="str">
        <f>"155****4721"</f>
        <v>155****4721</v>
      </c>
      <c r="C2368" s="1" t="s">
        <v>113</v>
      </c>
      <c r="D2368" s="1" t="str">
        <f t="shared" si="239"/>
        <v>89177328</v>
      </c>
      <c r="E2368" s="1" t="s">
        <v>24</v>
      </c>
      <c r="F2368" s="1" t="str">
        <f t="shared" si="240"/>
        <v>0010</v>
      </c>
      <c r="G2368" s="1" t="str">
        <f>""</f>
        <v/>
      </c>
      <c r="H2368" s="1" t="str">
        <f>"0034"</f>
        <v>0034</v>
      </c>
      <c r="I2368" s="1" t="s">
        <v>31</v>
      </c>
      <c r="J2368" s="1" t="str">
        <f>"01043977568"</f>
        <v>01043977568</v>
      </c>
      <c r="K2368" s="1" t="str">
        <f>"2017-03-22 17:10:45"</f>
        <v>2017-03-22 17:10:45</v>
      </c>
      <c r="L2368" s="1" t="str">
        <f>"2017-03-22 17:10:56"</f>
        <v>2017-03-22 17:10:56</v>
      </c>
      <c r="M2368" s="2">
        <v>1.0555555555555554E-2</v>
      </c>
      <c r="N2368" s="1" t="s">
        <v>26</v>
      </c>
      <c r="O2368" s="1" t="s">
        <v>34</v>
      </c>
      <c r="P2368" s="2">
        <v>1.068287037037037E-2</v>
      </c>
      <c r="Q2368" s="1" t="s">
        <v>1691</v>
      </c>
      <c r="R2368" s="1">
        <v>0</v>
      </c>
      <c r="S2368" s="1" t="str">
        <f>""</f>
        <v/>
      </c>
      <c r="T2368" s="1" t="s">
        <v>29</v>
      </c>
      <c r="U2368" s="1" t="s">
        <v>30</v>
      </c>
      <c r="V2368" s="1">
        <v>0</v>
      </c>
    </row>
    <row r="2369" spans="2:22" x14ac:dyDescent="0.15">
      <c r="B2369" s="1" t="str">
        <f>"135****9685"</f>
        <v>135****9685</v>
      </c>
      <c r="C2369" s="1" t="s">
        <v>23</v>
      </c>
      <c r="D2369" s="1" t="str">
        <f t="shared" si="239"/>
        <v>89177328</v>
      </c>
      <c r="E2369" s="1" t="s">
        <v>24</v>
      </c>
      <c r="F2369" s="1" t="str">
        <f t="shared" si="240"/>
        <v>0010</v>
      </c>
      <c r="G2369" s="1" t="str">
        <f>""</f>
        <v/>
      </c>
      <c r="H2369" s="1" t="str">
        <f>"0035"</f>
        <v>0035</v>
      </c>
      <c r="I2369" s="1" t="s">
        <v>25</v>
      </c>
      <c r="J2369" s="1" t="str">
        <f>"01043977569"</f>
        <v>01043977569</v>
      </c>
      <c r="K2369" s="1" t="str">
        <f>"2017-03-22 17:05:04"</f>
        <v>2017-03-22 17:05:04</v>
      </c>
      <c r="L2369" s="1" t="str">
        <f>"2017-03-22 17:05:12"</f>
        <v>2017-03-22 17:05:12</v>
      </c>
      <c r="M2369" s="2">
        <v>3.472222222222222E-3</v>
      </c>
      <c r="N2369" s="1" t="s">
        <v>26</v>
      </c>
      <c r="O2369" s="1" t="s">
        <v>27</v>
      </c>
      <c r="P2369" s="2">
        <v>3.5648148148148154E-3</v>
      </c>
      <c r="Q2369" s="1" t="s">
        <v>1692</v>
      </c>
      <c r="R2369" s="1">
        <v>0</v>
      </c>
      <c r="S2369" s="1" t="str">
        <f>""</f>
        <v/>
      </c>
      <c r="T2369" s="1" t="s">
        <v>29</v>
      </c>
      <c r="U2369" s="1" t="s">
        <v>30</v>
      </c>
      <c r="V2369" s="1">
        <v>0</v>
      </c>
    </row>
    <row r="2370" spans="2:22" x14ac:dyDescent="0.15">
      <c r="B2370" s="1" t="str">
        <f>"180****9873"</f>
        <v>180****9873</v>
      </c>
      <c r="C2370" s="1" t="s">
        <v>23</v>
      </c>
      <c r="D2370" s="1" t="str">
        <f t="shared" si="239"/>
        <v>89177328</v>
      </c>
      <c r="E2370" s="1" t="s">
        <v>24</v>
      </c>
      <c r="F2370" s="1" t="str">
        <f t="shared" si="240"/>
        <v>0010</v>
      </c>
      <c r="G2370" s="1" t="str">
        <f>""</f>
        <v/>
      </c>
      <c r="H2370" s="1" t="str">
        <f>"0012"</f>
        <v>0012</v>
      </c>
      <c r="I2370" s="1" t="s">
        <v>612</v>
      </c>
      <c r="J2370" s="1" t="str">
        <f>"01043989720"</f>
        <v>01043989720</v>
      </c>
      <c r="K2370" s="1" t="str">
        <f>"2017-03-22 16:56:06"</f>
        <v>2017-03-22 16:56:06</v>
      </c>
      <c r="L2370" s="1" t="str">
        <f>"2017-03-22 16:56:20"</f>
        <v>2017-03-22 16:56:20</v>
      </c>
      <c r="M2370" s="2">
        <v>6.0648148148148145E-3</v>
      </c>
      <c r="N2370" s="1" t="s">
        <v>26</v>
      </c>
      <c r="O2370" s="1" t="s">
        <v>34</v>
      </c>
      <c r="P2370" s="2">
        <v>6.2268518518518515E-3</v>
      </c>
      <c r="Q2370" s="1" t="s">
        <v>1693</v>
      </c>
      <c r="R2370" s="1">
        <v>0</v>
      </c>
      <c r="S2370" s="1" t="str">
        <f>""</f>
        <v/>
      </c>
      <c r="T2370" s="1" t="s">
        <v>29</v>
      </c>
      <c r="U2370" s="1" t="s">
        <v>30</v>
      </c>
      <c r="V2370" s="1">
        <v>0</v>
      </c>
    </row>
    <row r="2371" spans="2:22" x14ac:dyDescent="0.15">
      <c r="B2371" s="1" t="str">
        <f>"159****9232"</f>
        <v>159****9232</v>
      </c>
      <c r="C2371" s="1" t="s">
        <v>23</v>
      </c>
      <c r="D2371" s="1" t="str">
        <f t="shared" si="239"/>
        <v>89177328</v>
      </c>
      <c r="E2371" s="1" t="s">
        <v>24</v>
      </c>
      <c r="F2371" s="1" t="str">
        <f t="shared" si="240"/>
        <v>0010</v>
      </c>
      <c r="G2371" s="1" t="str">
        <f>""</f>
        <v/>
      </c>
      <c r="H2371" s="1" t="str">
        <f>"0034"</f>
        <v>0034</v>
      </c>
      <c r="I2371" s="1" t="s">
        <v>31</v>
      </c>
      <c r="J2371" s="1" t="str">
        <f>"01043977568"</f>
        <v>01043977568</v>
      </c>
      <c r="K2371" s="1" t="str">
        <f>"2017-03-22 16:51:54"</f>
        <v>2017-03-22 16:51:54</v>
      </c>
      <c r="L2371" s="1" t="str">
        <f>"2017-03-22 16:52:03"</f>
        <v>2017-03-22 16:52:03</v>
      </c>
      <c r="M2371" s="2">
        <v>1.1701388888888891E-2</v>
      </c>
      <c r="N2371" s="1" t="s">
        <v>26</v>
      </c>
      <c r="O2371" s="1" t="s">
        <v>27</v>
      </c>
      <c r="P2371" s="2">
        <v>1.1805555555555555E-2</v>
      </c>
      <c r="Q2371" s="1" t="s">
        <v>1694</v>
      </c>
      <c r="R2371" s="1">
        <v>0</v>
      </c>
      <c r="S2371" s="1" t="str">
        <f>""</f>
        <v/>
      </c>
      <c r="T2371" s="1" t="s">
        <v>29</v>
      </c>
      <c r="U2371" s="1" t="s">
        <v>30</v>
      </c>
      <c r="V2371" s="1">
        <v>0</v>
      </c>
    </row>
    <row r="2372" spans="2:22" x14ac:dyDescent="0.15">
      <c r="B2372" s="1" t="str">
        <f>"185****4082"</f>
        <v>185****4082</v>
      </c>
      <c r="C2372" s="1" t="s">
        <v>23</v>
      </c>
      <c r="D2372" s="1" t="str">
        <f t="shared" si="239"/>
        <v>89177328</v>
      </c>
      <c r="E2372" s="1" t="s">
        <v>24</v>
      </c>
      <c r="F2372" s="1" t="str">
        <f t="shared" si="240"/>
        <v>0010</v>
      </c>
      <c r="G2372" s="1" t="str">
        <f>""</f>
        <v/>
      </c>
      <c r="H2372" s="1" t="str">
        <f>"0033"</f>
        <v>0033</v>
      </c>
      <c r="I2372" s="1" t="s">
        <v>106</v>
      </c>
      <c r="J2372" s="1" t="str">
        <f>"01043977567"</f>
        <v>01043977567</v>
      </c>
      <c r="K2372" s="1" t="str">
        <f>"2017-03-22 16:44:39"</f>
        <v>2017-03-22 16:44:39</v>
      </c>
      <c r="L2372" s="1" t="str">
        <f>"2017-03-22 16:44:49"</f>
        <v>2017-03-22 16:44:49</v>
      </c>
      <c r="M2372" s="2">
        <v>2.9236111111111112E-2</v>
      </c>
      <c r="N2372" s="1" t="s">
        <v>26</v>
      </c>
      <c r="O2372" s="1" t="s">
        <v>27</v>
      </c>
      <c r="P2372" s="2">
        <v>2.9351851851851851E-2</v>
      </c>
      <c r="Q2372" s="1" t="s">
        <v>1695</v>
      </c>
      <c r="R2372" s="1">
        <v>0</v>
      </c>
      <c r="S2372" s="1" t="str">
        <f>""</f>
        <v/>
      </c>
      <c r="T2372" s="1" t="s">
        <v>29</v>
      </c>
      <c r="U2372" s="1" t="s">
        <v>30</v>
      </c>
      <c r="V2372" s="1">
        <v>0</v>
      </c>
    </row>
    <row r="2373" spans="2:22" x14ac:dyDescent="0.15">
      <c r="B2373" s="1" t="str">
        <f>"157****1953"</f>
        <v>157****1953</v>
      </c>
      <c r="C2373" s="1" t="s">
        <v>23</v>
      </c>
      <c r="D2373" s="1" t="str">
        <f t="shared" si="239"/>
        <v>89177328</v>
      </c>
      <c r="E2373" s="1" t="s">
        <v>24</v>
      </c>
      <c r="F2373" s="1" t="str">
        <f t="shared" si="240"/>
        <v>0010</v>
      </c>
      <c r="G2373" s="1" t="str">
        <f>""</f>
        <v/>
      </c>
      <c r="H2373" s="1" t="str">
        <f>"0034"</f>
        <v>0034</v>
      </c>
      <c r="I2373" s="1" t="s">
        <v>31</v>
      </c>
      <c r="J2373" s="1" t="str">
        <f>"01043977568"</f>
        <v>01043977568</v>
      </c>
      <c r="K2373" s="1" t="str">
        <f>"2017-03-22 16:41:52"</f>
        <v>2017-03-22 16:41:52</v>
      </c>
      <c r="L2373" s="1" t="str">
        <f>"2017-03-22 16:42:00"</f>
        <v>2017-03-22 16:42:00</v>
      </c>
      <c r="M2373" s="2">
        <v>6.1921296296296299E-3</v>
      </c>
      <c r="N2373" s="1" t="s">
        <v>26</v>
      </c>
      <c r="O2373" s="1" t="s">
        <v>27</v>
      </c>
      <c r="P2373" s="2">
        <v>6.2847222222222228E-3</v>
      </c>
      <c r="Q2373" s="1" t="s">
        <v>1696</v>
      </c>
      <c r="R2373" s="1">
        <v>0</v>
      </c>
      <c r="S2373" s="1" t="str">
        <f>""</f>
        <v/>
      </c>
      <c r="T2373" s="1" t="s">
        <v>29</v>
      </c>
      <c r="U2373" s="1" t="s">
        <v>30</v>
      </c>
      <c r="V2373" s="1">
        <v>0</v>
      </c>
    </row>
    <row r="2374" spans="2:22" x14ac:dyDescent="0.15">
      <c r="B2374" s="1" t="str">
        <f>"177****9296"</f>
        <v>177****9296</v>
      </c>
      <c r="C2374" s="1" t="s">
        <v>1697</v>
      </c>
      <c r="D2374" s="1" t="str">
        <f>"4000108333"</f>
        <v>4000108333</v>
      </c>
      <c r="E2374" s="1" t="s">
        <v>53</v>
      </c>
      <c r="F2374" s="1" t="str">
        <f>"0000"</f>
        <v>0000</v>
      </c>
      <c r="G2374" s="1" t="str">
        <f>""</f>
        <v/>
      </c>
      <c r="H2374" s="1" t="str">
        <f>"0035"</f>
        <v>0035</v>
      </c>
      <c r="I2374" s="1" t="s">
        <v>25</v>
      </c>
      <c r="J2374" s="1" t="str">
        <f>"01043977569"</f>
        <v>01043977569</v>
      </c>
      <c r="K2374" s="1" t="str">
        <f>"2017-03-22 16:02:26"</f>
        <v>2017-03-22 16:02:26</v>
      </c>
      <c r="L2374" s="1" t="str">
        <f>"2017-03-22 16:02:59"</f>
        <v>2017-03-22 16:02:59</v>
      </c>
      <c r="M2374" s="2">
        <v>3.8194444444444446E-4</v>
      </c>
      <c r="N2374" s="1" t="s">
        <v>26</v>
      </c>
      <c r="O2374" s="1" t="s">
        <v>34</v>
      </c>
      <c r="P2374" s="2">
        <v>7.6388888888888893E-4</v>
      </c>
      <c r="Q2374" s="1" t="s">
        <v>1698</v>
      </c>
      <c r="R2374" s="1">
        <v>0.24</v>
      </c>
      <c r="S2374" s="1" t="str">
        <f>""</f>
        <v/>
      </c>
      <c r="T2374" s="1" t="s">
        <v>29</v>
      </c>
      <c r="U2374" s="1" t="s">
        <v>30</v>
      </c>
      <c r="V2374" s="1">
        <v>0</v>
      </c>
    </row>
    <row r="2375" spans="2:22" x14ac:dyDescent="0.15">
      <c r="B2375" s="1" t="str">
        <f>"0451****3651"</f>
        <v>0451****3651</v>
      </c>
      <c r="C2375" s="1" t="s">
        <v>69</v>
      </c>
      <c r="D2375" s="1" t="str">
        <f t="shared" ref="D2375:D2383" si="241">"89177328"</f>
        <v>89177328</v>
      </c>
      <c r="E2375" s="1" t="s">
        <v>24</v>
      </c>
      <c r="F2375" s="1" t="str">
        <f t="shared" ref="F2375:F2383" si="242">"0010"</f>
        <v>0010</v>
      </c>
      <c r="G2375" s="1" t="str">
        <f>""</f>
        <v/>
      </c>
      <c r="H2375" s="1" t="str">
        <f>"0017"</f>
        <v>0017</v>
      </c>
      <c r="I2375" s="1" t="s">
        <v>135</v>
      </c>
      <c r="J2375" s="1" t="str">
        <f>"01043989717"</f>
        <v>01043989717</v>
      </c>
      <c r="K2375" s="1" t="str">
        <f>"2017-03-22 16:02:22"</f>
        <v>2017-03-22 16:02:22</v>
      </c>
      <c r="L2375" s="1" t="str">
        <f>"2017-03-22 16:02:29"</f>
        <v>2017-03-22 16:02:29</v>
      </c>
      <c r="M2375" s="2">
        <v>4.8842592592592592E-3</v>
      </c>
      <c r="N2375" s="1" t="s">
        <v>26</v>
      </c>
      <c r="O2375" s="1" t="s">
        <v>27</v>
      </c>
      <c r="P2375" s="2">
        <v>4.9652777777777777E-3</v>
      </c>
      <c r="Q2375" s="1" t="s">
        <v>1699</v>
      </c>
      <c r="R2375" s="1">
        <v>0</v>
      </c>
      <c r="S2375" s="1" t="str">
        <f>""</f>
        <v/>
      </c>
      <c r="T2375" s="1" t="s">
        <v>29</v>
      </c>
      <c r="U2375" s="1" t="s">
        <v>30</v>
      </c>
      <c r="V2375" s="1">
        <v>0</v>
      </c>
    </row>
    <row r="2376" spans="2:22" x14ac:dyDescent="0.15">
      <c r="B2376" s="1" t="str">
        <f>"031****6522"</f>
        <v>031****6522</v>
      </c>
      <c r="C2376" s="1" t="s">
        <v>99</v>
      </c>
      <c r="D2376" s="1" t="str">
        <f t="shared" si="241"/>
        <v>89177328</v>
      </c>
      <c r="E2376" s="1" t="s">
        <v>24</v>
      </c>
      <c r="F2376" s="1" t="str">
        <f t="shared" si="242"/>
        <v>0010</v>
      </c>
      <c r="G2376" s="1" t="str">
        <f>""</f>
        <v/>
      </c>
      <c r="H2376" s="1" t="str">
        <f>"0033"</f>
        <v>0033</v>
      </c>
      <c r="I2376" s="1" t="s">
        <v>106</v>
      </c>
      <c r="J2376" s="1" t="str">
        <f>"01043977567"</f>
        <v>01043977567</v>
      </c>
      <c r="K2376" s="1" t="str">
        <f>"2017-03-22 16:00:12"</f>
        <v>2017-03-22 16:00:12</v>
      </c>
      <c r="L2376" s="1" t="str">
        <f>"2017-03-22 16:00:21"</f>
        <v>2017-03-22 16:00:21</v>
      </c>
      <c r="M2376" s="2">
        <v>1.1631944444444445E-2</v>
      </c>
      <c r="N2376" s="1" t="s">
        <v>26</v>
      </c>
      <c r="O2376" s="1" t="s">
        <v>27</v>
      </c>
      <c r="P2376" s="2">
        <v>1.1736111111111109E-2</v>
      </c>
      <c r="Q2376" s="1" t="s">
        <v>1700</v>
      </c>
      <c r="R2376" s="1">
        <v>0</v>
      </c>
      <c r="S2376" s="1" t="str">
        <f>""</f>
        <v/>
      </c>
      <c r="T2376" s="1" t="s">
        <v>29</v>
      </c>
      <c r="U2376" s="1" t="s">
        <v>30</v>
      </c>
      <c r="V2376" s="1">
        <v>0</v>
      </c>
    </row>
    <row r="2377" spans="2:22" x14ac:dyDescent="0.15">
      <c r="B2377" s="1" t="str">
        <f>"152****5199"</f>
        <v>152****5199</v>
      </c>
      <c r="C2377" s="1" t="s">
        <v>87</v>
      </c>
      <c r="D2377" s="1" t="str">
        <f t="shared" si="241"/>
        <v>89177328</v>
      </c>
      <c r="E2377" s="1" t="s">
        <v>24</v>
      </c>
      <c r="F2377" s="1" t="str">
        <f t="shared" si="242"/>
        <v>0010</v>
      </c>
      <c r="G2377" s="1" t="str">
        <f>""</f>
        <v/>
      </c>
      <c r="H2377" s="1" t="str">
        <f>"0034"</f>
        <v>0034</v>
      </c>
      <c r="I2377" s="1" t="s">
        <v>31</v>
      </c>
      <c r="J2377" s="1" t="str">
        <f>"01043977568"</f>
        <v>01043977568</v>
      </c>
      <c r="K2377" s="1" t="str">
        <f>"2017-03-22 15:55:14"</f>
        <v>2017-03-22 15:55:14</v>
      </c>
      <c r="L2377" s="1" t="str">
        <f>"2017-03-22 15:55:27"</f>
        <v>2017-03-22 15:55:27</v>
      </c>
      <c r="M2377" s="2">
        <v>6.2962962962962964E-3</v>
      </c>
      <c r="N2377" s="1" t="s">
        <v>26</v>
      </c>
      <c r="O2377" s="1" t="s">
        <v>34</v>
      </c>
      <c r="P2377" s="2">
        <v>6.4467592592592597E-3</v>
      </c>
      <c r="Q2377" s="1" t="s">
        <v>1701</v>
      </c>
      <c r="R2377" s="1">
        <v>0</v>
      </c>
      <c r="S2377" s="1" t="str">
        <f>""</f>
        <v/>
      </c>
      <c r="T2377" s="1" t="s">
        <v>29</v>
      </c>
      <c r="U2377" s="1" t="s">
        <v>30</v>
      </c>
      <c r="V2377" s="1">
        <v>0</v>
      </c>
    </row>
    <row r="2378" spans="2:22" x14ac:dyDescent="0.15">
      <c r="B2378" s="1" t="str">
        <f>"133****8660"</f>
        <v>133****8660</v>
      </c>
      <c r="C2378" s="1" t="s">
        <v>113</v>
      </c>
      <c r="D2378" s="1" t="str">
        <f t="shared" si="241"/>
        <v>89177328</v>
      </c>
      <c r="E2378" s="1" t="s">
        <v>24</v>
      </c>
      <c r="F2378" s="1" t="str">
        <f t="shared" si="242"/>
        <v>0010</v>
      </c>
      <c r="G2378" s="1" t="str">
        <f>""</f>
        <v/>
      </c>
      <c r="H2378" s="1" t="str">
        <f>"0012"</f>
        <v>0012</v>
      </c>
      <c r="I2378" s="1" t="s">
        <v>612</v>
      </c>
      <c r="J2378" s="1" t="str">
        <f>"01043989720"</f>
        <v>01043989720</v>
      </c>
      <c r="K2378" s="1" t="str">
        <f>"2017-03-22 15:31:48"</f>
        <v>2017-03-22 15:31:48</v>
      </c>
      <c r="L2378" s="1" t="str">
        <f>"2017-03-22 15:32:00"</f>
        <v>2017-03-22 15:32:00</v>
      </c>
      <c r="M2378" s="2">
        <v>9.0972222222222218E-3</v>
      </c>
      <c r="N2378" s="1" t="s">
        <v>26</v>
      </c>
      <c r="O2378" s="1" t="s">
        <v>27</v>
      </c>
      <c r="P2378" s="2">
        <v>9.2361111111111116E-3</v>
      </c>
      <c r="Q2378" s="1" t="s">
        <v>1702</v>
      </c>
      <c r="R2378" s="1">
        <v>0</v>
      </c>
      <c r="S2378" s="1" t="str">
        <f>""</f>
        <v/>
      </c>
      <c r="T2378" s="1" t="s">
        <v>29</v>
      </c>
      <c r="U2378" s="1" t="s">
        <v>30</v>
      </c>
      <c r="V2378" s="1">
        <v>0</v>
      </c>
    </row>
    <row r="2379" spans="2:22" x14ac:dyDescent="0.15">
      <c r="B2379" s="1" t="str">
        <f>"185****2232"</f>
        <v>185****2232</v>
      </c>
      <c r="C2379" s="1" t="s">
        <v>23</v>
      </c>
      <c r="D2379" s="1" t="str">
        <f t="shared" si="241"/>
        <v>89177328</v>
      </c>
      <c r="E2379" s="1" t="s">
        <v>24</v>
      </c>
      <c r="F2379" s="1" t="str">
        <f t="shared" si="242"/>
        <v>0010</v>
      </c>
      <c r="G2379" s="1" t="str">
        <f>""</f>
        <v/>
      </c>
      <c r="H2379" s="1" t="str">
        <f>"0017"</f>
        <v>0017</v>
      </c>
      <c r="I2379" s="1" t="s">
        <v>135</v>
      </c>
      <c r="J2379" s="1" t="str">
        <f>"01043989717"</f>
        <v>01043989717</v>
      </c>
      <c r="K2379" s="1" t="str">
        <f>"2017-03-22 15:21:04"</f>
        <v>2017-03-22 15:21:04</v>
      </c>
      <c r="L2379" s="1" t="str">
        <f>"2017-03-22 15:21:11"</f>
        <v>2017-03-22 15:21:11</v>
      </c>
      <c r="M2379" s="2">
        <v>6.4583333333333333E-3</v>
      </c>
      <c r="N2379" s="1" t="s">
        <v>26</v>
      </c>
      <c r="O2379" s="1" t="s">
        <v>27</v>
      </c>
      <c r="P2379" s="2">
        <v>6.5393518518518517E-3</v>
      </c>
      <c r="Q2379" s="1" t="s">
        <v>1703</v>
      </c>
      <c r="R2379" s="1">
        <v>0</v>
      </c>
      <c r="S2379" s="1" t="str">
        <f>""</f>
        <v/>
      </c>
      <c r="T2379" s="1" t="s">
        <v>29</v>
      </c>
      <c r="U2379" s="1" t="s">
        <v>30</v>
      </c>
      <c r="V2379" s="1">
        <v>0</v>
      </c>
    </row>
    <row r="2380" spans="2:22" x14ac:dyDescent="0.15">
      <c r="B2380" s="1" t="str">
        <f>"157****6823"</f>
        <v>157****6823</v>
      </c>
      <c r="C2380" s="1" t="s">
        <v>23</v>
      </c>
      <c r="D2380" s="1" t="str">
        <f t="shared" si="241"/>
        <v>89177328</v>
      </c>
      <c r="E2380" s="1" t="s">
        <v>24</v>
      </c>
      <c r="F2380" s="1" t="str">
        <f t="shared" si="242"/>
        <v>0010</v>
      </c>
      <c r="G2380" s="1" t="str">
        <f>""</f>
        <v/>
      </c>
      <c r="H2380" s="1" t="str">
        <f>"0018"</f>
        <v>0018</v>
      </c>
      <c r="I2380" s="1" t="s">
        <v>36</v>
      </c>
      <c r="J2380" s="1" t="str">
        <f>"01043989718"</f>
        <v>01043989718</v>
      </c>
      <c r="K2380" s="1" t="str">
        <f>"2017-03-22 15:15:47"</f>
        <v>2017-03-22 15:15:47</v>
      </c>
      <c r="L2380" s="1" t="str">
        <f>"2017-03-22 15:15:56"</f>
        <v>2017-03-22 15:15:56</v>
      </c>
      <c r="M2380" s="2">
        <v>4.0624999999999993E-3</v>
      </c>
      <c r="N2380" s="1" t="s">
        <v>26</v>
      </c>
      <c r="O2380" s="1" t="s">
        <v>34</v>
      </c>
      <c r="P2380" s="2">
        <v>4.1666666666666666E-3</v>
      </c>
      <c r="Q2380" s="1" t="s">
        <v>1704</v>
      </c>
      <c r="R2380" s="1">
        <v>0</v>
      </c>
      <c r="S2380" s="1" t="str">
        <f>""</f>
        <v/>
      </c>
      <c r="T2380" s="1" t="s">
        <v>29</v>
      </c>
      <c r="U2380" s="1" t="s">
        <v>30</v>
      </c>
      <c r="V2380" s="1">
        <v>0</v>
      </c>
    </row>
    <row r="2381" spans="2:22" x14ac:dyDescent="0.15">
      <c r="B2381" s="1" t="str">
        <f>"156****6151"</f>
        <v>156****6151</v>
      </c>
      <c r="C2381" s="1" t="s">
        <v>795</v>
      </c>
      <c r="D2381" s="1" t="str">
        <f t="shared" si="241"/>
        <v>89177328</v>
      </c>
      <c r="E2381" s="1" t="s">
        <v>24</v>
      </c>
      <c r="F2381" s="1" t="str">
        <f t="shared" si="242"/>
        <v>0010</v>
      </c>
      <c r="G2381" s="1" t="str">
        <f>""</f>
        <v/>
      </c>
      <c r="H2381" s="1" t="str">
        <f>"0032"</f>
        <v>0032</v>
      </c>
      <c r="I2381" s="1" t="s">
        <v>119</v>
      </c>
      <c r="J2381" s="1" t="str">
        <f>"01043977566"</f>
        <v>01043977566</v>
      </c>
      <c r="K2381" s="1" t="str">
        <f>"2017-03-22 15:12:06"</f>
        <v>2017-03-22 15:12:06</v>
      </c>
      <c r="L2381" s="1" t="str">
        <f>"2017-03-22 15:12:18"</f>
        <v>2017-03-22 15:12:18</v>
      </c>
      <c r="M2381" s="2">
        <v>8.2638888888888883E-3</v>
      </c>
      <c r="N2381" s="1" t="s">
        <v>26</v>
      </c>
      <c r="O2381" s="1" t="s">
        <v>34</v>
      </c>
      <c r="P2381" s="2">
        <v>8.4027777777777781E-3</v>
      </c>
      <c r="Q2381" s="1" t="s">
        <v>1705</v>
      </c>
      <c r="R2381" s="1">
        <v>0</v>
      </c>
      <c r="S2381" s="1" t="str">
        <f>""</f>
        <v/>
      </c>
      <c r="T2381" s="1" t="s">
        <v>29</v>
      </c>
      <c r="U2381" s="1" t="s">
        <v>30</v>
      </c>
      <c r="V2381" s="1">
        <v>0</v>
      </c>
    </row>
    <row r="2382" spans="2:22" x14ac:dyDescent="0.15">
      <c r="B2382" s="1" t="str">
        <f>"136****5989"</f>
        <v>136****5989</v>
      </c>
      <c r="C2382" s="1" t="s">
        <v>23</v>
      </c>
      <c r="D2382" s="1" t="str">
        <f t="shared" si="241"/>
        <v>89177328</v>
      </c>
      <c r="E2382" s="1" t="s">
        <v>24</v>
      </c>
      <c r="F2382" s="1" t="str">
        <f t="shared" si="242"/>
        <v>0010</v>
      </c>
      <c r="G2382" s="1" t="str">
        <f>""</f>
        <v/>
      </c>
      <c r="H2382" s="1" t="str">
        <f>"0034"</f>
        <v>0034</v>
      </c>
      <c r="I2382" s="1" t="s">
        <v>31</v>
      </c>
      <c r="J2382" s="1" t="str">
        <f>"01043977568"</f>
        <v>01043977568</v>
      </c>
      <c r="K2382" s="1" t="str">
        <f>"2017-03-22 15:05:48"</f>
        <v>2017-03-22 15:05:48</v>
      </c>
      <c r="L2382" s="1" t="str">
        <f>"2017-03-22 15:05:58"</f>
        <v>2017-03-22 15:05:58</v>
      </c>
      <c r="M2382" s="2">
        <v>3.8310185185185183E-3</v>
      </c>
      <c r="N2382" s="1" t="s">
        <v>26</v>
      </c>
      <c r="O2382" s="1" t="s">
        <v>27</v>
      </c>
      <c r="P2382" s="2">
        <v>3.9467592592592592E-3</v>
      </c>
      <c r="Q2382" s="1" t="s">
        <v>1706</v>
      </c>
      <c r="R2382" s="1">
        <v>0</v>
      </c>
      <c r="S2382" s="1" t="str">
        <f>""</f>
        <v/>
      </c>
      <c r="T2382" s="1" t="s">
        <v>29</v>
      </c>
      <c r="U2382" s="1" t="s">
        <v>30</v>
      </c>
      <c r="V2382" s="1">
        <v>0</v>
      </c>
    </row>
    <row r="2383" spans="2:22" x14ac:dyDescent="0.15">
      <c r="B2383" s="1" t="str">
        <f>"138****0708"</f>
        <v>138****0708</v>
      </c>
      <c r="C2383" s="1" t="s">
        <v>1707</v>
      </c>
      <c r="D2383" s="1" t="str">
        <f t="shared" si="241"/>
        <v>89177328</v>
      </c>
      <c r="E2383" s="1" t="s">
        <v>24</v>
      </c>
      <c r="F2383" s="1" t="str">
        <f t="shared" si="242"/>
        <v>0010</v>
      </c>
      <c r="G2383" s="1" t="str">
        <f>""</f>
        <v/>
      </c>
      <c r="H2383" s="1" t="str">
        <f>"0035"</f>
        <v>0035</v>
      </c>
      <c r="I2383" s="1" t="s">
        <v>25</v>
      </c>
      <c r="J2383" s="1" t="str">
        <f>"01043977569"</f>
        <v>01043977569</v>
      </c>
      <c r="K2383" s="1" t="str">
        <f>"2017-03-22 14:59:33"</f>
        <v>2017-03-22 14:59:33</v>
      </c>
      <c r="L2383" s="1" t="str">
        <f>"2017-03-22 14:59:43"</f>
        <v>2017-03-22 14:59:43</v>
      </c>
      <c r="M2383" s="2">
        <v>5.0578703703703706E-3</v>
      </c>
      <c r="N2383" s="1" t="s">
        <v>26</v>
      </c>
      <c r="O2383" s="1" t="s">
        <v>27</v>
      </c>
      <c r="P2383" s="2">
        <v>5.1736111111111115E-3</v>
      </c>
      <c r="Q2383" s="1" t="s">
        <v>1708</v>
      </c>
      <c r="R2383" s="1">
        <v>0</v>
      </c>
      <c r="S2383" s="1" t="str">
        <f>""</f>
        <v/>
      </c>
      <c r="T2383" s="1" t="s">
        <v>29</v>
      </c>
      <c r="U2383" s="1" t="s">
        <v>30</v>
      </c>
      <c r="V2383" s="1">
        <v>0</v>
      </c>
    </row>
    <row r="2384" spans="2:22" x14ac:dyDescent="0.15">
      <c r="B2384" s="1" t="str">
        <f>"150****6926"</f>
        <v>150****6926</v>
      </c>
      <c r="C2384" s="1" t="s">
        <v>1505</v>
      </c>
      <c r="D2384" s="1" t="str">
        <f>"4000108333"</f>
        <v>4000108333</v>
      </c>
      <c r="E2384" s="1" t="s">
        <v>53</v>
      </c>
      <c r="F2384" s="1" t="str">
        <f>"333"</f>
        <v>333</v>
      </c>
      <c r="G2384" s="1" t="s">
        <v>952</v>
      </c>
      <c r="H2384" s="1" t="str">
        <f>""</f>
        <v/>
      </c>
      <c r="I2384" s="1" t="str">
        <f>""</f>
        <v/>
      </c>
      <c r="J2384" s="1" t="str">
        <f>"13718091869"</f>
        <v>13718091869</v>
      </c>
      <c r="K2384" s="1" t="str">
        <f>"2017-03-22 14:52:02"</f>
        <v>2017-03-22 14:52:02</v>
      </c>
      <c r="L2384" s="1" t="str">
        <f>"2017-03-22 14:52:39"</f>
        <v>2017-03-22 14:52:39</v>
      </c>
      <c r="M2384" s="2">
        <v>1.1655092592592594E-2</v>
      </c>
      <c r="N2384" s="1" t="s">
        <v>26</v>
      </c>
      <c r="O2384" s="1" t="s">
        <v>27</v>
      </c>
      <c r="P2384" s="2">
        <v>1.2083333333333333E-2</v>
      </c>
      <c r="Q2384" s="1" t="s">
        <v>1709</v>
      </c>
      <c r="R2384" s="1">
        <v>2.16</v>
      </c>
      <c r="S2384" s="1" t="str">
        <f>""</f>
        <v/>
      </c>
      <c r="T2384" s="1" t="s">
        <v>29</v>
      </c>
      <c r="U2384" s="1" t="s">
        <v>30</v>
      </c>
      <c r="V2384" s="1">
        <v>0</v>
      </c>
    </row>
    <row r="2385" spans="2:22" x14ac:dyDescent="0.15">
      <c r="B2385" s="1" t="str">
        <f>"130****7326"</f>
        <v>130****7326</v>
      </c>
      <c r="C2385" s="1" t="s">
        <v>23</v>
      </c>
      <c r="D2385" s="1" t="str">
        <f t="shared" ref="D2385:D2400" si="243">"89177328"</f>
        <v>89177328</v>
      </c>
      <c r="E2385" s="1" t="s">
        <v>24</v>
      </c>
      <c r="F2385" s="1" t="str">
        <f t="shared" ref="F2385:F2400" si="244">"0010"</f>
        <v>0010</v>
      </c>
      <c r="G2385" s="1" t="str">
        <f>""</f>
        <v/>
      </c>
      <c r="H2385" s="1" t="str">
        <f>"0031"</f>
        <v>0031</v>
      </c>
      <c r="I2385" s="1" t="s">
        <v>95</v>
      </c>
      <c r="J2385" s="1" t="str">
        <f>"01043977565"</f>
        <v>01043977565</v>
      </c>
      <c r="K2385" s="1" t="str">
        <f>"2017-03-22 14:51:28"</f>
        <v>2017-03-22 14:51:28</v>
      </c>
      <c r="L2385" s="1" t="str">
        <f>"2017-03-22 14:51:37"</f>
        <v>2017-03-22 14:51:37</v>
      </c>
      <c r="M2385" s="2">
        <v>2.5555555555555554E-2</v>
      </c>
      <c r="N2385" s="1" t="s">
        <v>26</v>
      </c>
      <c r="O2385" s="1" t="s">
        <v>27</v>
      </c>
      <c r="P2385" s="2">
        <v>2.5659722222222223E-2</v>
      </c>
      <c r="Q2385" s="1" t="s">
        <v>1710</v>
      </c>
      <c r="R2385" s="1">
        <v>0</v>
      </c>
      <c r="S2385" s="1" t="str">
        <f>""</f>
        <v/>
      </c>
      <c r="T2385" s="1" t="s">
        <v>29</v>
      </c>
      <c r="U2385" s="1" t="s">
        <v>30</v>
      </c>
      <c r="V2385" s="1">
        <v>0</v>
      </c>
    </row>
    <row r="2386" spans="2:22" x14ac:dyDescent="0.15">
      <c r="B2386" s="1" t="str">
        <f>"150****1887"</f>
        <v>150****1887</v>
      </c>
      <c r="C2386" s="1" t="s">
        <v>23</v>
      </c>
      <c r="D2386" s="1" t="str">
        <f t="shared" si="243"/>
        <v>89177328</v>
      </c>
      <c r="E2386" s="1" t="s">
        <v>24</v>
      </c>
      <c r="F2386" s="1" t="str">
        <f t="shared" si="244"/>
        <v>0010</v>
      </c>
      <c r="G2386" s="1" t="str">
        <f>""</f>
        <v/>
      </c>
      <c r="H2386" s="1" t="str">
        <f>"0034"</f>
        <v>0034</v>
      </c>
      <c r="I2386" s="1" t="s">
        <v>31</v>
      </c>
      <c r="J2386" s="1" t="str">
        <f>"01043977568"</f>
        <v>01043977568</v>
      </c>
      <c r="K2386" s="1" t="str">
        <f>"2017-03-22 14:50:59"</f>
        <v>2017-03-22 14:50:59</v>
      </c>
      <c r="L2386" s="1" t="str">
        <f>"2017-03-22 14:51:09"</f>
        <v>2017-03-22 14:51:09</v>
      </c>
      <c r="M2386" s="2">
        <v>8.2986111111111108E-3</v>
      </c>
      <c r="N2386" s="1" t="s">
        <v>26</v>
      </c>
      <c r="O2386" s="1" t="s">
        <v>34</v>
      </c>
      <c r="P2386" s="2">
        <v>8.4143518518518517E-3</v>
      </c>
      <c r="Q2386" s="1" t="s">
        <v>1711</v>
      </c>
      <c r="R2386" s="1">
        <v>0</v>
      </c>
      <c r="S2386" s="1" t="str">
        <f>""</f>
        <v/>
      </c>
      <c r="T2386" s="1" t="s">
        <v>29</v>
      </c>
      <c r="U2386" s="1" t="s">
        <v>30</v>
      </c>
      <c r="V2386" s="1">
        <v>0</v>
      </c>
    </row>
    <row r="2387" spans="2:22" x14ac:dyDescent="0.15">
      <c r="B2387" s="1" t="str">
        <f>"150****2125"</f>
        <v>150****2125</v>
      </c>
      <c r="C2387" s="1" t="s">
        <v>23</v>
      </c>
      <c r="D2387" s="1" t="str">
        <f t="shared" si="243"/>
        <v>89177328</v>
      </c>
      <c r="E2387" s="1" t="s">
        <v>24</v>
      </c>
      <c r="F2387" s="1" t="str">
        <f t="shared" si="244"/>
        <v>0010</v>
      </c>
      <c r="G2387" s="1" t="str">
        <f>""</f>
        <v/>
      </c>
      <c r="H2387" s="1" t="str">
        <f>"0034"</f>
        <v>0034</v>
      </c>
      <c r="I2387" s="1" t="s">
        <v>31</v>
      </c>
      <c r="J2387" s="1" t="str">
        <f>"01043977568"</f>
        <v>01043977568</v>
      </c>
      <c r="K2387" s="1" t="str">
        <f>"2017-03-22 14:20:14"</f>
        <v>2017-03-22 14:20:14</v>
      </c>
      <c r="L2387" s="1" t="str">
        <f>"2017-03-22 14:20:26"</f>
        <v>2017-03-22 14:20:26</v>
      </c>
      <c r="M2387" s="2">
        <v>1.4606481481481482E-2</v>
      </c>
      <c r="N2387" s="1" t="s">
        <v>26</v>
      </c>
      <c r="O2387" s="1" t="s">
        <v>34</v>
      </c>
      <c r="P2387" s="2">
        <v>1.4745370370370372E-2</v>
      </c>
      <c r="Q2387" s="1" t="s">
        <v>1712</v>
      </c>
      <c r="R2387" s="1">
        <v>0</v>
      </c>
      <c r="S2387" s="1" t="str">
        <f>""</f>
        <v/>
      </c>
      <c r="T2387" s="1" t="s">
        <v>29</v>
      </c>
      <c r="U2387" s="1" t="s">
        <v>30</v>
      </c>
      <c r="V2387" s="1">
        <v>0</v>
      </c>
    </row>
    <row r="2388" spans="2:22" x14ac:dyDescent="0.15">
      <c r="B2388" s="1" t="str">
        <f>"131****2287"</f>
        <v>131****2287</v>
      </c>
      <c r="C2388" s="1" t="s">
        <v>23</v>
      </c>
      <c r="D2388" s="1" t="str">
        <f t="shared" si="243"/>
        <v>89177328</v>
      </c>
      <c r="E2388" s="1" t="s">
        <v>24</v>
      </c>
      <c r="F2388" s="1" t="str">
        <f t="shared" si="244"/>
        <v>0010</v>
      </c>
      <c r="G2388" s="1" t="str">
        <f>""</f>
        <v/>
      </c>
      <c r="H2388" s="1" t="str">
        <f>"0033"</f>
        <v>0033</v>
      </c>
      <c r="I2388" s="1" t="s">
        <v>106</v>
      </c>
      <c r="J2388" s="1" t="str">
        <f>"01043977567"</f>
        <v>01043977567</v>
      </c>
      <c r="K2388" s="1" t="str">
        <f>"2017-03-22 14:01:41"</f>
        <v>2017-03-22 14:01:41</v>
      </c>
      <c r="L2388" s="1" t="str">
        <f>"2017-03-22 14:01:47"</f>
        <v>2017-03-22 14:01:47</v>
      </c>
      <c r="M2388" s="2">
        <v>1.7592592592592592E-3</v>
      </c>
      <c r="N2388" s="1" t="s">
        <v>26</v>
      </c>
      <c r="O2388" s="1" t="s">
        <v>27</v>
      </c>
      <c r="P2388" s="2">
        <v>1.8287037037037037E-3</v>
      </c>
      <c r="Q2388" s="1" t="s">
        <v>1713</v>
      </c>
      <c r="R2388" s="1">
        <v>0</v>
      </c>
      <c r="S2388" s="1" t="str">
        <f>""</f>
        <v/>
      </c>
      <c r="T2388" s="1" t="s">
        <v>29</v>
      </c>
      <c r="U2388" s="1" t="s">
        <v>30</v>
      </c>
      <c r="V2388" s="1">
        <v>0</v>
      </c>
    </row>
    <row r="2389" spans="2:22" x14ac:dyDescent="0.15">
      <c r="B2389" s="1" t="str">
        <f>"159****3388"</f>
        <v>159****3388</v>
      </c>
      <c r="C2389" s="1" t="s">
        <v>911</v>
      </c>
      <c r="D2389" s="1" t="str">
        <f t="shared" si="243"/>
        <v>89177328</v>
      </c>
      <c r="E2389" s="1" t="s">
        <v>24</v>
      </c>
      <c r="F2389" s="1" t="str">
        <f t="shared" si="244"/>
        <v>0010</v>
      </c>
      <c r="G2389" s="1" t="str">
        <f>""</f>
        <v/>
      </c>
      <c r="H2389" s="1" t="str">
        <f>"0033"</f>
        <v>0033</v>
      </c>
      <c r="I2389" s="1" t="s">
        <v>106</v>
      </c>
      <c r="J2389" s="1" t="str">
        <f>"01043977567"</f>
        <v>01043977567</v>
      </c>
      <c r="K2389" s="1" t="str">
        <f>"2017-03-22 13:58:42"</f>
        <v>2017-03-22 13:58:42</v>
      </c>
      <c r="L2389" s="1" t="str">
        <f>"2017-03-22 13:58:50"</f>
        <v>2017-03-22 13:58:50</v>
      </c>
      <c r="M2389" s="2">
        <v>8.1018518518518516E-4</v>
      </c>
      <c r="N2389" s="1" t="s">
        <v>26</v>
      </c>
      <c r="O2389" s="1" t="s">
        <v>34</v>
      </c>
      <c r="P2389" s="2">
        <v>9.0277777777777784E-4</v>
      </c>
      <c r="Q2389" s="1" t="s">
        <v>1714</v>
      </c>
      <c r="R2389" s="1">
        <v>0</v>
      </c>
      <c r="S2389" s="1" t="str">
        <f>""</f>
        <v/>
      </c>
      <c r="T2389" s="1" t="s">
        <v>29</v>
      </c>
      <c r="U2389" s="1" t="s">
        <v>30</v>
      </c>
      <c r="V2389" s="1">
        <v>0</v>
      </c>
    </row>
    <row r="2390" spans="2:22" x14ac:dyDescent="0.15">
      <c r="B2390" s="1" t="str">
        <f>"186****5445"</f>
        <v>186****5445</v>
      </c>
      <c r="C2390" s="1" t="s">
        <v>23</v>
      </c>
      <c r="D2390" s="1" t="str">
        <f t="shared" si="243"/>
        <v>89177328</v>
      </c>
      <c r="E2390" s="1" t="s">
        <v>24</v>
      </c>
      <c r="F2390" s="1" t="str">
        <f t="shared" si="244"/>
        <v>0010</v>
      </c>
      <c r="G2390" s="1" t="str">
        <f>""</f>
        <v/>
      </c>
      <c r="H2390" s="1" t="str">
        <f>"0018"</f>
        <v>0018</v>
      </c>
      <c r="I2390" s="1" t="s">
        <v>36</v>
      </c>
      <c r="J2390" s="1" t="str">
        <f>"01043989718"</f>
        <v>01043989718</v>
      </c>
      <c r="K2390" s="1" t="str">
        <f>"2017-03-22 13:55:41"</f>
        <v>2017-03-22 13:55:41</v>
      </c>
      <c r="L2390" s="1" t="str">
        <f>"2017-03-22 13:55:49"</f>
        <v>2017-03-22 13:55:49</v>
      </c>
      <c r="M2390" s="2">
        <v>4.8611111111111112E-3</v>
      </c>
      <c r="N2390" s="1" t="s">
        <v>26</v>
      </c>
      <c r="O2390" s="1" t="s">
        <v>34</v>
      </c>
      <c r="P2390" s="2">
        <v>4.9537037037037041E-3</v>
      </c>
      <c r="Q2390" s="1" t="s">
        <v>1715</v>
      </c>
      <c r="R2390" s="1">
        <v>0</v>
      </c>
      <c r="S2390" s="1" t="str">
        <f>""</f>
        <v/>
      </c>
      <c r="T2390" s="1" t="s">
        <v>29</v>
      </c>
      <c r="U2390" s="1" t="s">
        <v>30</v>
      </c>
      <c r="V2390" s="1">
        <v>0</v>
      </c>
    </row>
    <row r="2391" spans="2:22" x14ac:dyDescent="0.15">
      <c r="B2391" s="1" t="str">
        <f>"153****1330"</f>
        <v>153****1330</v>
      </c>
      <c r="C2391" s="1" t="s">
        <v>831</v>
      </c>
      <c r="D2391" s="1" t="str">
        <f t="shared" si="243"/>
        <v>89177328</v>
      </c>
      <c r="E2391" s="1" t="s">
        <v>24</v>
      </c>
      <c r="F2391" s="1" t="str">
        <f t="shared" si="244"/>
        <v>0010</v>
      </c>
      <c r="G2391" s="1" t="str">
        <f>""</f>
        <v/>
      </c>
      <c r="H2391" s="1" t="str">
        <f>"0035"</f>
        <v>0035</v>
      </c>
      <c r="I2391" s="1" t="s">
        <v>25</v>
      </c>
      <c r="J2391" s="1" t="str">
        <f>"01043977569"</f>
        <v>01043977569</v>
      </c>
      <c r="K2391" s="1" t="str">
        <f>"2017-03-22 13:16:25"</f>
        <v>2017-03-22 13:16:25</v>
      </c>
      <c r="L2391" s="1" t="str">
        <f>"-"</f>
        <v>-</v>
      </c>
      <c r="M2391" s="2">
        <v>0</v>
      </c>
      <c r="N2391" s="1" t="s">
        <v>33</v>
      </c>
      <c r="O2391" s="1" t="s">
        <v>34</v>
      </c>
      <c r="P2391" s="2">
        <v>1.1574074074074073E-5</v>
      </c>
      <c r="Q2391" s="1" t="str">
        <f>""</f>
        <v/>
      </c>
      <c r="R2391" s="1">
        <v>0</v>
      </c>
      <c r="S2391" s="1" t="str">
        <f>""</f>
        <v/>
      </c>
      <c r="T2391" s="1" t="s">
        <v>29</v>
      </c>
      <c r="U2391" s="1" t="s">
        <v>30</v>
      </c>
      <c r="V2391" s="1">
        <v>0</v>
      </c>
    </row>
    <row r="2392" spans="2:22" x14ac:dyDescent="0.15">
      <c r="B2392" s="1" t="str">
        <f>"134****3876"</f>
        <v>134****3876</v>
      </c>
      <c r="C2392" s="1" t="s">
        <v>23</v>
      </c>
      <c r="D2392" s="1" t="str">
        <f t="shared" si="243"/>
        <v>89177328</v>
      </c>
      <c r="E2392" s="1" t="s">
        <v>24</v>
      </c>
      <c r="F2392" s="1" t="str">
        <f t="shared" si="244"/>
        <v>0010</v>
      </c>
      <c r="G2392" s="1" t="str">
        <f>""</f>
        <v/>
      </c>
      <c r="H2392" s="1" t="str">
        <f>"0035"</f>
        <v>0035</v>
      </c>
      <c r="I2392" s="1" t="s">
        <v>25</v>
      </c>
      <c r="J2392" s="1" t="str">
        <f>"01043977569"</f>
        <v>01043977569</v>
      </c>
      <c r="K2392" s="1" t="str">
        <f>"2017-03-22 12:53:26"</f>
        <v>2017-03-22 12:53:26</v>
      </c>
      <c r="L2392" s="1" t="str">
        <f>"2017-03-22 12:53:33"</f>
        <v>2017-03-22 12:53:33</v>
      </c>
      <c r="M2392" s="2">
        <v>4.6759259259259263E-3</v>
      </c>
      <c r="N2392" s="1" t="s">
        <v>26</v>
      </c>
      <c r="O2392" s="1" t="s">
        <v>27</v>
      </c>
      <c r="P2392" s="2">
        <v>4.7569444444444447E-3</v>
      </c>
      <c r="Q2392" s="1" t="s">
        <v>1716</v>
      </c>
      <c r="R2392" s="1">
        <v>0</v>
      </c>
      <c r="S2392" s="1" t="str">
        <f>""</f>
        <v/>
      </c>
      <c r="T2392" s="1" t="s">
        <v>29</v>
      </c>
      <c r="U2392" s="1" t="s">
        <v>30</v>
      </c>
      <c r="V2392" s="1">
        <v>0</v>
      </c>
    </row>
    <row r="2393" spans="2:22" x14ac:dyDescent="0.15">
      <c r="B2393" s="1" t="str">
        <f>"135****9330"</f>
        <v>135****9330</v>
      </c>
      <c r="C2393" s="1" t="s">
        <v>23</v>
      </c>
      <c r="D2393" s="1" t="str">
        <f t="shared" si="243"/>
        <v>89177328</v>
      </c>
      <c r="E2393" s="1" t="s">
        <v>24</v>
      </c>
      <c r="F2393" s="1" t="str">
        <f t="shared" si="244"/>
        <v>0010</v>
      </c>
      <c r="G2393" s="1" t="str">
        <f>""</f>
        <v/>
      </c>
      <c r="H2393" s="1" t="str">
        <f>"0018"</f>
        <v>0018</v>
      </c>
      <c r="I2393" s="1" t="s">
        <v>36</v>
      </c>
      <c r="J2393" s="1" t="str">
        <f>"01043989718"</f>
        <v>01043989718</v>
      </c>
      <c r="K2393" s="1" t="str">
        <f>"2017-03-22 12:41:54"</f>
        <v>2017-03-22 12:41:54</v>
      </c>
      <c r="L2393" s="1" t="str">
        <f>"2017-03-22 12:42:02"</f>
        <v>2017-03-22 12:42:02</v>
      </c>
      <c r="M2393" s="2">
        <v>8.1828703703703699E-3</v>
      </c>
      <c r="N2393" s="1" t="s">
        <v>26</v>
      </c>
      <c r="O2393" s="1" t="s">
        <v>34</v>
      </c>
      <c r="P2393" s="2">
        <v>8.2754629629629619E-3</v>
      </c>
      <c r="Q2393" s="1" t="s">
        <v>1717</v>
      </c>
      <c r="R2393" s="1">
        <v>0</v>
      </c>
      <c r="S2393" s="1" t="str">
        <f>""</f>
        <v/>
      </c>
      <c r="T2393" s="1" t="s">
        <v>29</v>
      </c>
      <c r="U2393" s="1" t="s">
        <v>30</v>
      </c>
      <c r="V2393" s="1">
        <v>0</v>
      </c>
    </row>
    <row r="2394" spans="2:22" x14ac:dyDescent="0.15">
      <c r="B2394" s="1" t="str">
        <f>"135****9779"</f>
        <v>135****9779</v>
      </c>
      <c r="C2394" s="1" t="s">
        <v>23</v>
      </c>
      <c r="D2394" s="1" t="str">
        <f t="shared" si="243"/>
        <v>89177328</v>
      </c>
      <c r="E2394" s="1" t="s">
        <v>24</v>
      </c>
      <c r="F2394" s="1" t="str">
        <f t="shared" si="244"/>
        <v>0010</v>
      </c>
      <c r="G2394" s="1" t="str">
        <f>""</f>
        <v/>
      </c>
      <c r="H2394" s="1" t="str">
        <f>"0035"</f>
        <v>0035</v>
      </c>
      <c r="I2394" s="1" t="s">
        <v>25</v>
      </c>
      <c r="J2394" s="1" t="str">
        <f>"01043977569"</f>
        <v>01043977569</v>
      </c>
      <c r="K2394" s="1" t="str">
        <f>"2017-03-22 12:01:41"</f>
        <v>2017-03-22 12:01:41</v>
      </c>
      <c r="L2394" s="1" t="str">
        <f>"2017-03-22 12:01:49"</f>
        <v>2017-03-22 12:01:49</v>
      </c>
      <c r="M2394" s="2">
        <v>4.0277777777777777E-3</v>
      </c>
      <c r="N2394" s="1" t="s">
        <v>26</v>
      </c>
      <c r="O2394" s="1" t="s">
        <v>27</v>
      </c>
      <c r="P2394" s="2">
        <v>4.1203703703703706E-3</v>
      </c>
      <c r="Q2394" s="1" t="s">
        <v>1718</v>
      </c>
      <c r="R2394" s="1">
        <v>0</v>
      </c>
      <c r="S2394" s="1" t="str">
        <f>""</f>
        <v/>
      </c>
      <c r="T2394" s="1" t="s">
        <v>29</v>
      </c>
      <c r="U2394" s="1" t="s">
        <v>30</v>
      </c>
      <c r="V2394" s="1">
        <v>0</v>
      </c>
    </row>
    <row r="2395" spans="2:22" x14ac:dyDescent="0.15">
      <c r="B2395" s="1" t="str">
        <f>"189****5526"</f>
        <v>189****5526</v>
      </c>
      <c r="C2395" s="1" t="s">
        <v>81</v>
      </c>
      <c r="D2395" s="1" t="str">
        <f t="shared" si="243"/>
        <v>89177328</v>
      </c>
      <c r="E2395" s="1" t="s">
        <v>24</v>
      </c>
      <c r="F2395" s="1" t="str">
        <f t="shared" si="244"/>
        <v>0010</v>
      </c>
      <c r="G2395" s="1" t="str">
        <f>""</f>
        <v/>
      </c>
      <c r="H2395" s="1" t="str">
        <f>"0032"</f>
        <v>0032</v>
      </c>
      <c r="I2395" s="1" t="s">
        <v>119</v>
      </c>
      <c r="J2395" s="1" t="str">
        <f>"01043977566"</f>
        <v>01043977566</v>
      </c>
      <c r="K2395" s="1" t="str">
        <f>"2017-03-22 11:53:02"</f>
        <v>2017-03-22 11:53:02</v>
      </c>
      <c r="L2395" s="1" t="str">
        <f>"2017-03-22 11:53:16"</f>
        <v>2017-03-22 11:53:16</v>
      </c>
      <c r="M2395" s="2">
        <v>2.1990740740740742E-3</v>
      </c>
      <c r="N2395" s="1" t="s">
        <v>26</v>
      </c>
      <c r="O2395" s="1" t="s">
        <v>34</v>
      </c>
      <c r="P2395" s="2">
        <v>2.3611111111111111E-3</v>
      </c>
      <c r="Q2395" s="1" t="s">
        <v>1719</v>
      </c>
      <c r="R2395" s="1">
        <v>0</v>
      </c>
      <c r="S2395" s="1" t="str">
        <f>""</f>
        <v/>
      </c>
      <c r="T2395" s="1" t="s">
        <v>29</v>
      </c>
      <c r="U2395" s="1" t="s">
        <v>30</v>
      </c>
      <c r="V2395" s="1">
        <v>0</v>
      </c>
    </row>
    <row r="2396" spans="2:22" x14ac:dyDescent="0.15">
      <c r="B2396" s="1" t="str">
        <f>"138****6270"</f>
        <v>138****6270</v>
      </c>
      <c r="C2396" s="1" t="s">
        <v>23</v>
      </c>
      <c r="D2396" s="1" t="str">
        <f t="shared" si="243"/>
        <v>89177328</v>
      </c>
      <c r="E2396" s="1" t="s">
        <v>24</v>
      </c>
      <c r="F2396" s="1" t="str">
        <f t="shared" si="244"/>
        <v>0010</v>
      </c>
      <c r="G2396" s="1" t="str">
        <f>""</f>
        <v/>
      </c>
      <c r="H2396" s="1" t="str">
        <f>"0034"</f>
        <v>0034</v>
      </c>
      <c r="I2396" s="1" t="s">
        <v>31</v>
      </c>
      <c r="J2396" s="1" t="str">
        <f>"01043977568"</f>
        <v>01043977568</v>
      </c>
      <c r="K2396" s="1" t="str">
        <f>"2017-03-22 11:50:24"</f>
        <v>2017-03-22 11:50:24</v>
      </c>
      <c r="L2396" s="1" t="str">
        <f>"2017-03-22 11:50:35"</f>
        <v>2017-03-22 11:50:35</v>
      </c>
      <c r="M2396" s="2">
        <v>9.780092592592592E-3</v>
      </c>
      <c r="N2396" s="1" t="s">
        <v>26</v>
      </c>
      <c r="O2396" s="1" t="s">
        <v>34</v>
      </c>
      <c r="P2396" s="2">
        <v>9.9074074074074082E-3</v>
      </c>
      <c r="Q2396" s="1" t="s">
        <v>1720</v>
      </c>
      <c r="R2396" s="1">
        <v>0</v>
      </c>
      <c r="S2396" s="1" t="str">
        <f>""</f>
        <v/>
      </c>
      <c r="T2396" s="1" t="s">
        <v>29</v>
      </c>
      <c r="U2396" s="1" t="s">
        <v>30</v>
      </c>
      <c r="V2396" s="1">
        <v>0</v>
      </c>
    </row>
    <row r="2397" spans="2:22" x14ac:dyDescent="0.15">
      <c r="B2397" s="1" t="str">
        <f>"158****1150"</f>
        <v>158****1150</v>
      </c>
      <c r="C2397" s="1" t="s">
        <v>23</v>
      </c>
      <c r="D2397" s="1" t="str">
        <f t="shared" si="243"/>
        <v>89177328</v>
      </c>
      <c r="E2397" s="1" t="s">
        <v>24</v>
      </c>
      <c r="F2397" s="1" t="str">
        <f t="shared" si="244"/>
        <v>0010</v>
      </c>
      <c r="G2397" s="1" t="str">
        <f>""</f>
        <v/>
      </c>
      <c r="H2397" s="1" t="str">
        <f>"0033"</f>
        <v>0033</v>
      </c>
      <c r="I2397" s="1" t="s">
        <v>106</v>
      </c>
      <c r="J2397" s="1" t="str">
        <f>"01043977567"</f>
        <v>01043977567</v>
      </c>
      <c r="K2397" s="1" t="str">
        <f>"2017-03-22 11:42:59"</f>
        <v>2017-03-22 11:42:59</v>
      </c>
      <c r="L2397" s="1" t="str">
        <f>"2017-03-22 11:43:09"</f>
        <v>2017-03-22 11:43:09</v>
      </c>
      <c r="M2397" s="2">
        <v>1.4918981481481483E-2</v>
      </c>
      <c r="N2397" s="1" t="s">
        <v>26</v>
      </c>
      <c r="O2397" s="1" t="s">
        <v>27</v>
      </c>
      <c r="P2397" s="2">
        <v>1.503472222222222E-2</v>
      </c>
      <c r="Q2397" s="1" t="s">
        <v>1721</v>
      </c>
      <c r="R2397" s="1">
        <v>0</v>
      </c>
      <c r="S2397" s="1" t="str">
        <f>""</f>
        <v/>
      </c>
      <c r="T2397" s="1" t="s">
        <v>29</v>
      </c>
      <c r="U2397" s="1" t="s">
        <v>30</v>
      </c>
      <c r="V2397" s="1">
        <v>0</v>
      </c>
    </row>
    <row r="2398" spans="2:22" x14ac:dyDescent="0.15">
      <c r="B2398" s="1" t="str">
        <f>"158****5723"</f>
        <v>158****5723</v>
      </c>
      <c r="C2398" s="1" t="s">
        <v>1090</v>
      </c>
      <c r="D2398" s="1" t="str">
        <f t="shared" si="243"/>
        <v>89177328</v>
      </c>
      <c r="E2398" s="1" t="s">
        <v>24</v>
      </c>
      <c r="F2398" s="1" t="str">
        <f t="shared" si="244"/>
        <v>0010</v>
      </c>
      <c r="G2398" s="1" t="str">
        <f>""</f>
        <v/>
      </c>
      <c r="H2398" s="1" t="str">
        <f>"0033"</f>
        <v>0033</v>
      </c>
      <c r="I2398" s="1" t="s">
        <v>106</v>
      </c>
      <c r="J2398" s="1" t="str">
        <f>"01043977567"</f>
        <v>01043977567</v>
      </c>
      <c r="K2398" s="1" t="str">
        <f>"2017-03-22 11:41:56"</f>
        <v>2017-03-22 11:41:56</v>
      </c>
      <c r="L2398" s="1" t="str">
        <f>"-"</f>
        <v>-</v>
      </c>
      <c r="M2398" s="2">
        <v>0</v>
      </c>
      <c r="N2398" s="1" t="s">
        <v>33</v>
      </c>
      <c r="O2398" s="1" t="s">
        <v>34</v>
      </c>
      <c r="P2398" s="2">
        <v>2.3148148148148147E-5</v>
      </c>
      <c r="Q2398" s="1" t="str">
        <f>""</f>
        <v/>
      </c>
      <c r="R2398" s="1">
        <v>0</v>
      </c>
      <c r="S2398" s="1" t="str">
        <f>""</f>
        <v/>
      </c>
      <c r="T2398" s="1" t="s">
        <v>29</v>
      </c>
      <c r="U2398" s="1" t="s">
        <v>30</v>
      </c>
      <c r="V2398" s="1">
        <v>0</v>
      </c>
    </row>
    <row r="2399" spans="2:22" x14ac:dyDescent="0.15">
      <c r="B2399" s="1" t="str">
        <f>"189****8816"</f>
        <v>189****8816</v>
      </c>
      <c r="C2399" s="1" t="s">
        <v>51</v>
      </c>
      <c r="D2399" s="1" t="str">
        <f t="shared" si="243"/>
        <v>89177328</v>
      </c>
      <c r="E2399" s="1" t="s">
        <v>24</v>
      </c>
      <c r="F2399" s="1" t="str">
        <f t="shared" si="244"/>
        <v>0010</v>
      </c>
      <c r="G2399" s="1" t="str">
        <f>""</f>
        <v/>
      </c>
      <c r="H2399" s="1" t="str">
        <f>"0034"</f>
        <v>0034</v>
      </c>
      <c r="I2399" s="1" t="s">
        <v>31</v>
      </c>
      <c r="J2399" s="1" t="str">
        <f>"01043977568"</f>
        <v>01043977568</v>
      </c>
      <c r="K2399" s="1" t="str">
        <f>"2017-03-22 11:29:09"</f>
        <v>2017-03-22 11:29:09</v>
      </c>
      <c r="L2399" s="1" t="str">
        <f>"2017-03-22 11:29:25"</f>
        <v>2017-03-22 11:29:25</v>
      </c>
      <c r="M2399" s="2">
        <v>7.8125E-3</v>
      </c>
      <c r="N2399" s="1" t="s">
        <v>26</v>
      </c>
      <c r="O2399" s="1" t="s">
        <v>34</v>
      </c>
      <c r="P2399" s="2">
        <v>7.9976851851851858E-3</v>
      </c>
      <c r="Q2399" s="1" t="s">
        <v>1722</v>
      </c>
      <c r="R2399" s="1">
        <v>0</v>
      </c>
      <c r="S2399" s="1" t="str">
        <f>""</f>
        <v/>
      </c>
      <c r="T2399" s="1" t="s">
        <v>29</v>
      </c>
      <c r="U2399" s="1" t="s">
        <v>30</v>
      </c>
      <c r="V2399" s="1">
        <v>0</v>
      </c>
    </row>
    <row r="2400" spans="2:22" x14ac:dyDescent="0.15">
      <c r="B2400" s="1" t="str">
        <f>"010****8297"</f>
        <v>010****8297</v>
      </c>
      <c r="C2400" s="1" t="s">
        <v>23</v>
      </c>
      <c r="D2400" s="1" t="str">
        <f t="shared" si="243"/>
        <v>89177328</v>
      </c>
      <c r="E2400" s="1" t="s">
        <v>24</v>
      </c>
      <c r="F2400" s="1" t="str">
        <f t="shared" si="244"/>
        <v>0010</v>
      </c>
      <c r="G2400" s="1" t="str">
        <f>""</f>
        <v/>
      </c>
      <c r="H2400" s="1" t="str">
        <f>"0034"</f>
        <v>0034</v>
      </c>
      <c r="I2400" s="1" t="s">
        <v>31</v>
      </c>
      <c r="J2400" s="1" t="str">
        <f>"01043977568"</f>
        <v>01043977568</v>
      </c>
      <c r="K2400" s="1" t="str">
        <f>"2017-03-22 11:18:53"</f>
        <v>2017-03-22 11:18:53</v>
      </c>
      <c r="L2400" s="1" t="str">
        <f>"2017-03-22 11:19:02"</f>
        <v>2017-03-22 11:19:02</v>
      </c>
      <c r="M2400" s="2">
        <v>2.8472222222222219E-3</v>
      </c>
      <c r="N2400" s="1" t="s">
        <v>26</v>
      </c>
      <c r="O2400" s="1" t="s">
        <v>34</v>
      </c>
      <c r="P2400" s="2">
        <v>2.9513888888888888E-3</v>
      </c>
      <c r="Q2400" s="1" t="s">
        <v>1723</v>
      </c>
      <c r="R2400" s="1">
        <v>0</v>
      </c>
      <c r="S2400" s="1" t="str">
        <f>""</f>
        <v/>
      </c>
      <c r="T2400" s="1" t="s">
        <v>29</v>
      </c>
      <c r="U2400" s="1" t="s">
        <v>30</v>
      </c>
      <c r="V2400" s="1">
        <v>0</v>
      </c>
    </row>
    <row r="2401" spans="2:22" x14ac:dyDescent="0.15">
      <c r="B2401" s="1" t="str">
        <f>"130****9297"</f>
        <v>130****9297</v>
      </c>
      <c r="C2401" s="1" t="s">
        <v>624</v>
      </c>
      <c r="D2401" s="1" t="str">
        <f>"4000108333"</f>
        <v>4000108333</v>
      </c>
      <c r="E2401" s="1" t="s">
        <v>53</v>
      </c>
      <c r="F2401" s="1" t="str">
        <f>"0000"</f>
        <v>0000</v>
      </c>
      <c r="G2401" s="1" t="str">
        <f>""</f>
        <v/>
      </c>
      <c r="H2401" s="1" t="str">
        <f>"0018"</f>
        <v>0018</v>
      </c>
      <c r="I2401" s="1" t="s">
        <v>36</v>
      </c>
      <c r="J2401" s="1" t="str">
        <f>"01043989718"</f>
        <v>01043989718</v>
      </c>
      <c r="K2401" s="1" t="str">
        <f>"2017-03-22 11:17:35"</f>
        <v>2017-03-22 11:17:35</v>
      </c>
      <c r="L2401" s="1" t="str">
        <f>"2017-03-22 11:18:12"</f>
        <v>2017-03-22 11:18:12</v>
      </c>
      <c r="M2401" s="2">
        <v>1.2268518518518519E-2</v>
      </c>
      <c r="N2401" s="1" t="s">
        <v>26</v>
      </c>
      <c r="O2401" s="1" t="s">
        <v>34</v>
      </c>
      <c r="P2401" s="2">
        <v>1.269675925925926E-2</v>
      </c>
      <c r="Q2401" s="1" t="s">
        <v>1724</v>
      </c>
      <c r="R2401" s="1">
        <v>2.2799999999999998</v>
      </c>
      <c r="S2401" s="1" t="str">
        <f>""</f>
        <v/>
      </c>
      <c r="T2401" s="1" t="s">
        <v>29</v>
      </c>
      <c r="U2401" s="1" t="s">
        <v>30</v>
      </c>
      <c r="V2401" s="1">
        <v>0</v>
      </c>
    </row>
    <row r="2402" spans="2:22" x14ac:dyDescent="0.15">
      <c r="B2402" s="1" t="str">
        <f>"156****3491"</f>
        <v>156****3491</v>
      </c>
      <c r="C2402" s="1" t="s">
        <v>23</v>
      </c>
      <c r="D2402" s="1" t="str">
        <f t="shared" ref="D2402:D2465" si="245">"89177328"</f>
        <v>89177328</v>
      </c>
      <c r="E2402" s="1" t="s">
        <v>24</v>
      </c>
      <c r="F2402" s="1" t="str">
        <f t="shared" ref="F2402:F2465" si="246">"0010"</f>
        <v>0010</v>
      </c>
      <c r="G2402" s="1" t="str">
        <f>""</f>
        <v/>
      </c>
      <c r="H2402" s="1" t="str">
        <f>"0034"</f>
        <v>0034</v>
      </c>
      <c r="I2402" s="1" t="s">
        <v>31</v>
      </c>
      <c r="J2402" s="1" t="str">
        <f>"01043977568"</f>
        <v>01043977568</v>
      </c>
      <c r="K2402" s="1" t="str">
        <f>"2017-03-22 11:12:25"</f>
        <v>2017-03-22 11:12:25</v>
      </c>
      <c r="L2402" s="1" t="str">
        <f>"2017-03-22 11:12:35"</f>
        <v>2017-03-22 11:12:35</v>
      </c>
      <c r="M2402" s="2">
        <v>6.9444444444444444E-5</v>
      </c>
      <c r="N2402" s="1" t="s">
        <v>26</v>
      </c>
      <c r="O2402" s="1" t="s">
        <v>34</v>
      </c>
      <c r="P2402" s="2">
        <v>1.8518518518518518E-4</v>
      </c>
      <c r="Q2402" s="1" t="s">
        <v>1725</v>
      </c>
      <c r="R2402" s="1">
        <v>0</v>
      </c>
      <c r="S2402" s="1" t="str">
        <f>""</f>
        <v/>
      </c>
      <c r="T2402" s="1" t="s">
        <v>29</v>
      </c>
      <c r="U2402" s="1" t="s">
        <v>30</v>
      </c>
      <c r="V2402" s="1">
        <v>0</v>
      </c>
    </row>
    <row r="2403" spans="2:22" x14ac:dyDescent="0.15">
      <c r="B2403" s="1" t="str">
        <f>"185****7796"</f>
        <v>185****7796</v>
      </c>
      <c r="C2403" s="1" t="s">
        <v>23</v>
      </c>
      <c r="D2403" s="1" t="str">
        <f t="shared" si="245"/>
        <v>89177328</v>
      </c>
      <c r="E2403" s="1" t="s">
        <v>24</v>
      </c>
      <c r="F2403" s="1" t="str">
        <f t="shared" si="246"/>
        <v>0010</v>
      </c>
      <c r="G2403" s="1" t="str">
        <f>""</f>
        <v/>
      </c>
      <c r="H2403" s="1" t="str">
        <f>"0034"</f>
        <v>0034</v>
      </c>
      <c r="I2403" s="1" t="s">
        <v>31</v>
      </c>
      <c r="J2403" s="1" t="str">
        <f>"01043977568"</f>
        <v>01043977568</v>
      </c>
      <c r="K2403" s="1" t="str">
        <f>"2017-03-22 11:04:47"</f>
        <v>2017-03-22 11:04:47</v>
      </c>
      <c r="L2403" s="1" t="str">
        <f>"2017-03-22 11:04:59"</f>
        <v>2017-03-22 11:04:59</v>
      </c>
      <c r="M2403" s="2">
        <v>3.2407407407407406E-3</v>
      </c>
      <c r="N2403" s="1" t="s">
        <v>26</v>
      </c>
      <c r="O2403" s="1" t="s">
        <v>34</v>
      </c>
      <c r="P2403" s="2">
        <v>3.37962962962963E-3</v>
      </c>
      <c r="Q2403" s="1" t="s">
        <v>1726</v>
      </c>
      <c r="R2403" s="1">
        <v>0</v>
      </c>
      <c r="S2403" s="1" t="str">
        <f>""</f>
        <v/>
      </c>
      <c r="T2403" s="1" t="s">
        <v>29</v>
      </c>
      <c r="U2403" s="1" t="s">
        <v>30</v>
      </c>
      <c r="V2403" s="1">
        <v>0</v>
      </c>
    </row>
    <row r="2404" spans="2:22" x14ac:dyDescent="0.15">
      <c r="B2404" s="1" t="str">
        <f>"158****7624"</f>
        <v>158****7624</v>
      </c>
      <c r="C2404" s="1" t="s">
        <v>23</v>
      </c>
      <c r="D2404" s="1" t="str">
        <f t="shared" si="245"/>
        <v>89177328</v>
      </c>
      <c r="E2404" s="1" t="s">
        <v>24</v>
      </c>
      <c r="F2404" s="1" t="str">
        <f t="shared" si="246"/>
        <v>0010</v>
      </c>
      <c r="G2404" s="1" t="str">
        <f>""</f>
        <v/>
      </c>
      <c r="H2404" s="1" t="str">
        <f>"0034"</f>
        <v>0034</v>
      </c>
      <c r="I2404" s="1" t="s">
        <v>31</v>
      </c>
      <c r="J2404" s="1" t="str">
        <f>"01043977568"</f>
        <v>01043977568</v>
      </c>
      <c r="K2404" s="1" t="str">
        <f>"2017-03-22 11:01:03"</f>
        <v>2017-03-22 11:01:03</v>
      </c>
      <c r="L2404" s="1" t="str">
        <f>"2017-03-22 11:01:12"</f>
        <v>2017-03-22 11:01:12</v>
      </c>
      <c r="M2404" s="2">
        <v>2.8935185185185189E-4</v>
      </c>
      <c r="N2404" s="1" t="s">
        <v>26</v>
      </c>
      <c r="O2404" s="1" t="s">
        <v>34</v>
      </c>
      <c r="P2404" s="2">
        <v>3.9351851851851852E-4</v>
      </c>
      <c r="Q2404" s="1" t="s">
        <v>1727</v>
      </c>
      <c r="R2404" s="1">
        <v>0</v>
      </c>
      <c r="S2404" s="1" t="str">
        <f>""</f>
        <v/>
      </c>
      <c r="T2404" s="1" t="s">
        <v>29</v>
      </c>
      <c r="U2404" s="1" t="s">
        <v>30</v>
      </c>
      <c r="V2404" s="1">
        <v>0</v>
      </c>
    </row>
    <row r="2405" spans="2:22" x14ac:dyDescent="0.15">
      <c r="B2405" s="1" t="str">
        <f>"010****1618"</f>
        <v>010****1618</v>
      </c>
      <c r="C2405" s="1" t="s">
        <v>23</v>
      </c>
      <c r="D2405" s="1" t="str">
        <f t="shared" si="245"/>
        <v>89177328</v>
      </c>
      <c r="E2405" s="1" t="s">
        <v>24</v>
      </c>
      <c r="F2405" s="1" t="str">
        <f t="shared" si="246"/>
        <v>0010</v>
      </c>
      <c r="G2405" s="1" t="str">
        <f>""</f>
        <v/>
      </c>
      <c r="H2405" s="1" t="str">
        <f>"0035"</f>
        <v>0035</v>
      </c>
      <c r="I2405" s="1" t="s">
        <v>25</v>
      </c>
      <c r="J2405" s="1" t="str">
        <f>"01043977569"</f>
        <v>01043977569</v>
      </c>
      <c r="K2405" s="1" t="str">
        <f>"2017-03-22 10:57:24"</f>
        <v>2017-03-22 10:57:24</v>
      </c>
      <c r="L2405" s="1" t="str">
        <f>"2017-03-22 10:57:33"</f>
        <v>2017-03-22 10:57:33</v>
      </c>
      <c r="M2405" s="2">
        <v>3.0324074074074073E-3</v>
      </c>
      <c r="N2405" s="1" t="s">
        <v>26</v>
      </c>
      <c r="O2405" s="1" t="s">
        <v>34</v>
      </c>
      <c r="P2405" s="2">
        <v>3.1365740740740742E-3</v>
      </c>
      <c r="Q2405" s="1" t="s">
        <v>1728</v>
      </c>
      <c r="R2405" s="1">
        <v>0</v>
      </c>
      <c r="S2405" s="1" t="str">
        <f>""</f>
        <v/>
      </c>
      <c r="T2405" s="1" t="s">
        <v>29</v>
      </c>
      <c r="U2405" s="1" t="s">
        <v>30</v>
      </c>
      <c r="V2405" s="1">
        <v>0</v>
      </c>
    </row>
    <row r="2406" spans="2:22" x14ac:dyDescent="0.15">
      <c r="B2406" s="1" t="str">
        <f>"131****8366"</f>
        <v>131****8366</v>
      </c>
      <c r="C2406" s="1" t="s">
        <v>23</v>
      </c>
      <c r="D2406" s="1" t="str">
        <f t="shared" si="245"/>
        <v>89177328</v>
      </c>
      <c r="E2406" s="1" t="s">
        <v>24</v>
      </c>
      <c r="F2406" s="1" t="str">
        <f t="shared" si="246"/>
        <v>0010</v>
      </c>
      <c r="G2406" s="1" t="str">
        <f>""</f>
        <v/>
      </c>
      <c r="H2406" s="1" t="str">
        <f>"0032"</f>
        <v>0032</v>
      </c>
      <c r="I2406" s="1" t="s">
        <v>119</v>
      </c>
      <c r="J2406" s="1" t="str">
        <f>"01043977566"</f>
        <v>01043977566</v>
      </c>
      <c r="K2406" s="1" t="str">
        <f>"2017-03-22 10:55:51"</f>
        <v>2017-03-22 10:55:51</v>
      </c>
      <c r="L2406" s="1" t="str">
        <f>"2017-03-22 10:56:02"</f>
        <v>2017-03-22 10:56:02</v>
      </c>
      <c r="M2406" s="2">
        <v>2.2916666666666667E-3</v>
      </c>
      <c r="N2406" s="1" t="s">
        <v>26</v>
      </c>
      <c r="O2406" s="1" t="s">
        <v>34</v>
      </c>
      <c r="P2406" s="2">
        <v>2.4189814814814816E-3</v>
      </c>
      <c r="Q2406" s="1" t="s">
        <v>1729</v>
      </c>
      <c r="R2406" s="1">
        <v>0</v>
      </c>
      <c r="S2406" s="1" t="str">
        <f>""</f>
        <v/>
      </c>
      <c r="T2406" s="1" t="s">
        <v>29</v>
      </c>
      <c r="U2406" s="1" t="s">
        <v>30</v>
      </c>
      <c r="V2406" s="1">
        <v>0</v>
      </c>
    </row>
    <row r="2407" spans="2:22" x14ac:dyDescent="0.15">
      <c r="B2407" s="1" t="str">
        <f>"139****9351"</f>
        <v>139****9351</v>
      </c>
      <c r="C2407" s="1" t="s">
        <v>23</v>
      </c>
      <c r="D2407" s="1" t="str">
        <f t="shared" si="245"/>
        <v>89177328</v>
      </c>
      <c r="E2407" s="1" t="s">
        <v>24</v>
      </c>
      <c r="F2407" s="1" t="str">
        <f t="shared" si="246"/>
        <v>0010</v>
      </c>
      <c r="G2407" s="1" t="str">
        <f>""</f>
        <v/>
      </c>
      <c r="H2407" s="1" t="str">
        <f>"0018"</f>
        <v>0018</v>
      </c>
      <c r="I2407" s="1" t="s">
        <v>36</v>
      </c>
      <c r="J2407" s="1" t="str">
        <f>"01043989718"</f>
        <v>01043989718</v>
      </c>
      <c r="K2407" s="1" t="str">
        <f>"2017-03-22 10:51:39"</f>
        <v>2017-03-22 10:51:39</v>
      </c>
      <c r="L2407" s="1" t="str">
        <f>"2017-03-22 10:51:49"</f>
        <v>2017-03-22 10:51:49</v>
      </c>
      <c r="M2407" s="2">
        <v>3.3912037037037036E-3</v>
      </c>
      <c r="N2407" s="1" t="s">
        <v>26</v>
      </c>
      <c r="O2407" s="1" t="s">
        <v>34</v>
      </c>
      <c r="P2407" s="2">
        <v>3.5069444444444445E-3</v>
      </c>
      <c r="Q2407" s="1" t="s">
        <v>1730</v>
      </c>
      <c r="R2407" s="1">
        <v>0</v>
      </c>
      <c r="S2407" s="1" t="str">
        <f>""</f>
        <v/>
      </c>
      <c r="T2407" s="1" t="s">
        <v>29</v>
      </c>
      <c r="U2407" s="1" t="s">
        <v>30</v>
      </c>
      <c r="V2407" s="1">
        <v>0</v>
      </c>
    </row>
    <row r="2408" spans="2:22" x14ac:dyDescent="0.15">
      <c r="B2408" s="1" t="str">
        <f>"138****7166"</f>
        <v>138****7166</v>
      </c>
      <c r="C2408" s="1" t="s">
        <v>1731</v>
      </c>
      <c r="D2408" s="1" t="str">
        <f t="shared" si="245"/>
        <v>89177328</v>
      </c>
      <c r="E2408" s="1" t="s">
        <v>24</v>
      </c>
      <c r="F2408" s="1" t="str">
        <f t="shared" si="246"/>
        <v>0010</v>
      </c>
      <c r="G2408" s="1" t="str">
        <f>""</f>
        <v/>
      </c>
      <c r="H2408" s="1" t="str">
        <f>"0017"</f>
        <v>0017</v>
      </c>
      <c r="I2408" s="1" t="s">
        <v>135</v>
      </c>
      <c r="J2408" s="1" t="str">
        <f>"01043989717"</f>
        <v>01043989717</v>
      </c>
      <c r="K2408" s="1" t="str">
        <f>"2017-03-22 10:45:07"</f>
        <v>2017-03-22 10:45:07</v>
      </c>
      <c r="L2408" s="1" t="str">
        <f>"2017-03-22 10:45:15"</f>
        <v>2017-03-22 10:45:15</v>
      </c>
      <c r="M2408" s="2">
        <v>8.3680555555555557E-3</v>
      </c>
      <c r="N2408" s="1" t="s">
        <v>26</v>
      </c>
      <c r="O2408" s="1" t="s">
        <v>34</v>
      </c>
      <c r="P2408" s="2">
        <v>8.4606481481481494E-3</v>
      </c>
      <c r="Q2408" s="1" t="s">
        <v>1732</v>
      </c>
      <c r="R2408" s="1">
        <v>0</v>
      </c>
      <c r="S2408" s="1" t="str">
        <f>""</f>
        <v/>
      </c>
      <c r="T2408" s="1" t="s">
        <v>29</v>
      </c>
      <c r="U2408" s="1" t="s">
        <v>30</v>
      </c>
      <c r="V2408" s="1">
        <v>0</v>
      </c>
    </row>
    <row r="2409" spans="2:22" x14ac:dyDescent="0.15">
      <c r="B2409" s="1" t="str">
        <f>"187****8135"</f>
        <v>187****8135</v>
      </c>
      <c r="C2409" s="1" t="s">
        <v>829</v>
      </c>
      <c r="D2409" s="1" t="str">
        <f t="shared" si="245"/>
        <v>89177328</v>
      </c>
      <c r="E2409" s="1" t="s">
        <v>24</v>
      </c>
      <c r="F2409" s="1" t="str">
        <f t="shared" si="246"/>
        <v>0010</v>
      </c>
      <c r="G2409" s="1" t="str">
        <f>""</f>
        <v/>
      </c>
      <c r="H2409" s="1" t="str">
        <f>"0031"</f>
        <v>0031</v>
      </c>
      <c r="I2409" s="1" t="s">
        <v>95</v>
      </c>
      <c r="J2409" s="1" t="str">
        <f>"01043977565"</f>
        <v>01043977565</v>
      </c>
      <c r="K2409" s="1" t="str">
        <f>"2017-03-22 10:38:58"</f>
        <v>2017-03-22 10:38:58</v>
      </c>
      <c r="L2409" s="1" t="str">
        <f>"2017-03-22 10:39:05"</f>
        <v>2017-03-22 10:39:05</v>
      </c>
      <c r="M2409" s="2">
        <v>1.4236111111111111E-2</v>
      </c>
      <c r="N2409" s="1" t="s">
        <v>26</v>
      </c>
      <c r="O2409" s="1" t="s">
        <v>27</v>
      </c>
      <c r="P2409" s="2">
        <v>1.4317129629629631E-2</v>
      </c>
      <c r="Q2409" s="1" t="s">
        <v>1733</v>
      </c>
      <c r="R2409" s="1">
        <v>0</v>
      </c>
      <c r="S2409" s="1" t="str">
        <f>""</f>
        <v/>
      </c>
      <c r="T2409" s="1" t="s">
        <v>29</v>
      </c>
      <c r="U2409" s="1" t="s">
        <v>30</v>
      </c>
      <c r="V2409" s="1">
        <v>0</v>
      </c>
    </row>
    <row r="2410" spans="2:22" x14ac:dyDescent="0.15">
      <c r="B2410" s="1" t="str">
        <f>"137****8883"</f>
        <v>137****8883</v>
      </c>
      <c r="C2410" s="1" t="s">
        <v>23</v>
      </c>
      <c r="D2410" s="1" t="str">
        <f t="shared" si="245"/>
        <v>89177328</v>
      </c>
      <c r="E2410" s="1" t="s">
        <v>24</v>
      </c>
      <c r="F2410" s="1" t="str">
        <f t="shared" si="246"/>
        <v>0010</v>
      </c>
      <c r="G2410" s="1" t="str">
        <f>""</f>
        <v/>
      </c>
      <c r="H2410" s="1" t="str">
        <f>"0017"</f>
        <v>0017</v>
      </c>
      <c r="I2410" s="1" t="s">
        <v>135</v>
      </c>
      <c r="J2410" s="1" t="str">
        <f>"01043989717"</f>
        <v>01043989717</v>
      </c>
      <c r="K2410" s="1" t="str">
        <f>"2017-03-22 10:30:27"</f>
        <v>2017-03-22 10:30:27</v>
      </c>
      <c r="L2410" s="1" t="str">
        <f>"2017-03-22 10:30:36"</f>
        <v>2017-03-22 10:30:36</v>
      </c>
      <c r="M2410" s="2">
        <v>3.0092592592592595E-4</v>
      </c>
      <c r="N2410" s="1" t="s">
        <v>26</v>
      </c>
      <c r="O2410" s="1" t="s">
        <v>27</v>
      </c>
      <c r="P2410" s="2">
        <v>4.0509259259259258E-4</v>
      </c>
      <c r="Q2410" s="1" t="s">
        <v>1734</v>
      </c>
      <c r="R2410" s="1">
        <v>0</v>
      </c>
      <c r="S2410" s="1" t="str">
        <f>""</f>
        <v/>
      </c>
      <c r="T2410" s="1" t="s">
        <v>29</v>
      </c>
      <c r="U2410" s="1" t="s">
        <v>30</v>
      </c>
      <c r="V2410" s="1">
        <v>0</v>
      </c>
    </row>
    <row r="2411" spans="2:22" x14ac:dyDescent="0.15">
      <c r="B2411" s="1" t="str">
        <f>"131****1826"</f>
        <v>131****1826</v>
      </c>
      <c r="C2411" s="1" t="s">
        <v>35</v>
      </c>
      <c r="D2411" s="1" t="str">
        <f t="shared" si="245"/>
        <v>89177328</v>
      </c>
      <c r="E2411" s="1" t="s">
        <v>24</v>
      </c>
      <c r="F2411" s="1" t="str">
        <f t="shared" si="246"/>
        <v>0010</v>
      </c>
      <c r="G2411" s="1" t="str">
        <f>""</f>
        <v/>
      </c>
      <c r="H2411" s="1" t="str">
        <f>"0035"</f>
        <v>0035</v>
      </c>
      <c r="I2411" s="1" t="s">
        <v>25</v>
      </c>
      <c r="J2411" s="1" t="str">
        <f>"01043977569"</f>
        <v>01043977569</v>
      </c>
      <c r="K2411" s="1" t="str">
        <f>"2017-03-22 10:23:52"</f>
        <v>2017-03-22 10:23:52</v>
      </c>
      <c r="L2411" s="1" t="str">
        <f>"-"</f>
        <v>-</v>
      </c>
      <c r="M2411" s="2">
        <v>0</v>
      </c>
      <c r="N2411" s="1" t="s">
        <v>33</v>
      </c>
      <c r="O2411" s="1" t="s">
        <v>34</v>
      </c>
      <c r="P2411" s="2">
        <v>1.1574074074074073E-4</v>
      </c>
      <c r="Q2411" s="1" t="str">
        <f>""</f>
        <v/>
      </c>
      <c r="R2411" s="1">
        <v>0</v>
      </c>
      <c r="S2411" s="1" t="str">
        <f>""</f>
        <v/>
      </c>
      <c r="T2411" s="1" t="s">
        <v>29</v>
      </c>
      <c r="U2411" s="1" t="s">
        <v>30</v>
      </c>
      <c r="V2411" s="1">
        <v>0</v>
      </c>
    </row>
    <row r="2412" spans="2:22" x14ac:dyDescent="0.15">
      <c r="B2412" s="1" t="str">
        <f>"186****3845"</f>
        <v>186****3845</v>
      </c>
      <c r="C2412" s="1" t="s">
        <v>23</v>
      </c>
      <c r="D2412" s="1" t="str">
        <f t="shared" si="245"/>
        <v>89177328</v>
      </c>
      <c r="E2412" s="1" t="s">
        <v>24</v>
      </c>
      <c r="F2412" s="1" t="str">
        <f t="shared" si="246"/>
        <v>0010</v>
      </c>
      <c r="G2412" s="1" t="str">
        <f>""</f>
        <v/>
      </c>
      <c r="H2412" s="1" t="str">
        <f>"0031"</f>
        <v>0031</v>
      </c>
      <c r="I2412" s="1" t="s">
        <v>95</v>
      </c>
      <c r="J2412" s="1" t="str">
        <f>"01043977565"</f>
        <v>01043977565</v>
      </c>
      <c r="K2412" s="1" t="str">
        <f>"2017-03-22 10:20:15"</f>
        <v>2017-03-22 10:20:15</v>
      </c>
      <c r="L2412" s="1" t="str">
        <f>"2017-03-22 10:20:23"</f>
        <v>2017-03-22 10:20:23</v>
      </c>
      <c r="M2412" s="2">
        <v>8.3796296296296292E-3</v>
      </c>
      <c r="N2412" s="1" t="s">
        <v>26</v>
      </c>
      <c r="O2412" s="1" t="s">
        <v>27</v>
      </c>
      <c r="P2412" s="2">
        <v>8.4722222222222213E-3</v>
      </c>
      <c r="Q2412" s="1" t="s">
        <v>1735</v>
      </c>
      <c r="R2412" s="1">
        <v>0</v>
      </c>
      <c r="S2412" s="1" t="str">
        <f>""</f>
        <v/>
      </c>
      <c r="T2412" s="1" t="s">
        <v>29</v>
      </c>
      <c r="U2412" s="1" t="s">
        <v>30</v>
      </c>
      <c r="V2412" s="1">
        <v>0</v>
      </c>
    </row>
    <row r="2413" spans="2:22" x14ac:dyDescent="0.15">
      <c r="B2413" s="1" t="str">
        <f>"010****8639"</f>
        <v>010****8639</v>
      </c>
      <c r="C2413" s="1" t="s">
        <v>23</v>
      </c>
      <c r="D2413" s="1" t="str">
        <f t="shared" si="245"/>
        <v>89177328</v>
      </c>
      <c r="E2413" s="1" t="s">
        <v>24</v>
      </c>
      <c r="F2413" s="1" t="str">
        <f t="shared" si="246"/>
        <v>0010</v>
      </c>
      <c r="G2413" s="1" t="str">
        <f>""</f>
        <v/>
      </c>
      <c r="H2413" s="1" t="str">
        <f>"0018"</f>
        <v>0018</v>
      </c>
      <c r="I2413" s="1" t="s">
        <v>36</v>
      </c>
      <c r="J2413" s="1" t="str">
        <f>"01043989718"</f>
        <v>01043989718</v>
      </c>
      <c r="K2413" s="1" t="str">
        <f>"2017-03-22 10:12:03"</f>
        <v>2017-03-22 10:12:03</v>
      </c>
      <c r="L2413" s="1" t="str">
        <f>"2017-03-22 10:12:11"</f>
        <v>2017-03-22 10:12:11</v>
      </c>
      <c r="M2413" s="2">
        <v>6.2962962962962964E-3</v>
      </c>
      <c r="N2413" s="1" t="s">
        <v>26</v>
      </c>
      <c r="O2413" s="1" t="s">
        <v>34</v>
      </c>
      <c r="P2413" s="2">
        <v>6.3888888888888884E-3</v>
      </c>
      <c r="Q2413" s="1" t="s">
        <v>1736</v>
      </c>
      <c r="R2413" s="1">
        <v>0</v>
      </c>
      <c r="S2413" s="1" t="str">
        <f>""</f>
        <v/>
      </c>
      <c r="T2413" s="1" t="s">
        <v>29</v>
      </c>
      <c r="U2413" s="1" t="s">
        <v>30</v>
      </c>
      <c r="V2413" s="1">
        <v>0</v>
      </c>
    </row>
    <row r="2414" spans="2:22" x14ac:dyDescent="0.15">
      <c r="B2414" s="1" t="str">
        <f>"010****6618"</f>
        <v>010****6618</v>
      </c>
      <c r="C2414" s="1" t="s">
        <v>23</v>
      </c>
      <c r="D2414" s="1" t="str">
        <f t="shared" si="245"/>
        <v>89177328</v>
      </c>
      <c r="E2414" s="1" t="s">
        <v>24</v>
      </c>
      <c r="F2414" s="1" t="str">
        <f t="shared" si="246"/>
        <v>0010</v>
      </c>
      <c r="G2414" s="1" t="str">
        <f>""</f>
        <v/>
      </c>
      <c r="H2414" s="1" t="str">
        <f>""</f>
        <v/>
      </c>
      <c r="I2414" s="1" t="str">
        <f>""</f>
        <v/>
      </c>
      <c r="J2414" s="1" t="str">
        <f>""</f>
        <v/>
      </c>
      <c r="K2414" s="1" t="str">
        <f>"2017-03-22 10:01:43"</f>
        <v>2017-03-22 10:01:43</v>
      </c>
      <c r="L2414" s="1" t="str">
        <f>"-"</f>
        <v>-</v>
      </c>
      <c r="M2414" s="2">
        <v>0</v>
      </c>
      <c r="N2414" s="1" t="s">
        <v>55</v>
      </c>
      <c r="O2414" s="1" t="s">
        <v>34</v>
      </c>
      <c r="P2414" s="2">
        <v>1.1458333333333333E-3</v>
      </c>
      <c r="Q2414" s="1" t="str">
        <f>""</f>
        <v/>
      </c>
      <c r="R2414" s="1">
        <v>0</v>
      </c>
      <c r="S2414" s="1" t="str">
        <f>""</f>
        <v/>
      </c>
      <c r="T2414" s="1" t="s">
        <v>29</v>
      </c>
      <c r="U2414" s="1" t="s">
        <v>30</v>
      </c>
      <c r="V2414" s="1">
        <v>0</v>
      </c>
    </row>
    <row r="2415" spans="2:22" x14ac:dyDescent="0.15">
      <c r="B2415" s="1" t="str">
        <f>"150****0214"</f>
        <v>150****0214</v>
      </c>
      <c r="C2415" s="1" t="s">
        <v>269</v>
      </c>
      <c r="D2415" s="1" t="str">
        <f t="shared" si="245"/>
        <v>89177328</v>
      </c>
      <c r="E2415" s="1" t="s">
        <v>24</v>
      </c>
      <c r="F2415" s="1" t="str">
        <f t="shared" si="246"/>
        <v>0010</v>
      </c>
      <c r="G2415" s="1" t="str">
        <f>""</f>
        <v/>
      </c>
      <c r="H2415" s="1" t="str">
        <f>"0031"</f>
        <v>0031</v>
      </c>
      <c r="I2415" s="1" t="s">
        <v>95</v>
      </c>
      <c r="J2415" s="1" t="str">
        <f>"01043977565"</f>
        <v>01043977565</v>
      </c>
      <c r="K2415" s="1" t="str">
        <f>"2017-03-22 09:57:34"</f>
        <v>2017-03-22 09:57:34</v>
      </c>
      <c r="L2415" s="1" t="str">
        <f>"2017-03-22 09:57:41"</f>
        <v>2017-03-22 09:57:41</v>
      </c>
      <c r="M2415" s="2">
        <v>5.185185185185185E-3</v>
      </c>
      <c r="N2415" s="1" t="s">
        <v>26</v>
      </c>
      <c r="O2415" s="1" t="s">
        <v>27</v>
      </c>
      <c r="P2415" s="2">
        <v>5.2662037037037035E-3</v>
      </c>
      <c r="Q2415" s="1" t="s">
        <v>1737</v>
      </c>
      <c r="R2415" s="1">
        <v>0</v>
      </c>
      <c r="S2415" s="1" t="str">
        <f>""</f>
        <v/>
      </c>
      <c r="T2415" s="1" t="s">
        <v>29</v>
      </c>
      <c r="U2415" s="1" t="s">
        <v>30</v>
      </c>
      <c r="V2415" s="1">
        <v>0</v>
      </c>
    </row>
    <row r="2416" spans="2:22" x14ac:dyDescent="0.15">
      <c r="B2416" s="1" t="str">
        <f>"180****5411"</f>
        <v>180****5411</v>
      </c>
      <c r="C2416" s="1" t="s">
        <v>1738</v>
      </c>
      <c r="D2416" s="1" t="str">
        <f t="shared" si="245"/>
        <v>89177328</v>
      </c>
      <c r="E2416" s="1" t="s">
        <v>24</v>
      </c>
      <c r="F2416" s="1" t="str">
        <f t="shared" si="246"/>
        <v>0010</v>
      </c>
      <c r="G2416" s="1" t="str">
        <f>""</f>
        <v/>
      </c>
      <c r="H2416" s="1" t="str">
        <f>"0032"</f>
        <v>0032</v>
      </c>
      <c r="I2416" s="1" t="s">
        <v>119</v>
      </c>
      <c r="J2416" s="1" t="str">
        <f>"01043977566"</f>
        <v>01043977566</v>
      </c>
      <c r="K2416" s="1" t="str">
        <f>"2017-03-22 09:53:56"</f>
        <v>2017-03-22 09:53:56</v>
      </c>
      <c r="L2416" s="1" t="str">
        <f>"2017-03-22 09:54:09"</f>
        <v>2017-03-22 09:54:09</v>
      </c>
      <c r="M2416" s="2">
        <v>1.6597222222222222E-2</v>
      </c>
      <c r="N2416" s="1" t="s">
        <v>26</v>
      </c>
      <c r="O2416" s="1" t="s">
        <v>34</v>
      </c>
      <c r="P2416" s="2">
        <v>1.6747685185185185E-2</v>
      </c>
      <c r="Q2416" s="1" t="s">
        <v>1739</v>
      </c>
      <c r="R2416" s="1">
        <v>0</v>
      </c>
      <c r="S2416" s="1" t="str">
        <f>""</f>
        <v/>
      </c>
      <c r="T2416" s="1" t="s">
        <v>29</v>
      </c>
      <c r="U2416" s="1" t="s">
        <v>30</v>
      </c>
      <c r="V2416" s="1">
        <v>0</v>
      </c>
    </row>
    <row r="2417" spans="2:22" x14ac:dyDescent="0.15">
      <c r="B2417" s="1" t="str">
        <f>"185****2441"</f>
        <v>185****2441</v>
      </c>
      <c r="C2417" s="1" t="s">
        <v>831</v>
      </c>
      <c r="D2417" s="1" t="str">
        <f t="shared" si="245"/>
        <v>89177328</v>
      </c>
      <c r="E2417" s="1" t="s">
        <v>24</v>
      </c>
      <c r="F2417" s="1" t="str">
        <f t="shared" si="246"/>
        <v>0010</v>
      </c>
      <c r="G2417" s="1" t="str">
        <f>""</f>
        <v/>
      </c>
      <c r="H2417" s="1" t="str">
        <f>"0032"</f>
        <v>0032</v>
      </c>
      <c r="I2417" s="1" t="s">
        <v>119</v>
      </c>
      <c r="J2417" s="1" t="str">
        <f>"01043977566"</f>
        <v>01043977566</v>
      </c>
      <c r="K2417" s="1" t="str">
        <f>"2017-03-22 09:53:48"</f>
        <v>2017-03-22 09:53:48</v>
      </c>
      <c r="L2417" s="1" t="str">
        <f>"-"</f>
        <v>-</v>
      </c>
      <c r="M2417" s="2">
        <v>0</v>
      </c>
      <c r="N2417" s="1" t="s">
        <v>33</v>
      </c>
      <c r="O2417" s="1" t="s">
        <v>34</v>
      </c>
      <c r="P2417" s="2">
        <v>1.1574074074074073E-5</v>
      </c>
      <c r="Q2417" s="1" t="str">
        <f>""</f>
        <v/>
      </c>
      <c r="R2417" s="1">
        <v>0</v>
      </c>
      <c r="S2417" s="1" t="str">
        <f>""</f>
        <v/>
      </c>
      <c r="T2417" s="1" t="s">
        <v>29</v>
      </c>
      <c r="U2417" s="1" t="s">
        <v>30</v>
      </c>
      <c r="V2417" s="1">
        <v>0</v>
      </c>
    </row>
    <row r="2418" spans="2:22" x14ac:dyDescent="0.15">
      <c r="B2418" s="1" t="str">
        <f>"131****4168"</f>
        <v>131****4168</v>
      </c>
      <c r="C2418" s="1" t="s">
        <v>550</v>
      </c>
      <c r="D2418" s="1" t="str">
        <f t="shared" si="245"/>
        <v>89177328</v>
      </c>
      <c r="E2418" s="1" t="s">
        <v>24</v>
      </c>
      <c r="F2418" s="1" t="str">
        <f t="shared" si="246"/>
        <v>0010</v>
      </c>
      <c r="G2418" s="1" t="str">
        <f>""</f>
        <v/>
      </c>
      <c r="H2418" s="1" t="str">
        <f>"0017"</f>
        <v>0017</v>
      </c>
      <c r="I2418" s="1" t="s">
        <v>135</v>
      </c>
      <c r="J2418" s="1" t="str">
        <f>"01043989717"</f>
        <v>01043989717</v>
      </c>
      <c r="K2418" s="1" t="str">
        <f>"2017-03-22 09:51:42"</f>
        <v>2017-03-22 09:51:42</v>
      </c>
      <c r="L2418" s="1" t="str">
        <f>"2017-03-22 09:51:48"</f>
        <v>2017-03-22 09:51:48</v>
      </c>
      <c r="M2418" s="2">
        <v>9.1898148148148139E-3</v>
      </c>
      <c r="N2418" s="1" t="s">
        <v>26</v>
      </c>
      <c r="O2418" s="1" t="s">
        <v>27</v>
      </c>
      <c r="P2418" s="2">
        <v>9.2592592592592605E-3</v>
      </c>
      <c r="Q2418" s="1" t="s">
        <v>1740</v>
      </c>
      <c r="R2418" s="1">
        <v>0</v>
      </c>
      <c r="S2418" s="1" t="str">
        <f>""</f>
        <v/>
      </c>
      <c r="T2418" s="1" t="s">
        <v>29</v>
      </c>
      <c r="U2418" s="1" t="s">
        <v>30</v>
      </c>
      <c r="V2418" s="1">
        <v>0</v>
      </c>
    </row>
    <row r="2419" spans="2:22" x14ac:dyDescent="0.15">
      <c r="B2419" s="1" t="str">
        <f>"136****6357"</f>
        <v>136****6357</v>
      </c>
      <c r="C2419" s="1" t="s">
        <v>241</v>
      </c>
      <c r="D2419" s="1" t="str">
        <f t="shared" si="245"/>
        <v>89177328</v>
      </c>
      <c r="E2419" s="1" t="s">
        <v>24</v>
      </c>
      <c r="F2419" s="1" t="str">
        <f t="shared" si="246"/>
        <v>0010</v>
      </c>
      <c r="G2419" s="1" t="str">
        <f>""</f>
        <v/>
      </c>
      <c r="H2419" s="1" t="str">
        <f>"0012"</f>
        <v>0012</v>
      </c>
      <c r="I2419" s="1" t="s">
        <v>612</v>
      </c>
      <c r="J2419" s="1" t="str">
        <f>"01043989720"</f>
        <v>01043989720</v>
      </c>
      <c r="K2419" s="1" t="str">
        <f>"2017-03-22 09:51:05"</f>
        <v>2017-03-22 09:51:05</v>
      </c>
      <c r="L2419" s="1" t="str">
        <f>"2017-03-22 09:51:14"</f>
        <v>2017-03-22 09:51:14</v>
      </c>
      <c r="M2419" s="2">
        <v>1.6180555555555556E-2</v>
      </c>
      <c r="N2419" s="1" t="s">
        <v>26</v>
      </c>
      <c r="O2419" s="1" t="s">
        <v>27</v>
      </c>
      <c r="P2419" s="2">
        <v>1.6284722222222221E-2</v>
      </c>
      <c r="Q2419" s="1" t="s">
        <v>1741</v>
      </c>
      <c r="R2419" s="1">
        <v>0</v>
      </c>
      <c r="S2419" s="1" t="str">
        <f>""</f>
        <v/>
      </c>
      <c r="T2419" s="1" t="s">
        <v>29</v>
      </c>
      <c r="U2419" s="1" t="s">
        <v>30</v>
      </c>
      <c r="V2419" s="1">
        <v>0</v>
      </c>
    </row>
    <row r="2420" spans="2:22" x14ac:dyDescent="0.15">
      <c r="B2420" s="1" t="str">
        <f>"136****6357"</f>
        <v>136****6357</v>
      </c>
      <c r="C2420" s="1" t="s">
        <v>241</v>
      </c>
      <c r="D2420" s="1" t="str">
        <f t="shared" si="245"/>
        <v>89177328</v>
      </c>
      <c r="E2420" s="1" t="s">
        <v>24</v>
      </c>
      <c r="F2420" s="1" t="str">
        <f t="shared" si="246"/>
        <v>0010</v>
      </c>
      <c r="G2420" s="1" t="str">
        <f>""</f>
        <v/>
      </c>
      <c r="H2420" s="1" t="str">
        <f>"0012"</f>
        <v>0012</v>
      </c>
      <c r="I2420" s="1" t="s">
        <v>612</v>
      </c>
      <c r="J2420" s="1" t="str">
        <f>"01043989720"</f>
        <v>01043989720</v>
      </c>
      <c r="K2420" s="1" t="str">
        <f>"2017-03-22 09:49:08"</f>
        <v>2017-03-22 09:49:08</v>
      </c>
      <c r="L2420" s="1" t="str">
        <f>"2017-03-22 09:49:18"</f>
        <v>2017-03-22 09:49:18</v>
      </c>
      <c r="M2420" s="2">
        <v>2.7777777777777778E-4</v>
      </c>
      <c r="N2420" s="1" t="s">
        <v>26</v>
      </c>
      <c r="O2420" s="1" t="s">
        <v>27</v>
      </c>
      <c r="P2420" s="2">
        <v>3.9351851851851852E-4</v>
      </c>
      <c r="Q2420" s="1" t="s">
        <v>1742</v>
      </c>
      <c r="R2420" s="1">
        <v>0</v>
      </c>
      <c r="S2420" s="1" t="str">
        <f>""</f>
        <v/>
      </c>
      <c r="T2420" s="1" t="s">
        <v>29</v>
      </c>
      <c r="U2420" s="1" t="s">
        <v>30</v>
      </c>
      <c r="V2420" s="1">
        <v>0</v>
      </c>
    </row>
    <row r="2421" spans="2:22" x14ac:dyDescent="0.15">
      <c r="B2421" s="1" t="str">
        <f>"138****4357"</f>
        <v>138****4357</v>
      </c>
      <c r="C2421" s="1" t="s">
        <v>23</v>
      </c>
      <c r="D2421" s="1" t="str">
        <f t="shared" si="245"/>
        <v>89177328</v>
      </c>
      <c r="E2421" s="1" t="s">
        <v>24</v>
      </c>
      <c r="F2421" s="1" t="str">
        <f t="shared" si="246"/>
        <v>0010</v>
      </c>
      <c r="G2421" s="1" t="str">
        <f>""</f>
        <v/>
      </c>
      <c r="H2421" s="1" t="str">
        <f>"0031"</f>
        <v>0031</v>
      </c>
      <c r="I2421" s="1" t="s">
        <v>95</v>
      </c>
      <c r="J2421" s="1" t="str">
        <f>"01043977565"</f>
        <v>01043977565</v>
      </c>
      <c r="K2421" s="1" t="str">
        <f>"2017-03-22 09:35:57"</f>
        <v>2017-03-22 09:35:57</v>
      </c>
      <c r="L2421" s="1" t="str">
        <f>"2017-03-22 09:36:02"</f>
        <v>2017-03-22 09:36:02</v>
      </c>
      <c r="M2421" s="2">
        <v>6.9675925925925921E-3</v>
      </c>
      <c r="N2421" s="1" t="s">
        <v>26</v>
      </c>
      <c r="O2421" s="1" t="s">
        <v>27</v>
      </c>
      <c r="P2421" s="2">
        <v>7.0254629629629634E-3</v>
      </c>
      <c r="Q2421" s="1" t="s">
        <v>1743</v>
      </c>
      <c r="R2421" s="1">
        <v>0</v>
      </c>
      <c r="S2421" s="1" t="str">
        <f>""</f>
        <v/>
      </c>
      <c r="T2421" s="1" t="s">
        <v>29</v>
      </c>
      <c r="U2421" s="1" t="s">
        <v>30</v>
      </c>
      <c r="V2421" s="1">
        <v>0</v>
      </c>
    </row>
    <row r="2422" spans="2:22" x14ac:dyDescent="0.15">
      <c r="B2422" s="1" t="str">
        <f>"182****5094"</f>
        <v>182****5094</v>
      </c>
      <c r="C2422" s="1" t="s">
        <v>38</v>
      </c>
      <c r="D2422" s="1" t="str">
        <f t="shared" si="245"/>
        <v>89177328</v>
      </c>
      <c r="E2422" s="1" t="s">
        <v>24</v>
      </c>
      <c r="F2422" s="1" t="str">
        <f t="shared" si="246"/>
        <v>0010</v>
      </c>
      <c r="G2422" s="1" t="str">
        <f>""</f>
        <v/>
      </c>
      <c r="H2422" s="1" t="str">
        <f>"0034"</f>
        <v>0034</v>
      </c>
      <c r="I2422" s="1" t="s">
        <v>31</v>
      </c>
      <c r="J2422" s="1" t="str">
        <f>"01043977568"</f>
        <v>01043977568</v>
      </c>
      <c r="K2422" s="1" t="str">
        <f>"2017-03-22 09:32:45"</f>
        <v>2017-03-22 09:32:45</v>
      </c>
      <c r="L2422" s="1" t="str">
        <f>"2017-03-22 09:32:54"</f>
        <v>2017-03-22 09:32:54</v>
      </c>
      <c r="M2422" s="2">
        <v>5.138888888888889E-3</v>
      </c>
      <c r="N2422" s="1" t="s">
        <v>26</v>
      </c>
      <c r="O2422" s="1" t="s">
        <v>27</v>
      </c>
      <c r="P2422" s="2">
        <v>5.2430555555555555E-3</v>
      </c>
      <c r="Q2422" s="1" t="s">
        <v>1744</v>
      </c>
      <c r="R2422" s="1">
        <v>0</v>
      </c>
      <c r="S2422" s="1" t="str">
        <f>""</f>
        <v/>
      </c>
      <c r="T2422" s="1" t="s">
        <v>29</v>
      </c>
      <c r="U2422" s="1" t="s">
        <v>30</v>
      </c>
      <c r="V2422" s="1">
        <v>0</v>
      </c>
    </row>
    <row r="2423" spans="2:22" x14ac:dyDescent="0.15">
      <c r="B2423" s="1" t="str">
        <f>"147****6127"</f>
        <v>147****6127</v>
      </c>
      <c r="C2423" s="1" t="s">
        <v>38</v>
      </c>
      <c r="D2423" s="1" t="str">
        <f t="shared" si="245"/>
        <v>89177328</v>
      </c>
      <c r="E2423" s="1" t="s">
        <v>24</v>
      </c>
      <c r="F2423" s="1" t="str">
        <f t="shared" si="246"/>
        <v>0010</v>
      </c>
      <c r="G2423" s="1" t="str">
        <f>""</f>
        <v/>
      </c>
      <c r="H2423" s="1" t="str">
        <f>"0035"</f>
        <v>0035</v>
      </c>
      <c r="I2423" s="1" t="s">
        <v>25</v>
      </c>
      <c r="J2423" s="1" t="str">
        <f>"01043977569"</f>
        <v>01043977569</v>
      </c>
      <c r="K2423" s="1" t="str">
        <f>"2017-03-22 09:25:37"</f>
        <v>2017-03-22 09:25:37</v>
      </c>
      <c r="L2423" s="1" t="str">
        <f>"2017-03-22 09:25:46"</f>
        <v>2017-03-22 09:25:46</v>
      </c>
      <c r="M2423" s="2">
        <v>7.6620370370370366E-3</v>
      </c>
      <c r="N2423" s="1" t="s">
        <v>26</v>
      </c>
      <c r="O2423" s="1" t="s">
        <v>27</v>
      </c>
      <c r="P2423" s="2">
        <v>7.7662037037037031E-3</v>
      </c>
      <c r="Q2423" s="1" t="s">
        <v>1745</v>
      </c>
      <c r="R2423" s="1">
        <v>0</v>
      </c>
      <c r="S2423" s="1" t="str">
        <f>""</f>
        <v/>
      </c>
      <c r="T2423" s="1" t="s">
        <v>29</v>
      </c>
      <c r="U2423" s="1" t="s">
        <v>30</v>
      </c>
      <c r="V2423" s="1">
        <v>0</v>
      </c>
    </row>
    <row r="2424" spans="2:22" x14ac:dyDescent="0.15">
      <c r="B2424" s="1" t="str">
        <f>"158****3854"</f>
        <v>158****3854</v>
      </c>
      <c r="C2424" s="1" t="s">
        <v>126</v>
      </c>
      <c r="D2424" s="1" t="str">
        <f t="shared" si="245"/>
        <v>89177328</v>
      </c>
      <c r="E2424" s="1" t="s">
        <v>24</v>
      </c>
      <c r="F2424" s="1" t="str">
        <f t="shared" si="246"/>
        <v>0010</v>
      </c>
      <c r="G2424" s="1" t="str">
        <f>""</f>
        <v/>
      </c>
      <c r="H2424" s="1" t="str">
        <f>"0032"</f>
        <v>0032</v>
      </c>
      <c r="I2424" s="1" t="s">
        <v>119</v>
      </c>
      <c r="J2424" s="1" t="str">
        <f>"01043977566"</f>
        <v>01043977566</v>
      </c>
      <c r="K2424" s="1" t="str">
        <f>"2017-03-22 09:25:37"</f>
        <v>2017-03-22 09:25:37</v>
      </c>
      <c r="L2424" s="1" t="str">
        <f>"2017-03-22 09:25:49"</f>
        <v>2017-03-22 09:25:49</v>
      </c>
      <c r="M2424" s="2">
        <v>4.6643518518518518E-3</v>
      </c>
      <c r="N2424" s="1" t="s">
        <v>26</v>
      </c>
      <c r="O2424" s="1" t="s">
        <v>34</v>
      </c>
      <c r="P2424" s="2">
        <v>4.8032407407407407E-3</v>
      </c>
      <c r="Q2424" s="1" t="s">
        <v>1746</v>
      </c>
      <c r="R2424" s="1">
        <v>0</v>
      </c>
      <c r="S2424" s="1" t="str">
        <f>""</f>
        <v/>
      </c>
      <c r="T2424" s="1" t="s">
        <v>29</v>
      </c>
      <c r="U2424" s="1" t="s">
        <v>30</v>
      </c>
      <c r="V2424" s="1">
        <v>0</v>
      </c>
    </row>
    <row r="2425" spans="2:22" x14ac:dyDescent="0.15">
      <c r="B2425" s="1" t="str">
        <f>"045****6899"</f>
        <v>045****6899</v>
      </c>
      <c r="C2425" s="1" t="s">
        <v>1263</v>
      </c>
      <c r="D2425" s="1" t="str">
        <f t="shared" si="245"/>
        <v>89177328</v>
      </c>
      <c r="E2425" s="1" t="s">
        <v>24</v>
      </c>
      <c r="F2425" s="1" t="str">
        <f t="shared" si="246"/>
        <v>0010</v>
      </c>
      <c r="G2425" s="1" t="str">
        <f>""</f>
        <v/>
      </c>
      <c r="H2425" s="1" t="str">
        <f>"0018"</f>
        <v>0018</v>
      </c>
      <c r="I2425" s="1" t="s">
        <v>36</v>
      </c>
      <c r="J2425" s="1" t="str">
        <f>"01043989718"</f>
        <v>01043989718</v>
      </c>
      <c r="K2425" s="1" t="str">
        <f>"2017-03-22 09:18:18"</f>
        <v>2017-03-22 09:18:18</v>
      </c>
      <c r="L2425" s="1" t="str">
        <f>"2017-03-22 09:18:27"</f>
        <v>2017-03-22 09:18:27</v>
      </c>
      <c r="M2425" s="2">
        <v>8.1944444444444452E-3</v>
      </c>
      <c r="N2425" s="1" t="s">
        <v>26</v>
      </c>
      <c r="O2425" s="1" t="s">
        <v>34</v>
      </c>
      <c r="P2425" s="2">
        <v>8.2986111111111108E-3</v>
      </c>
      <c r="Q2425" s="1" t="s">
        <v>1747</v>
      </c>
      <c r="R2425" s="1">
        <v>0</v>
      </c>
      <c r="S2425" s="1" t="str">
        <f>""</f>
        <v/>
      </c>
      <c r="T2425" s="1" t="s">
        <v>29</v>
      </c>
      <c r="U2425" s="1" t="s">
        <v>30</v>
      </c>
      <c r="V2425" s="1">
        <v>0</v>
      </c>
    </row>
    <row r="2426" spans="2:22" x14ac:dyDescent="0.15">
      <c r="B2426" s="1" t="str">
        <f>"137****2655"</f>
        <v>137****2655</v>
      </c>
      <c r="C2426" s="1" t="s">
        <v>23</v>
      </c>
      <c r="D2426" s="1" t="str">
        <f t="shared" si="245"/>
        <v>89177328</v>
      </c>
      <c r="E2426" s="1" t="s">
        <v>24</v>
      </c>
      <c r="F2426" s="1" t="str">
        <f t="shared" si="246"/>
        <v>0010</v>
      </c>
      <c r="G2426" s="1" t="str">
        <f>""</f>
        <v/>
      </c>
      <c r="H2426" s="1" t="str">
        <f>"0017"</f>
        <v>0017</v>
      </c>
      <c r="I2426" s="1" t="s">
        <v>135</v>
      </c>
      <c r="J2426" s="1" t="str">
        <f>"01043989717"</f>
        <v>01043989717</v>
      </c>
      <c r="K2426" s="1" t="str">
        <f>"2017-03-22 08:59:59"</f>
        <v>2017-03-22 08:59:59</v>
      </c>
      <c r="L2426" s="1" t="str">
        <f>"2017-03-22 09:00:05"</f>
        <v>2017-03-22 09:00:05</v>
      </c>
      <c r="M2426" s="2">
        <v>5.5092592592592589E-3</v>
      </c>
      <c r="N2426" s="1" t="s">
        <v>26</v>
      </c>
      <c r="O2426" s="1" t="s">
        <v>27</v>
      </c>
      <c r="P2426" s="2">
        <v>5.5787037037037038E-3</v>
      </c>
      <c r="Q2426" s="1" t="s">
        <v>1748</v>
      </c>
      <c r="R2426" s="1">
        <v>0</v>
      </c>
      <c r="S2426" s="1" t="str">
        <f>""</f>
        <v/>
      </c>
      <c r="T2426" s="1" t="s">
        <v>29</v>
      </c>
      <c r="U2426" s="1" t="s">
        <v>30</v>
      </c>
      <c r="V2426" s="1">
        <v>0</v>
      </c>
    </row>
    <row r="2427" spans="2:22" x14ac:dyDescent="0.15">
      <c r="B2427" s="1" t="str">
        <f>"010****6102"</f>
        <v>010****6102</v>
      </c>
      <c r="C2427" s="1" t="s">
        <v>23</v>
      </c>
      <c r="D2427" s="1" t="str">
        <f t="shared" si="245"/>
        <v>89177328</v>
      </c>
      <c r="E2427" s="1" t="s">
        <v>24</v>
      </c>
      <c r="F2427" s="1" t="str">
        <f t="shared" si="246"/>
        <v>0010</v>
      </c>
      <c r="G2427" s="1" t="str">
        <f>""</f>
        <v/>
      </c>
      <c r="H2427" s="1" t="str">
        <f>"0012"</f>
        <v>0012</v>
      </c>
      <c r="I2427" s="1" t="s">
        <v>612</v>
      </c>
      <c r="J2427" s="1" t="str">
        <f>"01043989720"</f>
        <v>01043989720</v>
      </c>
      <c r="K2427" s="1" t="str">
        <f>"2017-03-22 08:59:04"</f>
        <v>2017-03-22 08:59:04</v>
      </c>
      <c r="L2427" s="1" t="str">
        <f>"2017-03-22 08:59:15"</f>
        <v>2017-03-22 08:59:15</v>
      </c>
      <c r="M2427" s="2">
        <v>5.0694444444444441E-3</v>
      </c>
      <c r="N2427" s="1" t="s">
        <v>26</v>
      </c>
      <c r="O2427" s="1" t="s">
        <v>27</v>
      </c>
      <c r="P2427" s="2">
        <v>5.1967592592592595E-3</v>
      </c>
      <c r="Q2427" s="1" t="s">
        <v>1749</v>
      </c>
      <c r="R2427" s="1">
        <v>0</v>
      </c>
      <c r="S2427" s="1" t="str">
        <f>""</f>
        <v/>
      </c>
      <c r="T2427" s="1" t="s">
        <v>29</v>
      </c>
      <c r="U2427" s="1" t="s">
        <v>30</v>
      </c>
      <c r="V2427" s="1">
        <v>0</v>
      </c>
    </row>
    <row r="2428" spans="2:22" x14ac:dyDescent="0.15">
      <c r="B2428" s="1" t="str">
        <f>"139****5828"</f>
        <v>139****5828</v>
      </c>
      <c r="C2428" s="1" t="s">
        <v>1750</v>
      </c>
      <c r="D2428" s="1" t="str">
        <f t="shared" si="245"/>
        <v>89177328</v>
      </c>
      <c r="E2428" s="1" t="s">
        <v>24</v>
      </c>
      <c r="F2428" s="1" t="str">
        <f t="shared" si="246"/>
        <v>0010</v>
      </c>
      <c r="G2428" s="1" t="str">
        <f>""</f>
        <v/>
      </c>
      <c r="H2428" s="1" t="str">
        <f>"0032"</f>
        <v>0032</v>
      </c>
      <c r="I2428" s="1" t="s">
        <v>119</v>
      </c>
      <c r="J2428" s="1" t="str">
        <f>"01043977566"</f>
        <v>01043977566</v>
      </c>
      <c r="K2428" s="1" t="str">
        <f>"2017-03-22 08:54:59"</f>
        <v>2017-03-22 08:54:59</v>
      </c>
      <c r="L2428" s="1" t="str">
        <f>"2017-03-22 08:55:11"</f>
        <v>2017-03-22 08:55:11</v>
      </c>
      <c r="M2428" s="2">
        <v>9.1319444444444443E-3</v>
      </c>
      <c r="N2428" s="1" t="s">
        <v>26</v>
      </c>
      <c r="O2428" s="1" t="s">
        <v>34</v>
      </c>
      <c r="P2428" s="2">
        <v>9.2708333333333341E-3</v>
      </c>
      <c r="Q2428" s="1" t="s">
        <v>1751</v>
      </c>
      <c r="R2428" s="1">
        <v>0</v>
      </c>
      <c r="S2428" s="1" t="str">
        <f>""</f>
        <v/>
      </c>
      <c r="T2428" s="1" t="s">
        <v>29</v>
      </c>
      <c r="U2428" s="1" t="s">
        <v>30</v>
      </c>
      <c r="V2428" s="1">
        <v>0</v>
      </c>
    </row>
    <row r="2429" spans="2:22" x14ac:dyDescent="0.15">
      <c r="B2429" s="1" t="str">
        <f>"010****2030"</f>
        <v>010****2030</v>
      </c>
      <c r="C2429" s="1" t="s">
        <v>23</v>
      </c>
      <c r="D2429" s="1" t="str">
        <f t="shared" si="245"/>
        <v>89177328</v>
      </c>
      <c r="E2429" s="1" t="s">
        <v>24</v>
      </c>
      <c r="F2429" s="1" t="str">
        <f t="shared" si="246"/>
        <v>0010</v>
      </c>
      <c r="G2429" s="1" t="str">
        <f>""</f>
        <v/>
      </c>
      <c r="H2429" s="1" t="str">
        <f>"0031"</f>
        <v>0031</v>
      </c>
      <c r="I2429" s="1" t="s">
        <v>95</v>
      </c>
      <c r="J2429" s="1" t="str">
        <f>"01043977565"</f>
        <v>01043977565</v>
      </c>
      <c r="K2429" s="1" t="str">
        <f>"2017-03-22 08:54:37"</f>
        <v>2017-03-22 08:54:37</v>
      </c>
      <c r="L2429" s="1" t="str">
        <f>"2017-03-22 08:54:45"</f>
        <v>2017-03-22 08:54:45</v>
      </c>
      <c r="M2429" s="2">
        <v>6.030092592592593E-3</v>
      </c>
      <c r="N2429" s="1" t="s">
        <v>26</v>
      </c>
      <c r="O2429" s="1" t="s">
        <v>27</v>
      </c>
      <c r="P2429" s="2">
        <v>6.122685185185185E-3</v>
      </c>
      <c r="Q2429" s="1" t="s">
        <v>1752</v>
      </c>
      <c r="R2429" s="1">
        <v>0</v>
      </c>
      <c r="S2429" s="1" t="str">
        <f>""</f>
        <v/>
      </c>
      <c r="T2429" s="1" t="s">
        <v>29</v>
      </c>
      <c r="U2429" s="1" t="s">
        <v>30</v>
      </c>
      <c r="V2429" s="1">
        <v>0</v>
      </c>
    </row>
    <row r="2430" spans="2:22" x14ac:dyDescent="0.15">
      <c r="B2430" s="1" t="str">
        <f>"185****7509"</f>
        <v>185****7509</v>
      </c>
      <c r="C2430" s="1" t="s">
        <v>23</v>
      </c>
      <c r="D2430" s="1" t="str">
        <f t="shared" si="245"/>
        <v>89177328</v>
      </c>
      <c r="E2430" s="1" t="s">
        <v>24</v>
      </c>
      <c r="F2430" s="1" t="str">
        <f t="shared" si="246"/>
        <v>0010</v>
      </c>
      <c r="G2430" s="1" t="str">
        <f>""</f>
        <v/>
      </c>
      <c r="H2430" s="1" t="str">
        <f>"0031"</f>
        <v>0031</v>
      </c>
      <c r="I2430" s="1" t="s">
        <v>95</v>
      </c>
      <c r="J2430" s="1" t="str">
        <f>"01043977565"</f>
        <v>01043977565</v>
      </c>
      <c r="K2430" s="1" t="str">
        <f>"2017-03-22 08:47:56"</f>
        <v>2017-03-22 08:47:56</v>
      </c>
      <c r="L2430" s="1" t="str">
        <f>"2017-03-22 08:48:05"</f>
        <v>2017-03-22 08:48:05</v>
      </c>
      <c r="M2430" s="2">
        <v>3.6574074074074074E-3</v>
      </c>
      <c r="N2430" s="1" t="s">
        <v>26</v>
      </c>
      <c r="O2430" s="1" t="s">
        <v>27</v>
      </c>
      <c r="P2430" s="2">
        <v>3.7615740740740739E-3</v>
      </c>
      <c r="Q2430" s="1" t="s">
        <v>1753</v>
      </c>
      <c r="R2430" s="1">
        <v>0</v>
      </c>
      <c r="S2430" s="1" t="str">
        <f>""</f>
        <v/>
      </c>
      <c r="T2430" s="1" t="s">
        <v>29</v>
      </c>
      <c r="U2430" s="1" t="s">
        <v>30</v>
      </c>
      <c r="V2430" s="1">
        <v>0</v>
      </c>
    </row>
    <row r="2431" spans="2:22" x14ac:dyDescent="0.15">
      <c r="B2431" s="1" t="str">
        <f>"136****6987"</f>
        <v>136****6987</v>
      </c>
      <c r="C2431" s="1" t="s">
        <v>1754</v>
      </c>
      <c r="D2431" s="1" t="str">
        <f t="shared" si="245"/>
        <v>89177328</v>
      </c>
      <c r="E2431" s="1" t="s">
        <v>24</v>
      </c>
      <c r="F2431" s="1" t="str">
        <f t="shared" si="246"/>
        <v>0010</v>
      </c>
      <c r="G2431" s="1" t="str">
        <f>""</f>
        <v/>
      </c>
      <c r="H2431" s="1" t="str">
        <f>"0034"</f>
        <v>0034</v>
      </c>
      <c r="I2431" s="1" t="s">
        <v>31</v>
      </c>
      <c r="J2431" s="1" t="str">
        <f>"01043977568"</f>
        <v>01043977568</v>
      </c>
      <c r="K2431" s="1" t="str">
        <f>"2017-03-22 08:45:49"</f>
        <v>2017-03-22 08:45:49</v>
      </c>
      <c r="L2431" s="1" t="str">
        <f>"2017-03-22 08:45:57"</f>
        <v>2017-03-22 08:45:57</v>
      </c>
      <c r="M2431" s="2">
        <v>7.3379629629629628E-3</v>
      </c>
      <c r="N2431" s="1" t="s">
        <v>26</v>
      </c>
      <c r="O2431" s="1" t="s">
        <v>27</v>
      </c>
      <c r="P2431" s="2">
        <v>7.4305555555555548E-3</v>
      </c>
      <c r="Q2431" s="1" t="s">
        <v>1755</v>
      </c>
      <c r="R2431" s="1">
        <v>0</v>
      </c>
      <c r="S2431" s="1" t="str">
        <f>""</f>
        <v/>
      </c>
      <c r="T2431" s="1" t="s">
        <v>29</v>
      </c>
      <c r="U2431" s="1" t="s">
        <v>30</v>
      </c>
      <c r="V2431" s="1">
        <v>0</v>
      </c>
    </row>
    <row r="2432" spans="2:22" x14ac:dyDescent="0.15">
      <c r="B2432" s="1" t="str">
        <f>"185****0872"</f>
        <v>185****0872</v>
      </c>
      <c r="C2432" s="1" t="s">
        <v>829</v>
      </c>
      <c r="D2432" s="1" t="str">
        <f t="shared" si="245"/>
        <v>89177328</v>
      </c>
      <c r="E2432" s="1" t="s">
        <v>24</v>
      </c>
      <c r="F2432" s="1" t="str">
        <f t="shared" si="246"/>
        <v>0010</v>
      </c>
      <c r="G2432" s="1" t="str">
        <f>""</f>
        <v/>
      </c>
      <c r="H2432" s="1" t="str">
        <f>"0033"</f>
        <v>0033</v>
      </c>
      <c r="I2432" s="1" t="s">
        <v>106</v>
      </c>
      <c r="J2432" s="1" t="str">
        <f>"01043977567"</f>
        <v>01043977567</v>
      </c>
      <c r="K2432" s="1" t="str">
        <f>"2017-03-22 08:41:48"</f>
        <v>2017-03-22 08:41:48</v>
      </c>
      <c r="L2432" s="1" t="str">
        <f>"2017-03-22 08:41:58"</f>
        <v>2017-03-22 08:41:58</v>
      </c>
      <c r="M2432" s="2">
        <v>1.1678240740740741E-2</v>
      </c>
      <c r="N2432" s="1" t="s">
        <v>26</v>
      </c>
      <c r="O2432" s="1" t="s">
        <v>27</v>
      </c>
      <c r="P2432" s="2">
        <v>1.1793981481481482E-2</v>
      </c>
      <c r="Q2432" s="1" t="s">
        <v>1756</v>
      </c>
      <c r="R2432" s="1">
        <v>0</v>
      </c>
      <c r="S2432" s="1" t="str">
        <f>""</f>
        <v/>
      </c>
      <c r="T2432" s="1" t="s">
        <v>29</v>
      </c>
      <c r="U2432" s="1" t="s">
        <v>30</v>
      </c>
      <c r="V2432" s="1">
        <v>0</v>
      </c>
    </row>
    <row r="2433" spans="2:22" x14ac:dyDescent="0.15">
      <c r="B2433" s="1" t="str">
        <f>"132****3308"</f>
        <v>132****3308</v>
      </c>
      <c r="C2433" s="1" t="s">
        <v>531</v>
      </c>
      <c r="D2433" s="1" t="str">
        <f t="shared" si="245"/>
        <v>89177328</v>
      </c>
      <c r="E2433" s="1" t="s">
        <v>24</v>
      </c>
      <c r="F2433" s="1" t="str">
        <f t="shared" si="246"/>
        <v>0010</v>
      </c>
      <c r="G2433" s="1" t="str">
        <f>""</f>
        <v/>
      </c>
      <c r="H2433" s="1" t="str">
        <f>"0012"</f>
        <v>0012</v>
      </c>
      <c r="I2433" s="1" t="s">
        <v>612</v>
      </c>
      <c r="J2433" s="1" t="str">
        <f>"01043989720"</f>
        <v>01043989720</v>
      </c>
      <c r="K2433" s="1" t="str">
        <f>"2017-03-22 08:41:26"</f>
        <v>2017-03-22 08:41:26</v>
      </c>
      <c r="L2433" s="1" t="str">
        <f>"2017-03-22 08:41:33"</f>
        <v>2017-03-22 08:41:33</v>
      </c>
      <c r="M2433" s="2">
        <v>1.0694444444444444E-2</v>
      </c>
      <c r="N2433" s="1" t="s">
        <v>26</v>
      </c>
      <c r="O2433" s="1" t="s">
        <v>27</v>
      </c>
      <c r="P2433" s="2">
        <v>1.0775462962962964E-2</v>
      </c>
      <c r="Q2433" s="1" t="s">
        <v>1757</v>
      </c>
      <c r="R2433" s="1">
        <v>0</v>
      </c>
      <c r="S2433" s="1" t="str">
        <f>""</f>
        <v/>
      </c>
      <c r="T2433" s="1" t="s">
        <v>29</v>
      </c>
      <c r="U2433" s="1" t="s">
        <v>30</v>
      </c>
      <c r="V2433" s="1">
        <v>0</v>
      </c>
    </row>
    <row r="2434" spans="2:22" x14ac:dyDescent="0.15">
      <c r="B2434" s="1" t="str">
        <f>"139****9752"</f>
        <v>139****9752</v>
      </c>
      <c r="C2434" s="1" t="s">
        <v>78</v>
      </c>
      <c r="D2434" s="1" t="str">
        <f t="shared" si="245"/>
        <v>89177328</v>
      </c>
      <c r="E2434" s="1" t="s">
        <v>24</v>
      </c>
      <c r="F2434" s="1" t="str">
        <f t="shared" si="246"/>
        <v>0010</v>
      </c>
      <c r="G2434" s="1" t="str">
        <f>""</f>
        <v/>
      </c>
      <c r="H2434" s="1" t="str">
        <f>"0033"</f>
        <v>0033</v>
      </c>
      <c r="I2434" s="1" t="s">
        <v>106</v>
      </c>
      <c r="J2434" s="1" t="str">
        <f>"01043977567"</f>
        <v>01043977567</v>
      </c>
      <c r="K2434" s="1" t="str">
        <f>"2017-03-22 08:36:20"</f>
        <v>2017-03-22 08:36:20</v>
      </c>
      <c r="L2434" s="1" t="str">
        <f>"2017-03-22 08:36:26"</f>
        <v>2017-03-22 08:36:26</v>
      </c>
      <c r="M2434" s="2">
        <v>3.4606481481481485E-3</v>
      </c>
      <c r="N2434" s="1" t="s">
        <v>26</v>
      </c>
      <c r="O2434" s="1" t="s">
        <v>27</v>
      </c>
      <c r="P2434" s="2">
        <v>3.530092592592592E-3</v>
      </c>
      <c r="Q2434" s="1" t="s">
        <v>1758</v>
      </c>
      <c r="R2434" s="1">
        <v>0</v>
      </c>
      <c r="S2434" s="1" t="str">
        <f>""</f>
        <v/>
      </c>
      <c r="T2434" s="1" t="s">
        <v>29</v>
      </c>
      <c r="U2434" s="1" t="s">
        <v>30</v>
      </c>
      <c r="V2434" s="1">
        <v>0</v>
      </c>
    </row>
    <row r="2435" spans="2:22" x14ac:dyDescent="0.15">
      <c r="B2435" s="1" t="str">
        <f>"139****8717"</f>
        <v>139****8717</v>
      </c>
      <c r="C2435" s="1" t="s">
        <v>76</v>
      </c>
      <c r="D2435" s="1" t="str">
        <f t="shared" si="245"/>
        <v>89177328</v>
      </c>
      <c r="E2435" s="1" t="s">
        <v>24</v>
      </c>
      <c r="F2435" s="1" t="str">
        <f t="shared" si="246"/>
        <v>0010</v>
      </c>
      <c r="G2435" s="1" t="str">
        <f>""</f>
        <v/>
      </c>
      <c r="H2435" s="1" t="str">
        <f>"0032"</f>
        <v>0032</v>
      </c>
      <c r="I2435" s="1" t="s">
        <v>119</v>
      </c>
      <c r="J2435" s="1" t="str">
        <f>"01043977566"</f>
        <v>01043977566</v>
      </c>
      <c r="K2435" s="1" t="str">
        <f>"2017-03-22 08:12:55"</f>
        <v>2017-03-22 08:12:55</v>
      </c>
      <c r="L2435" s="1" t="str">
        <f>"2017-03-22 08:13:09"</f>
        <v>2017-03-22 08:13:09</v>
      </c>
      <c r="M2435" s="2">
        <v>2.1180555555555553E-3</v>
      </c>
      <c r="N2435" s="1" t="s">
        <v>26</v>
      </c>
      <c r="O2435" s="1" t="s">
        <v>34</v>
      </c>
      <c r="P2435" s="2">
        <v>2.2800925925925927E-3</v>
      </c>
      <c r="Q2435" s="1" t="s">
        <v>1759</v>
      </c>
      <c r="R2435" s="1">
        <v>0</v>
      </c>
      <c r="S2435" s="1" t="str">
        <f>""</f>
        <v/>
      </c>
      <c r="T2435" s="1" t="s">
        <v>29</v>
      </c>
      <c r="U2435" s="1" t="s">
        <v>30</v>
      </c>
      <c r="V2435" s="1">
        <v>0</v>
      </c>
    </row>
    <row r="2436" spans="2:22" x14ac:dyDescent="0.15">
      <c r="B2436" s="1" t="str">
        <f>"139****6813"</f>
        <v>139****6813</v>
      </c>
      <c r="C2436" s="1" t="s">
        <v>78</v>
      </c>
      <c r="D2436" s="1" t="str">
        <f t="shared" si="245"/>
        <v>89177328</v>
      </c>
      <c r="E2436" s="1" t="s">
        <v>24</v>
      </c>
      <c r="F2436" s="1" t="str">
        <f t="shared" si="246"/>
        <v>0010</v>
      </c>
      <c r="G2436" s="1" t="str">
        <f>""</f>
        <v/>
      </c>
      <c r="H2436" s="1" t="str">
        <f>"0018"</f>
        <v>0018</v>
      </c>
      <c r="I2436" s="1" t="s">
        <v>36</v>
      </c>
      <c r="J2436" s="1" t="str">
        <f>"01043989718"</f>
        <v>01043989718</v>
      </c>
      <c r="K2436" s="1" t="str">
        <f>"2017-03-22 08:11:06"</f>
        <v>2017-03-22 08:11:06</v>
      </c>
      <c r="L2436" s="1" t="str">
        <f>"2017-03-22 08:11:15"</f>
        <v>2017-03-22 08:11:15</v>
      </c>
      <c r="M2436" s="2">
        <v>5.6365740740740742E-3</v>
      </c>
      <c r="N2436" s="1" t="s">
        <v>26</v>
      </c>
      <c r="O2436" s="1" t="s">
        <v>27</v>
      </c>
      <c r="P2436" s="2">
        <v>5.7407407407407416E-3</v>
      </c>
      <c r="Q2436" s="1" t="s">
        <v>1760</v>
      </c>
      <c r="R2436" s="1">
        <v>0</v>
      </c>
      <c r="S2436" s="1" t="str">
        <f>""</f>
        <v/>
      </c>
      <c r="T2436" s="1" t="s">
        <v>29</v>
      </c>
      <c r="U2436" s="1" t="s">
        <v>30</v>
      </c>
      <c r="V2436" s="1">
        <v>0</v>
      </c>
    </row>
    <row r="2437" spans="2:22" x14ac:dyDescent="0.15">
      <c r="B2437" s="1" t="str">
        <f>"136****6356"</f>
        <v>136****6356</v>
      </c>
      <c r="C2437" s="1" t="s">
        <v>23</v>
      </c>
      <c r="D2437" s="1" t="str">
        <f t="shared" si="245"/>
        <v>89177328</v>
      </c>
      <c r="E2437" s="1" t="s">
        <v>24</v>
      </c>
      <c r="F2437" s="1" t="str">
        <f t="shared" si="246"/>
        <v>0010</v>
      </c>
      <c r="G2437" s="1" t="str">
        <f>""</f>
        <v/>
      </c>
      <c r="H2437" s="1" t="str">
        <f>"0012"</f>
        <v>0012</v>
      </c>
      <c r="I2437" s="1" t="s">
        <v>612</v>
      </c>
      <c r="J2437" s="1" t="str">
        <f>"01043989720"</f>
        <v>01043989720</v>
      </c>
      <c r="K2437" s="1" t="str">
        <f>"2017-03-21 20:43:31"</f>
        <v>2017-03-21 20:43:31</v>
      </c>
      <c r="L2437" s="1" t="str">
        <f>"2017-03-21 20:43:43"</f>
        <v>2017-03-21 20:43:43</v>
      </c>
      <c r="M2437" s="2">
        <v>6.6435185185185182E-3</v>
      </c>
      <c r="N2437" s="1" t="s">
        <v>26</v>
      </c>
      <c r="O2437" s="1" t="s">
        <v>27</v>
      </c>
      <c r="P2437" s="2">
        <v>6.782407407407408E-3</v>
      </c>
      <c r="Q2437" s="1" t="s">
        <v>1761</v>
      </c>
      <c r="R2437" s="1">
        <v>0</v>
      </c>
      <c r="S2437" s="1" t="str">
        <f>""</f>
        <v/>
      </c>
      <c r="T2437" s="1" t="s">
        <v>29</v>
      </c>
      <c r="U2437" s="1" t="s">
        <v>30</v>
      </c>
      <c r="V2437" s="1">
        <v>0</v>
      </c>
    </row>
    <row r="2438" spans="2:22" x14ac:dyDescent="0.15">
      <c r="B2438" s="1" t="str">
        <f>"136****6356"</f>
        <v>136****6356</v>
      </c>
      <c r="C2438" s="1" t="s">
        <v>23</v>
      </c>
      <c r="D2438" s="1" t="str">
        <f t="shared" si="245"/>
        <v>89177328</v>
      </c>
      <c r="E2438" s="1" t="s">
        <v>24</v>
      </c>
      <c r="F2438" s="1" t="str">
        <f t="shared" si="246"/>
        <v>0010</v>
      </c>
      <c r="G2438" s="1" t="str">
        <f>""</f>
        <v/>
      </c>
      <c r="H2438" s="1" t="str">
        <f>"0017"</f>
        <v>0017</v>
      </c>
      <c r="I2438" s="1" t="s">
        <v>135</v>
      </c>
      <c r="J2438" s="1" t="str">
        <f>"01043989717"</f>
        <v>01043989717</v>
      </c>
      <c r="K2438" s="1" t="str">
        <f>"2017-03-21 20:34:16"</f>
        <v>2017-03-21 20:34:16</v>
      </c>
      <c r="L2438" s="1" t="str">
        <f>"-"</f>
        <v>-</v>
      </c>
      <c r="M2438" s="2">
        <v>0</v>
      </c>
      <c r="N2438" s="1" t="s">
        <v>33</v>
      </c>
      <c r="O2438" s="1" t="s">
        <v>34</v>
      </c>
      <c r="P2438" s="2">
        <v>1.1574074074074073E-5</v>
      </c>
      <c r="Q2438" s="1" t="str">
        <f>""</f>
        <v/>
      </c>
      <c r="R2438" s="1">
        <v>0</v>
      </c>
      <c r="S2438" s="1" t="str">
        <f>""</f>
        <v/>
      </c>
      <c r="T2438" s="1" t="s">
        <v>29</v>
      </c>
      <c r="U2438" s="1" t="s">
        <v>30</v>
      </c>
      <c r="V2438" s="1">
        <v>0</v>
      </c>
    </row>
    <row r="2439" spans="2:22" x14ac:dyDescent="0.15">
      <c r="B2439" s="1" t="str">
        <f>"159****1039"</f>
        <v>159****1039</v>
      </c>
      <c r="C2439" s="1" t="s">
        <v>23</v>
      </c>
      <c r="D2439" s="1" t="str">
        <f t="shared" si="245"/>
        <v>89177328</v>
      </c>
      <c r="E2439" s="1" t="s">
        <v>24</v>
      </c>
      <c r="F2439" s="1" t="str">
        <f t="shared" si="246"/>
        <v>0010</v>
      </c>
      <c r="G2439" s="1" t="str">
        <f>""</f>
        <v/>
      </c>
      <c r="H2439" s="1" t="str">
        <f>"0017"</f>
        <v>0017</v>
      </c>
      <c r="I2439" s="1" t="s">
        <v>135</v>
      </c>
      <c r="J2439" s="1" t="str">
        <f>"01043989717"</f>
        <v>01043989717</v>
      </c>
      <c r="K2439" s="1" t="str">
        <f>"2017-03-21 20:27:13"</f>
        <v>2017-03-21 20:27:13</v>
      </c>
      <c r="L2439" s="1" t="str">
        <f>"2017-03-21 20:27:21"</f>
        <v>2017-03-21 20:27:21</v>
      </c>
      <c r="M2439" s="2">
        <v>2.5000000000000001E-3</v>
      </c>
      <c r="N2439" s="1" t="s">
        <v>26</v>
      </c>
      <c r="O2439" s="1" t="s">
        <v>27</v>
      </c>
      <c r="P2439" s="2">
        <v>2.5925925925925925E-3</v>
      </c>
      <c r="Q2439" s="1" t="s">
        <v>1762</v>
      </c>
      <c r="R2439" s="1">
        <v>0</v>
      </c>
      <c r="S2439" s="1" t="str">
        <f>""</f>
        <v/>
      </c>
      <c r="T2439" s="1" t="s">
        <v>29</v>
      </c>
      <c r="U2439" s="1" t="s">
        <v>30</v>
      </c>
      <c r="V2439" s="1">
        <v>0</v>
      </c>
    </row>
    <row r="2440" spans="2:22" x14ac:dyDescent="0.15">
      <c r="B2440" s="1" t="str">
        <f>"136****6356"</f>
        <v>136****6356</v>
      </c>
      <c r="C2440" s="1" t="s">
        <v>23</v>
      </c>
      <c r="D2440" s="1" t="str">
        <f t="shared" si="245"/>
        <v>89177328</v>
      </c>
      <c r="E2440" s="1" t="s">
        <v>24</v>
      </c>
      <c r="F2440" s="1" t="str">
        <f t="shared" si="246"/>
        <v>0010</v>
      </c>
      <c r="G2440" s="1" t="str">
        <f>""</f>
        <v/>
      </c>
      <c r="H2440" s="1" t="str">
        <f>"0017"</f>
        <v>0017</v>
      </c>
      <c r="I2440" s="1" t="s">
        <v>135</v>
      </c>
      <c r="J2440" s="1" t="str">
        <f>"01043989717"</f>
        <v>01043989717</v>
      </c>
      <c r="K2440" s="1" t="str">
        <f>"2017-03-21 20:21:36"</f>
        <v>2017-03-21 20:21:36</v>
      </c>
      <c r="L2440" s="1" t="str">
        <f>"-"</f>
        <v>-</v>
      </c>
      <c r="M2440" s="2">
        <v>0</v>
      </c>
      <c r="N2440" s="1" t="s">
        <v>33</v>
      </c>
      <c r="O2440" s="1" t="s">
        <v>34</v>
      </c>
      <c r="P2440" s="2">
        <v>2.3148148148148147E-5</v>
      </c>
      <c r="Q2440" s="1" t="str">
        <f>""</f>
        <v/>
      </c>
      <c r="R2440" s="1">
        <v>0</v>
      </c>
      <c r="S2440" s="1" t="str">
        <f>""</f>
        <v/>
      </c>
      <c r="T2440" s="1" t="s">
        <v>29</v>
      </c>
      <c r="U2440" s="1" t="s">
        <v>30</v>
      </c>
      <c r="V2440" s="1">
        <v>0</v>
      </c>
    </row>
    <row r="2441" spans="2:22" x14ac:dyDescent="0.15">
      <c r="B2441" s="1" t="str">
        <f>"139****8350"</f>
        <v>139****8350</v>
      </c>
      <c r="C2441" s="1" t="s">
        <v>1763</v>
      </c>
      <c r="D2441" s="1" t="str">
        <f t="shared" si="245"/>
        <v>89177328</v>
      </c>
      <c r="E2441" s="1" t="s">
        <v>24</v>
      </c>
      <c r="F2441" s="1" t="str">
        <f t="shared" si="246"/>
        <v>0010</v>
      </c>
      <c r="G2441" s="1" t="str">
        <f>""</f>
        <v/>
      </c>
      <c r="H2441" s="1" t="str">
        <f>"0012"</f>
        <v>0012</v>
      </c>
      <c r="I2441" s="1" t="s">
        <v>612</v>
      </c>
      <c r="J2441" s="1" t="str">
        <f>"01043989720"</f>
        <v>01043989720</v>
      </c>
      <c r="K2441" s="1" t="str">
        <f>"2017-03-21 20:17:17"</f>
        <v>2017-03-21 20:17:17</v>
      </c>
      <c r="L2441" s="1" t="str">
        <f>"2017-03-21 20:17:26"</f>
        <v>2017-03-21 20:17:26</v>
      </c>
      <c r="M2441" s="2">
        <v>1.4421296296296295E-2</v>
      </c>
      <c r="N2441" s="1" t="s">
        <v>26</v>
      </c>
      <c r="O2441" s="1" t="s">
        <v>27</v>
      </c>
      <c r="P2441" s="2">
        <v>1.4525462962962964E-2</v>
      </c>
      <c r="Q2441" s="1" t="s">
        <v>1764</v>
      </c>
      <c r="R2441" s="1">
        <v>0</v>
      </c>
      <c r="S2441" s="1" t="str">
        <f>""</f>
        <v/>
      </c>
      <c r="T2441" s="1" t="s">
        <v>29</v>
      </c>
      <c r="U2441" s="1" t="s">
        <v>30</v>
      </c>
      <c r="V2441" s="1">
        <v>0</v>
      </c>
    </row>
    <row r="2442" spans="2:22" x14ac:dyDescent="0.15">
      <c r="B2442" s="1" t="str">
        <f>"180****2374"</f>
        <v>180****2374</v>
      </c>
      <c r="C2442" s="1" t="s">
        <v>127</v>
      </c>
      <c r="D2442" s="1" t="str">
        <f t="shared" si="245"/>
        <v>89177328</v>
      </c>
      <c r="E2442" s="1" t="s">
        <v>24</v>
      </c>
      <c r="F2442" s="1" t="str">
        <f t="shared" si="246"/>
        <v>0010</v>
      </c>
      <c r="G2442" s="1" t="str">
        <f>""</f>
        <v/>
      </c>
      <c r="H2442" s="1" t="str">
        <f>"0017"</f>
        <v>0017</v>
      </c>
      <c r="I2442" s="1" t="s">
        <v>135</v>
      </c>
      <c r="J2442" s="1" t="str">
        <f>"01043989717"</f>
        <v>01043989717</v>
      </c>
      <c r="K2442" s="1" t="str">
        <f>"2017-03-21 20:03:10"</f>
        <v>2017-03-21 20:03:10</v>
      </c>
      <c r="L2442" s="1" t="str">
        <f>"2017-03-21 20:03:18"</f>
        <v>2017-03-21 20:03:18</v>
      </c>
      <c r="M2442" s="2">
        <v>8.0208333333333329E-3</v>
      </c>
      <c r="N2442" s="1" t="s">
        <v>26</v>
      </c>
      <c r="O2442" s="1" t="s">
        <v>27</v>
      </c>
      <c r="P2442" s="2">
        <v>8.113425925925925E-3</v>
      </c>
      <c r="Q2442" s="1" t="s">
        <v>1765</v>
      </c>
      <c r="R2442" s="1">
        <v>0</v>
      </c>
      <c r="S2442" s="1" t="str">
        <f>""</f>
        <v/>
      </c>
      <c r="T2442" s="1" t="s">
        <v>29</v>
      </c>
      <c r="U2442" s="1" t="s">
        <v>30</v>
      </c>
      <c r="V2442" s="1">
        <v>0</v>
      </c>
    </row>
    <row r="2443" spans="2:22" x14ac:dyDescent="0.15">
      <c r="B2443" s="1" t="str">
        <f>"180****2374"</f>
        <v>180****2374</v>
      </c>
      <c r="C2443" s="1" t="s">
        <v>127</v>
      </c>
      <c r="D2443" s="1" t="str">
        <f t="shared" si="245"/>
        <v>89177328</v>
      </c>
      <c r="E2443" s="1" t="s">
        <v>24</v>
      </c>
      <c r="F2443" s="1" t="str">
        <f t="shared" si="246"/>
        <v>0010</v>
      </c>
      <c r="G2443" s="1" t="str">
        <f>""</f>
        <v/>
      </c>
      <c r="H2443" s="1" t="str">
        <f>"0017"</f>
        <v>0017</v>
      </c>
      <c r="I2443" s="1" t="s">
        <v>135</v>
      </c>
      <c r="J2443" s="1" t="str">
        <f>"01043989717"</f>
        <v>01043989717</v>
      </c>
      <c r="K2443" s="1" t="str">
        <f>"2017-03-21 20:01:30"</f>
        <v>2017-03-21 20:01:30</v>
      </c>
      <c r="L2443" s="1" t="str">
        <f>"-"</f>
        <v>-</v>
      </c>
      <c r="M2443" s="2">
        <v>0</v>
      </c>
      <c r="N2443" s="1" t="s">
        <v>33</v>
      </c>
      <c r="O2443" s="1" t="s">
        <v>34</v>
      </c>
      <c r="P2443" s="2">
        <v>2.3148148148148147E-5</v>
      </c>
      <c r="Q2443" s="1" t="str">
        <f>""</f>
        <v/>
      </c>
      <c r="R2443" s="1">
        <v>0</v>
      </c>
      <c r="S2443" s="1" t="str">
        <f>""</f>
        <v/>
      </c>
      <c r="T2443" s="1" t="s">
        <v>29</v>
      </c>
      <c r="U2443" s="1" t="s">
        <v>30</v>
      </c>
      <c r="V2443" s="1">
        <v>0</v>
      </c>
    </row>
    <row r="2444" spans="2:22" x14ac:dyDescent="0.15">
      <c r="B2444" s="1" t="str">
        <f>"189****5485"</f>
        <v>189****5485</v>
      </c>
      <c r="C2444" s="1" t="s">
        <v>23</v>
      </c>
      <c r="D2444" s="1" t="str">
        <f t="shared" si="245"/>
        <v>89177328</v>
      </c>
      <c r="E2444" s="1" t="s">
        <v>24</v>
      </c>
      <c r="F2444" s="1" t="str">
        <f t="shared" si="246"/>
        <v>0010</v>
      </c>
      <c r="G2444" s="1" t="str">
        <f>""</f>
        <v/>
      </c>
      <c r="H2444" s="1" t="str">
        <f>"0012"</f>
        <v>0012</v>
      </c>
      <c r="I2444" s="1" t="s">
        <v>612</v>
      </c>
      <c r="J2444" s="1" t="str">
        <f>"01043989720"</f>
        <v>01043989720</v>
      </c>
      <c r="K2444" s="1" t="str">
        <f>"2017-03-21 19:59:59"</f>
        <v>2017-03-21 19:59:59</v>
      </c>
      <c r="L2444" s="1" t="str">
        <f>"2017-03-21 20:00:14"</f>
        <v>2017-03-21 20:00:14</v>
      </c>
      <c r="M2444" s="2">
        <v>3.1365740740740742E-3</v>
      </c>
      <c r="N2444" s="1" t="s">
        <v>26</v>
      </c>
      <c r="O2444" s="1" t="s">
        <v>27</v>
      </c>
      <c r="P2444" s="2">
        <v>3.3101851851851851E-3</v>
      </c>
      <c r="Q2444" s="1" t="s">
        <v>1766</v>
      </c>
      <c r="R2444" s="1">
        <v>0</v>
      </c>
      <c r="S2444" s="1" t="str">
        <f>""</f>
        <v/>
      </c>
      <c r="T2444" s="1" t="s">
        <v>29</v>
      </c>
      <c r="U2444" s="1" t="s">
        <v>30</v>
      </c>
      <c r="V2444" s="1">
        <v>0</v>
      </c>
    </row>
    <row r="2445" spans="2:22" x14ac:dyDescent="0.15">
      <c r="B2445" s="1" t="str">
        <f>"139****8717"</f>
        <v>139****8717</v>
      </c>
      <c r="C2445" s="1" t="s">
        <v>76</v>
      </c>
      <c r="D2445" s="1" t="str">
        <f t="shared" si="245"/>
        <v>89177328</v>
      </c>
      <c r="E2445" s="1" t="s">
        <v>24</v>
      </c>
      <c r="F2445" s="1" t="str">
        <f t="shared" si="246"/>
        <v>0010</v>
      </c>
      <c r="G2445" s="1" t="str">
        <f>""</f>
        <v/>
      </c>
      <c r="H2445" s="1" t="str">
        <f>"0017"</f>
        <v>0017</v>
      </c>
      <c r="I2445" s="1" t="s">
        <v>135</v>
      </c>
      <c r="J2445" s="1" t="str">
        <f>"01043989717"</f>
        <v>01043989717</v>
      </c>
      <c r="K2445" s="1" t="str">
        <f>"2017-03-21 19:30:19"</f>
        <v>2017-03-21 19:30:19</v>
      </c>
      <c r="L2445" s="1" t="str">
        <f>"-"</f>
        <v>-</v>
      </c>
      <c r="M2445" s="2">
        <v>0</v>
      </c>
      <c r="N2445" s="1" t="s">
        <v>33</v>
      </c>
      <c r="O2445" s="1" t="s">
        <v>34</v>
      </c>
      <c r="P2445" s="2">
        <v>2.3148148148148147E-5</v>
      </c>
      <c r="Q2445" s="1" t="str">
        <f>""</f>
        <v/>
      </c>
      <c r="R2445" s="1">
        <v>0</v>
      </c>
      <c r="S2445" s="1" t="str">
        <f>""</f>
        <v/>
      </c>
      <c r="T2445" s="1" t="s">
        <v>29</v>
      </c>
      <c r="U2445" s="1" t="s">
        <v>30</v>
      </c>
      <c r="V2445" s="1">
        <v>0</v>
      </c>
    </row>
    <row r="2446" spans="2:22" x14ac:dyDescent="0.15">
      <c r="B2446" s="1" t="str">
        <f>"131****8688"</f>
        <v>131****8688</v>
      </c>
      <c r="C2446" s="1" t="s">
        <v>23</v>
      </c>
      <c r="D2446" s="1" t="str">
        <f t="shared" si="245"/>
        <v>89177328</v>
      </c>
      <c r="E2446" s="1" t="s">
        <v>24</v>
      </c>
      <c r="F2446" s="1" t="str">
        <f t="shared" si="246"/>
        <v>0010</v>
      </c>
      <c r="G2446" s="1" t="str">
        <f>""</f>
        <v/>
      </c>
      <c r="H2446" s="1" t="str">
        <f>"0034"</f>
        <v>0034</v>
      </c>
      <c r="I2446" s="1" t="s">
        <v>31</v>
      </c>
      <c r="J2446" s="1" t="str">
        <f>"01043977568"</f>
        <v>01043977568</v>
      </c>
      <c r="K2446" s="1" t="str">
        <f>"2017-03-21 18:54:27"</f>
        <v>2017-03-21 18:54:27</v>
      </c>
      <c r="L2446" s="1" t="str">
        <f>"2017-03-21 18:54:46"</f>
        <v>2017-03-21 18:54:46</v>
      </c>
      <c r="M2446" s="2">
        <v>1.4016203703703704E-2</v>
      </c>
      <c r="N2446" s="1" t="s">
        <v>26</v>
      </c>
      <c r="O2446" s="1" t="s">
        <v>34</v>
      </c>
      <c r="P2446" s="2">
        <v>1.4236111111111111E-2</v>
      </c>
      <c r="Q2446" s="1" t="s">
        <v>1767</v>
      </c>
      <c r="R2446" s="1">
        <v>0</v>
      </c>
      <c r="S2446" s="1" t="str">
        <f>""</f>
        <v/>
      </c>
      <c r="T2446" s="1" t="s">
        <v>29</v>
      </c>
      <c r="U2446" s="1" t="s">
        <v>30</v>
      </c>
      <c r="V2446" s="1">
        <v>0</v>
      </c>
    </row>
    <row r="2447" spans="2:22" x14ac:dyDescent="0.15">
      <c r="B2447" s="1" t="str">
        <f>"139****2357"</f>
        <v>139****2357</v>
      </c>
      <c r="C2447" s="1" t="s">
        <v>269</v>
      </c>
      <c r="D2447" s="1" t="str">
        <f t="shared" si="245"/>
        <v>89177328</v>
      </c>
      <c r="E2447" s="1" t="s">
        <v>24</v>
      </c>
      <c r="F2447" s="1" t="str">
        <f t="shared" si="246"/>
        <v>0010</v>
      </c>
      <c r="G2447" s="1" t="str">
        <f>""</f>
        <v/>
      </c>
      <c r="H2447" s="1" t="str">
        <f>"0017"</f>
        <v>0017</v>
      </c>
      <c r="I2447" s="1" t="s">
        <v>135</v>
      </c>
      <c r="J2447" s="1" t="str">
        <f>"01043989717"</f>
        <v>01043989717</v>
      </c>
      <c r="K2447" s="1" t="str">
        <f>"2017-03-21 18:48:05"</f>
        <v>2017-03-21 18:48:05</v>
      </c>
      <c r="L2447" s="1" t="str">
        <f>"2017-03-21 18:48:12"</f>
        <v>2017-03-21 18:48:12</v>
      </c>
      <c r="M2447" s="2">
        <v>7.951388888888888E-3</v>
      </c>
      <c r="N2447" s="1" t="s">
        <v>26</v>
      </c>
      <c r="O2447" s="1" t="s">
        <v>27</v>
      </c>
      <c r="P2447" s="2">
        <v>8.0324074074074065E-3</v>
      </c>
      <c r="Q2447" s="1" t="s">
        <v>1768</v>
      </c>
      <c r="R2447" s="1">
        <v>0</v>
      </c>
      <c r="S2447" s="1" t="str">
        <f>""</f>
        <v/>
      </c>
      <c r="T2447" s="1" t="s">
        <v>29</v>
      </c>
      <c r="U2447" s="1" t="s">
        <v>30</v>
      </c>
      <c r="V2447" s="1">
        <v>0</v>
      </c>
    </row>
    <row r="2448" spans="2:22" x14ac:dyDescent="0.15">
      <c r="B2448" s="1" t="str">
        <f>"137****7356"</f>
        <v>137****7356</v>
      </c>
      <c r="C2448" s="1" t="s">
        <v>23</v>
      </c>
      <c r="D2448" s="1" t="str">
        <f t="shared" si="245"/>
        <v>89177328</v>
      </c>
      <c r="E2448" s="1" t="s">
        <v>24</v>
      </c>
      <c r="F2448" s="1" t="str">
        <f t="shared" si="246"/>
        <v>0010</v>
      </c>
      <c r="G2448" s="1" t="str">
        <f>""</f>
        <v/>
      </c>
      <c r="H2448" s="1" t="str">
        <f>"0018"</f>
        <v>0018</v>
      </c>
      <c r="I2448" s="1" t="s">
        <v>36</v>
      </c>
      <c r="J2448" s="1" t="str">
        <f>"01043989718"</f>
        <v>01043989718</v>
      </c>
      <c r="K2448" s="1" t="str">
        <f>"2017-03-21 18:46:06"</f>
        <v>2017-03-21 18:46:06</v>
      </c>
      <c r="L2448" s="1" t="str">
        <f>"2017-03-21 18:46:14"</f>
        <v>2017-03-21 18:46:14</v>
      </c>
      <c r="M2448" s="2">
        <v>5.7523148148148143E-3</v>
      </c>
      <c r="N2448" s="1" t="s">
        <v>26</v>
      </c>
      <c r="O2448" s="1" t="s">
        <v>34</v>
      </c>
      <c r="P2448" s="2">
        <v>5.8449074074074072E-3</v>
      </c>
      <c r="Q2448" s="1" t="s">
        <v>1769</v>
      </c>
      <c r="R2448" s="1">
        <v>0</v>
      </c>
      <c r="S2448" s="1" t="str">
        <f>""</f>
        <v/>
      </c>
      <c r="T2448" s="1" t="s">
        <v>29</v>
      </c>
      <c r="U2448" s="1" t="s">
        <v>30</v>
      </c>
      <c r="V2448" s="1">
        <v>0</v>
      </c>
    </row>
    <row r="2449" spans="2:22" x14ac:dyDescent="0.15">
      <c r="B2449" s="1" t="str">
        <f>"136****0827"</f>
        <v>136****0827</v>
      </c>
      <c r="C2449" s="1" t="s">
        <v>23</v>
      </c>
      <c r="D2449" s="1" t="str">
        <f t="shared" si="245"/>
        <v>89177328</v>
      </c>
      <c r="E2449" s="1" t="s">
        <v>24</v>
      </c>
      <c r="F2449" s="1" t="str">
        <f t="shared" si="246"/>
        <v>0010</v>
      </c>
      <c r="G2449" s="1" t="str">
        <f>""</f>
        <v/>
      </c>
      <c r="H2449" s="1" t="str">
        <f>"0034"</f>
        <v>0034</v>
      </c>
      <c r="I2449" s="1" t="s">
        <v>31</v>
      </c>
      <c r="J2449" s="1" t="str">
        <f>"01043977568"</f>
        <v>01043977568</v>
      </c>
      <c r="K2449" s="1" t="str">
        <f>"2017-03-21 18:43:18"</f>
        <v>2017-03-21 18:43:18</v>
      </c>
      <c r="L2449" s="1" t="str">
        <f>"2017-03-21 18:43:28"</f>
        <v>2017-03-21 18:43:28</v>
      </c>
      <c r="M2449" s="2">
        <v>7.1296296296296307E-3</v>
      </c>
      <c r="N2449" s="1" t="s">
        <v>26</v>
      </c>
      <c r="O2449" s="1" t="s">
        <v>27</v>
      </c>
      <c r="P2449" s="2">
        <v>7.2453703703703708E-3</v>
      </c>
      <c r="Q2449" s="1" t="s">
        <v>1770</v>
      </c>
      <c r="R2449" s="1">
        <v>0</v>
      </c>
      <c r="S2449" s="1" t="str">
        <f>""</f>
        <v/>
      </c>
      <c r="T2449" s="1" t="s">
        <v>29</v>
      </c>
      <c r="U2449" s="1" t="s">
        <v>30</v>
      </c>
      <c r="V2449" s="1">
        <v>0</v>
      </c>
    </row>
    <row r="2450" spans="2:22" x14ac:dyDescent="0.15">
      <c r="B2450" s="1" t="str">
        <f>"155****7088"</f>
        <v>155****7088</v>
      </c>
      <c r="C2450" s="1" t="s">
        <v>487</v>
      </c>
      <c r="D2450" s="1" t="str">
        <f t="shared" si="245"/>
        <v>89177328</v>
      </c>
      <c r="E2450" s="1" t="s">
        <v>24</v>
      </c>
      <c r="F2450" s="1" t="str">
        <f t="shared" si="246"/>
        <v>0010</v>
      </c>
      <c r="G2450" s="1" t="str">
        <f>""</f>
        <v/>
      </c>
      <c r="H2450" s="1" t="str">
        <f>"0034"</f>
        <v>0034</v>
      </c>
      <c r="I2450" s="1" t="s">
        <v>31</v>
      </c>
      <c r="J2450" s="1" t="str">
        <f>"01043977568"</f>
        <v>01043977568</v>
      </c>
      <c r="K2450" s="1" t="str">
        <f>"2017-03-21 18:33:15"</f>
        <v>2017-03-21 18:33:15</v>
      </c>
      <c r="L2450" s="1" t="str">
        <f>"2017-03-21 18:33:25"</f>
        <v>2017-03-21 18:33:25</v>
      </c>
      <c r="M2450" s="2">
        <v>2.615740740740741E-3</v>
      </c>
      <c r="N2450" s="1" t="s">
        <v>26</v>
      </c>
      <c r="O2450" s="1" t="s">
        <v>27</v>
      </c>
      <c r="P2450" s="2">
        <v>2.7314814814814819E-3</v>
      </c>
      <c r="Q2450" s="1" t="s">
        <v>1771</v>
      </c>
      <c r="R2450" s="1">
        <v>0</v>
      </c>
      <c r="S2450" s="1" t="str">
        <f>""</f>
        <v/>
      </c>
      <c r="T2450" s="1" t="s">
        <v>29</v>
      </c>
      <c r="U2450" s="1" t="s">
        <v>30</v>
      </c>
      <c r="V2450" s="1">
        <v>0</v>
      </c>
    </row>
    <row r="2451" spans="2:22" x14ac:dyDescent="0.15">
      <c r="B2451" s="1" t="str">
        <f>"139****9446"</f>
        <v>139****9446</v>
      </c>
      <c r="C2451" s="1" t="s">
        <v>23</v>
      </c>
      <c r="D2451" s="1" t="str">
        <f t="shared" si="245"/>
        <v>89177328</v>
      </c>
      <c r="E2451" s="1" t="s">
        <v>24</v>
      </c>
      <c r="F2451" s="1" t="str">
        <f t="shared" si="246"/>
        <v>0010</v>
      </c>
      <c r="G2451" s="1" t="str">
        <f>""</f>
        <v/>
      </c>
      <c r="H2451" s="1" t="str">
        <f>""</f>
        <v/>
      </c>
      <c r="I2451" s="1" t="str">
        <f>""</f>
        <v/>
      </c>
      <c r="J2451" s="1" t="str">
        <f>""</f>
        <v/>
      </c>
      <c r="K2451" s="1" t="str">
        <f>"2017-03-21 18:05:21"</f>
        <v>2017-03-21 18:05:21</v>
      </c>
      <c r="L2451" s="1" t="str">
        <f>"-"</f>
        <v>-</v>
      </c>
      <c r="M2451" s="2">
        <v>0</v>
      </c>
      <c r="N2451" s="1" t="s">
        <v>55</v>
      </c>
      <c r="O2451" s="1" t="s">
        <v>34</v>
      </c>
      <c r="P2451" s="2">
        <v>7.7546296296296304E-4</v>
      </c>
      <c r="Q2451" s="1" t="str">
        <f>""</f>
        <v/>
      </c>
      <c r="R2451" s="1">
        <v>0</v>
      </c>
      <c r="S2451" s="1" t="str">
        <f>""</f>
        <v/>
      </c>
      <c r="T2451" s="1" t="s">
        <v>29</v>
      </c>
      <c r="U2451" s="1" t="s">
        <v>30</v>
      </c>
      <c r="V2451" s="1">
        <v>0</v>
      </c>
    </row>
    <row r="2452" spans="2:22" x14ac:dyDescent="0.15">
      <c r="B2452" s="1" t="str">
        <f>"151****0588"</f>
        <v>151****0588</v>
      </c>
      <c r="C2452" s="1" t="s">
        <v>487</v>
      </c>
      <c r="D2452" s="1" t="str">
        <f t="shared" si="245"/>
        <v>89177328</v>
      </c>
      <c r="E2452" s="1" t="s">
        <v>24</v>
      </c>
      <c r="F2452" s="1" t="str">
        <f t="shared" si="246"/>
        <v>0010</v>
      </c>
      <c r="G2452" s="1" t="str">
        <f>""</f>
        <v/>
      </c>
      <c r="H2452" s="1" t="str">
        <f>"0034"</f>
        <v>0034</v>
      </c>
      <c r="I2452" s="1" t="s">
        <v>31</v>
      </c>
      <c r="J2452" s="1" t="str">
        <f>"01043977568"</f>
        <v>01043977568</v>
      </c>
      <c r="K2452" s="1" t="str">
        <f>"2017-03-21 17:58:35"</f>
        <v>2017-03-21 17:58:35</v>
      </c>
      <c r="L2452" s="1" t="str">
        <f>"2017-03-21 17:58:46"</f>
        <v>2017-03-21 17:58:46</v>
      </c>
      <c r="M2452" s="2">
        <v>1.2037037037037035E-2</v>
      </c>
      <c r="N2452" s="1" t="s">
        <v>26</v>
      </c>
      <c r="O2452" s="1" t="s">
        <v>27</v>
      </c>
      <c r="P2452" s="2">
        <v>1.2164351851851852E-2</v>
      </c>
      <c r="Q2452" s="1" t="s">
        <v>1772</v>
      </c>
      <c r="R2452" s="1">
        <v>0</v>
      </c>
      <c r="S2452" s="1" t="str">
        <f>""</f>
        <v/>
      </c>
      <c r="T2452" s="1" t="s">
        <v>29</v>
      </c>
      <c r="U2452" s="1" t="s">
        <v>30</v>
      </c>
      <c r="V2452" s="1">
        <v>0</v>
      </c>
    </row>
    <row r="2453" spans="2:22" x14ac:dyDescent="0.15">
      <c r="B2453" s="1" t="str">
        <f>"186****3437"</f>
        <v>186****3437</v>
      </c>
      <c r="C2453" s="1" t="s">
        <v>193</v>
      </c>
      <c r="D2453" s="1" t="str">
        <f t="shared" si="245"/>
        <v>89177328</v>
      </c>
      <c r="E2453" s="1" t="s">
        <v>24</v>
      </c>
      <c r="F2453" s="1" t="str">
        <f t="shared" si="246"/>
        <v>0010</v>
      </c>
      <c r="G2453" s="1" t="str">
        <f>""</f>
        <v/>
      </c>
      <c r="H2453" s="1" t="str">
        <f>"0018"</f>
        <v>0018</v>
      </c>
      <c r="I2453" s="1" t="s">
        <v>36</v>
      </c>
      <c r="J2453" s="1" t="str">
        <f>"01043989718"</f>
        <v>01043989718</v>
      </c>
      <c r="K2453" s="1" t="str">
        <f>"2017-03-21 17:51:26"</f>
        <v>2017-03-21 17:51:26</v>
      </c>
      <c r="L2453" s="1" t="str">
        <f>"2017-03-21 17:51:32"</f>
        <v>2017-03-21 17:51:32</v>
      </c>
      <c r="M2453" s="2">
        <v>1.0613425925925927E-2</v>
      </c>
      <c r="N2453" s="1" t="s">
        <v>26</v>
      </c>
      <c r="O2453" s="1" t="s">
        <v>34</v>
      </c>
      <c r="P2453" s="2">
        <v>1.068287037037037E-2</v>
      </c>
      <c r="Q2453" s="1" t="s">
        <v>1773</v>
      </c>
      <c r="R2453" s="1">
        <v>0</v>
      </c>
      <c r="S2453" s="1" t="str">
        <f>""</f>
        <v/>
      </c>
      <c r="T2453" s="1" t="s">
        <v>29</v>
      </c>
      <c r="U2453" s="1" t="s">
        <v>30</v>
      </c>
      <c r="V2453" s="1">
        <v>0</v>
      </c>
    </row>
    <row r="2454" spans="2:22" x14ac:dyDescent="0.15">
      <c r="B2454" s="1" t="str">
        <f>"153****8713"</f>
        <v>153****8713</v>
      </c>
      <c r="C2454" s="1" t="s">
        <v>170</v>
      </c>
      <c r="D2454" s="1" t="str">
        <f t="shared" si="245"/>
        <v>89177328</v>
      </c>
      <c r="E2454" s="1" t="s">
        <v>24</v>
      </c>
      <c r="F2454" s="1" t="str">
        <f t="shared" si="246"/>
        <v>0010</v>
      </c>
      <c r="G2454" s="1" t="str">
        <f>""</f>
        <v/>
      </c>
      <c r="H2454" s="1" t="str">
        <f>"0034"</f>
        <v>0034</v>
      </c>
      <c r="I2454" s="1" t="s">
        <v>31</v>
      </c>
      <c r="J2454" s="1" t="str">
        <f>"01043977568"</f>
        <v>01043977568</v>
      </c>
      <c r="K2454" s="1" t="str">
        <f>"2017-03-21 17:48:44"</f>
        <v>2017-03-21 17:48:44</v>
      </c>
      <c r="L2454" s="1" t="str">
        <f>"2017-03-21 17:48:53"</f>
        <v>2017-03-21 17:48:53</v>
      </c>
      <c r="M2454" s="2">
        <v>1.8287037037037037E-3</v>
      </c>
      <c r="N2454" s="1" t="s">
        <v>26</v>
      </c>
      <c r="O2454" s="1" t="s">
        <v>27</v>
      </c>
      <c r="P2454" s="2">
        <v>1.9328703703703704E-3</v>
      </c>
      <c r="Q2454" s="1" t="s">
        <v>1774</v>
      </c>
      <c r="R2454" s="1">
        <v>0</v>
      </c>
      <c r="S2454" s="1" t="str">
        <f>""</f>
        <v/>
      </c>
      <c r="T2454" s="1" t="s">
        <v>29</v>
      </c>
      <c r="U2454" s="1" t="s">
        <v>30</v>
      </c>
      <c r="V2454" s="1">
        <v>0</v>
      </c>
    </row>
    <row r="2455" spans="2:22" x14ac:dyDescent="0.15">
      <c r="B2455" s="1" t="str">
        <f>"114"</f>
        <v>114</v>
      </c>
      <c r="C2455" s="1" t="s">
        <v>159</v>
      </c>
      <c r="D2455" s="1" t="str">
        <f t="shared" si="245"/>
        <v>89177328</v>
      </c>
      <c r="E2455" s="1" t="s">
        <v>24</v>
      </c>
      <c r="F2455" s="1" t="str">
        <f t="shared" si="246"/>
        <v>0010</v>
      </c>
      <c r="G2455" s="1" t="str">
        <f>""</f>
        <v/>
      </c>
      <c r="H2455" s="1" t="str">
        <f>"0018"</f>
        <v>0018</v>
      </c>
      <c r="I2455" s="1" t="s">
        <v>36</v>
      </c>
      <c r="J2455" s="1" t="str">
        <f>"01043989718"</f>
        <v>01043989718</v>
      </c>
      <c r="K2455" s="1" t="str">
        <f>"2017-03-21 17:39:20"</f>
        <v>2017-03-21 17:39:20</v>
      </c>
      <c r="L2455" s="1" t="str">
        <f>"2017-03-21 17:39:28"</f>
        <v>2017-03-21 17:39:28</v>
      </c>
      <c r="M2455" s="2">
        <v>7.1990740740740739E-3</v>
      </c>
      <c r="N2455" s="1" t="s">
        <v>26</v>
      </c>
      <c r="O2455" s="1" t="s">
        <v>34</v>
      </c>
      <c r="P2455" s="2">
        <v>7.2916666666666659E-3</v>
      </c>
      <c r="Q2455" s="1" t="s">
        <v>1775</v>
      </c>
      <c r="R2455" s="1">
        <v>0</v>
      </c>
      <c r="S2455" s="1" t="str">
        <f>""</f>
        <v/>
      </c>
      <c r="T2455" s="1" t="s">
        <v>29</v>
      </c>
      <c r="U2455" s="1" t="s">
        <v>30</v>
      </c>
      <c r="V2455" s="1">
        <v>0</v>
      </c>
    </row>
    <row r="2456" spans="2:22" x14ac:dyDescent="0.15">
      <c r="B2456" s="1" t="str">
        <f>"150****3130"</f>
        <v>150****3130</v>
      </c>
      <c r="C2456" s="1" t="s">
        <v>23</v>
      </c>
      <c r="D2456" s="1" t="str">
        <f t="shared" si="245"/>
        <v>89177328</v>
      </c>
      <c r="E2456" s="1" t="s">
        <v>24</v>
      </c>
      <c r="F2456" s="1" t="str">
        <f t="shared" si="246"/>
        <v>0010</v>
      </c>
      <c r="G2456" s="1" t="str">
        <f>""</f>
        <v/>
      </c>
      <c r="H2456" s="1" t="str">
        <f>"0032"</f>
        <v>0032</v>
      </c>
      <c r="I2456" s="1" t="s">
        <v>119</v>
      </c>
      <c r="J2456" s="1" t="str">
        <f>"01043977566"</f>
        <v>01043977566</v>
      </c>
      <c r="K2456" s="1" t="str">
        <f>"2017-03-21 17:26:08"</f>
        <v>2017-03-21 17:26:08</v>
      </c>
      <c r="L2456" s="1" t="str">
        <f>"2017-03-21 17:26:19"</f>
        <v>2017-03-21 17:26:19</v>
      </c>
      <c r="M2456" s="2">
        <v>5.6712962962962956E-4</v>
      </c>
      <c r="N2456" s="1" t="s">
        <v>26</v>
      </c>
      <c r="O2456" s="1" t="s">
        <v>34</v>
      </c>
      <c r="P2456" s="2">
        <v>6.9444444444444447E-4</v>
      </c>
      <c r="Q2456" s="1" t="s">
        <v>1776</v>
      </c>
      <c r="R2456" s="1">
        <v>0</v>
      </c>
      <c r="S2456" s="1" t="str">
        <f>""</f>
        <v/>
      </c>
      <c r="T2456" s="1" t="s">
        <v>29</v>
      </c>
      <c r="U2456" s="1" t="s">
        <v>30</v>
      </c>
      <c r="V2456" s="1">
        <v>0</v>
      </c>
    </row>
    <row r="2457" spans="2:22" x14ac:dyDescent="0.15">
      <c r="B2457" s="1" t="str">
        <f>"130****5162"</f>
        <v>130****5162</v>
      </c>
      <c r="C2457" s="1" t="s">
        <v>249</v>
      </c>
      <c r="D2457" s="1" t="str">
        <f t="shared" si="245"/>
        <v>89177328</v>
      </c>
      <c r="E2457" s="1" t="s">
        <v>24</v>
      </c>
      <c r="F2457" s="1" t="str">
        <f t="shared" si="246"/>
        <v>0010</v>
      </c>
      <c r="G2457" s="1" t="str">
        <f>""</f>
        <v/>
      </c>
      <c r="H2457" s="1" t="str">
        <f>"0031"</f>
        <v>0031</v>
      </c>
      <c r="I2457" s="1" t="s">
        <v>95</v>
      </c>
      <c r="J2457" s="1" t="str">
        <f>"01043977565"</f>
        <v>01043977565</v>
      </c>
      <c r="K2457" s="1" t="str">
        <f>"2017-03-21 17:22:30"</f>
        <v>2017-03-21 17:22:30</v>
      </c>
      <c r="L2457" s="1" t="str">
        <f>"2017-03-21 17:22:36"</f>
        <v>2017-03-21 17:22:36</v>
      </c>
      <c r="M2457" s="2">
        <v>3.3680555555555551E-3</v>
      </c>
      <c r="N2457" s="1" t="s">
        <v>26</v>
      </c>
      <c r="O2457" s="1" t="s">
        <v>34</v>
      </c>
      <c r="P2457" s="2">
        <v>3.4375E-3</v>
      </c>
      <c r="Q2457" s="1" t="s">
        <v>1777</v>
      </c>
      <c r="R2457" s="1">
        <v>0</v>
      </c>
      <c r="S2457" s="1" t="str">
        <f>""</f>
        <v/>
      </c>
      <c r="T2457" s="1" t="s">
        <v>29</v>
      </c>
      <c r="U2457" s="1" t="s">
        <v>30</v>
      </c>
      <c r="V2457" s="1">
        <v>0</v>
      </c>
    </row>
    <row r="2458" spans="2:22" x14ac:dyDescent="0.15">
      <c r="B2458" s="1" t="str">
        <f>"189****1843"</f>
        <v>189****1843</v>
      </c>
      <c r="C2458" s="1" t="s">
        <v>23</v>
      </c>
      <c r="D2458" s="1" t="str">
        <f t="shared" si="245"/>
        <v>89177328</v>
      </c>
      <c r="E2458" s="1" t="s">
        <v>24</v>
      </c>
      <c r="F2458" s="1" t="str">
        <f t="shared" si="246"/>
        <v>0010</v>
      </c>
      <c r="G2458" s="1" t="str">
        <f>""</f>
        <v/>
      </c>
      <c r="H2458" s="1" t="str">
        <f>"0018"</f>
        <v>0018</v>
      </c>
      <c r="I2458" s="1" t="s">
        <v>36</v>
      </c>
      <c r="J2458" s="1" t="str">
        <f>"01043989718"</f>
        <v>01043989718</v>
      </c>
      <c r="K2458" s="1" t="str">
        <f>"2017-03-21 17:21:50"</f>
        <v>2017-03-21 17:21:50</v>
      </c>
      <c r="L2458" s="1" t="str">
        <f>"2017-03-21 17:21:56"</f>
        <v>2017-03-21 17:21:56</v>
      </c>
      <c r="M2458" s="2">
        <v>7.3148148148148148E-3</v>
      </c>
      <c r="N2458" s="1" t="s">
        <v>26</v>
      </c>
      <c r="O2458" s="1" t="s">
        <v>34</v>
      </c>
      <c r="P2458" s="2">
        <v>7.3842592592592597E-3</v>
      </c>
      <c r="Q2458" s="1" t="s">
        <v>1778</v>
      </c>
      <c r="R2458" s="1">
        <v>0</v>
      </c>
      <c r="S2458" s="1" t="str">
        <f>""</f>
        <v/>
      </c>
      <c r="T2458" s="1" t="s">
        <v>29</v>
      </c>
      <c r="U2458" s="1" t="s">
        <v>30</v>
      </c>
      <c r="V2458" s="1">
        <v>0</v>
      </c>
    </row>
    <row r="2459" spans="2:22" x14ac:dyDescent="0.15">
      <c r="B2459" s="1" t="str">
        <f>"186****1807"</f>
        <v>186****1807</v>
      </c>
      <c r="C2459" s="1" t="s">
        <v>23</v>
      </c>
      <c r="D2459" s="1" t="str">
        <f t="shared" si="245"/>
        <v>89177328</v>
      </c>
      <c r="E2459" s="1" t="s">
        <v>24</v>
      </c>
      <c r="F2459" s="1" t="str">
        <f t="shared" si="246"/>
        <v>0010</v>
      </c>
      <c r="G2459" s="1" t="str">
        <f>""</f>
        <v/>
      </c>
      <c r="H2459" s="1" t="str">
        <f>"0017"</f>
        <v>0017</v>
      </c>
      <c r="I2459" s="1" t="s">
        <v>135</v>
      </c>
      <c r="J2459" s="1" t="str">
        <f>"01043989717"</f>
        <v>01043989717</v>
      </c>
      <c r="K2459" s="1" t="str">
        <f>"2017-03-21 17:10:29"</f>
        <v>2017-03-21 17:10:29</v>
      </c>
      <c r="L2459" s="1" t="str">
        <f>"2017-03-21 17:10:38"</f>
        <v>2017-03-21 17:10:38</v>
      </c>
      <c r="M2459" s="2">
        <v>5.347222222222222E-3</v>
      </c>
      <c r="N2459" s="1" t="s">
        <v>26</v>
      </c>
      <c r="O2459" s="1" t="s">
        <v>34</v>
      </c>
      <c r="P2459" s="2">
        <v>5.4513888888888884E-3</v>
      </c>
      <c r="Q2459" s="1" t="s">
        <v>1779</v>
      </c>
      <c r="R2459" s="1">
        <v>0</v>
      </c>
      <c r="S2459" s="1" t="str">
        <f>""</f>
        <v/>
      </c>
      <c r="T2459" s="1" t="s">
        <v>29</v>
      </c>
      <c r="U2459" s="1" t="s">
        <v>30</v>
      </c>
      <c r="V2459" s="1">
        <v>0</v>
      </c>
    </row>
    <row r="2460" spans="2:22" x14ac:dyDescent="0.15">
      <c r="B2460" s="1" t="str">
        <f>"135****5932"</f>
        <v>135****5932</v>
      </c>
      <c r="C2460" s="1" t="s">
        <v>23</v>
      </c>
      <c r="D2460" s="1" t="str">
        <f t="shared" si="245"/>
        <v>89177328</v>
      </c>
      <c r="E2460" s="1" t="s">
        <v>24</v>
      </c>
      <c r="F2460" s="1" t="str">
        <f t="shared" si="246"/>
        <v>0010</v>
      </c>
      <c r="G2460" s="1" t="str">
        <f>""</f>
        <v/>
      </c>
      <c r="H2460" s="1" t="str">
        <f>"0018"</f>
        <v>0018</v>
      </c>
      <c r="I2460" s="1" t="s">
        <v>36</v>
      </c>
      <c r="J2460" s="1" t="str">
        <f>"01043989718"</f>
        <v>01043989718</v>
      </c>
      <c r="K2460" s="1" t="str">
        <f>"2017-03-21 17:09:47"</f>
        <v>2017-03-21 17:09:47</v>
      </c>
      <c r="L2460" s="1" t="str">
        <f>"2017-03-21 17:09:55"</f>
        <v>2017-03-21 17:09:55</v>
      </c>
      <c r="M2460" s="2">
        <v>5.0115740740740737E-3</v>
      </c>
      <c r="N2460" s="1" t="s">
        <v>26</v>
      </c>
      <c r="O2460" s="1" t="s">
        <v>34</v>
      </c>
      <c r="P2460" s="2">
        <v>5.1041666666666666E-3</v>
      </c>
      <c r="Q2460" s="1" t="s">
        <v>1780</v>
      </c>
      <c r="R2460" s="1">
        <v>0</v>
      </c>
      <c r="S2460" s="1" t="str">
        <f>""</f>
        <v/>
      </c>
      <c r="T2460" s="1" t="s">
        <v>29</v>
      </c>
      <c r="U2460" s="1" t="s">
        <v>30</v>
      </c>
      <c r="V2460" s="1">
        <v>0</v>
      </c>
    </row>
    <row r="2461" spans="2:22" x14ac:dyDescent="0.15">
      <c r="B2461" s="1" t="str">
        <f>"136****4196"</f>
        <v>136****4196</v>
      </c>
      <c r="C2461" s="1" t="s">
        <v>527</v>
      </c>
      <c r="D2461" s="1" t="str">
        <f t="shared" si="245"/>
        <v>89177328</v>
      </c>
      <c r="E2461" s="1" t="s">
        <v>24</v>
      </c>
      <c r="F2461" s="1" t="str">
        <f t="shared" si="246"/>
        <v>0010</v>
      </c>
      <c r="G2461" s="1" t="str">
        <f>""</f>
        <v/>
      </c>
      <c r="H2461" s="1" t="str">
        <f>"0034"</f>
        <v>0034</v>
      </c>
      <c r="I2461" s="1" t="s">
        <v>31</v>
      </c>
      <c r="J2461" s="1" t="str">
        <f>"01043977568"</f>
        <v>01043977568</v>
      </c>
      <c r="K2461" s="1" t="str">
        <f>"2017-03-21 16:59:45"</f>
        <v>2017-03-21 16:59:45</v>
      </c>
      <c r="L2461" s="1" t="str">
        <f>"2017-03-21 16:59:56"</f>
        <v>2017-03-21 16:59:56</v>
      </c>
      <c r="M2461" s="2">
        <v>4.2824074074074075E-4</v>
      </c>
      <c r="N2461" s="1" t="s">
        <v>26</v>
      </c>
      <c r="O2461" s="1" t="s">
        <v>27</v>
      </c>
      <c r="P2461" s="2">
        <v>5.5555555555555556E-4</v>
      </c>
      <c r="Q2461" s="1" t="s">
        <v>1781</v>
      </c>
      <c r="R2461" s="1">
        <v>0</v>
      </c>
      <c r="S2461" s="1" t="str">
        <f>""</f>
        <v/>
      </c>
      <c r="T2461" s="1" t="s">
        <v>29</v>
      </c>
      <c r="U2461" s="1" t="s">
        <v>30</v>
      </c>
      <c r="V2461" s="1">
        <v>0</v>
      </c>
    </row>
    <row r="2462" spans="2:22" x14ac:dyDescent="0.15">
      <c r="B2462" s="1" t="str">
        <f>"181****9139"</f>
        <v>181****9139</v>
      </c>
      <c r="C2462" s="1" t="s">
        <v>113</v>
      </c>
      <c r="D2462" s="1" t="str">
        <f t="shared" si="245"/>
        <v>89177328</v>
      </c>
      <c r="E2462" s="1" t="s">
        <v>24</v>
      </c>
      <c r="F2462" s="1" t="str">
        <f t="shared" si="246"/>
        <v>0010</v>
      </c>
      <c r="G2462" s="1" t="str">
        <f>""</f>
        <v/>
      </c>
      <c r="H2462" s="1" t="str">
        <f>"0018"</f>
        <v>0018</v>
      </c>
      <c r="I2462" s="1" t="s">
        <v>36</v>
      </c>
      <c r="J2462" s="1" t="str">
        <f>"01043989718"</f>
        <v>01043989718</v>
      </c>
      <c r="K2462" s="1" t="str">
        <f>"2017-03-21 16:24:06"</f>
        <v>2017-03-21 16:24:06</v>
      </c>
      <c r="L2462" s="1" t="str">
        <f>"2017-03-21 16:24:15"</f>
        <v>2017-03-21 16:24:15</v>
      </c>
      <c r="M2462" s="2">
        <v>3.5879629629629635E-4</v>
      </c>
      <c r="N2462" s="1" t="s">
        <v>26</v>
      </c>
      <c r="O2462" s="1" t="s">
        <v>34</v>
      </c>
      <c r="P2462" s="2">
        <v>4.6296296296296293E-4</v>
      </c>
      <c r="Q2462" s="1" t="s">
        <v>1782</v>
      </c>
      <c r="R2462" s="1">
        <v>0</v>
      </c>
      <c r="S2462" s="1" t="str">
        <f>""</f>
        <v/>
      </c>
      <c r="T2462" s="1" t="s">
        <v>29</v>
      </c>
      <c r="U2462" s="1" t="s">
        <v>30</v>
      </c>
      <c r="V2462" s="1">
        <v>0</v>
      </c>
    </row>
    <row r="2463" spans="2:22" x14ac:dyDescent="0.15">
      <c r="B2463" s="1" t="str">
        <f>"138****3275"</f>
        <v>138****3275</v>
      </c>
      <c r="C2463" s="1" t="s">
        <v>35</v>
      </c>
      <c r="D2463" s="1" t="str">
        <f t="shared" si="245"/>
        <v>89177328</v>
      </c>
      <c r="E2463" s="1" t="s">
        <v>24</v>
      </c>
      <c r="F2463" s="1" t="str">
        <f t="shared" si="246"/>
        <v>0010</v>
      </c>
      <c r="G2463" s="1" t="str">
        <f>""</f>
        <v/>
      </c>
      <c r="H2463" s="1" t="str">
        <f>"0033"</f>
        <v>0033</v>
      </c>
      <c r="I2463" s="1" t="s">
        <v>106</v>
      </c>
      <c r="J2463" s="1" t="str">
        <f>"01043977567"</f>
        <v>01043977567</v>
      </c>
      <c r="K2463" s="1" t="str">
        <f>"2017-03-21 16:00:26"</f>
        <v>2017-03-21 16:00:26</v>
      </c>
      <c r="L2463" s="1" t="str">
        <f>"2017-03-21 16:00:35"</f>
        <v>2017-03-21 16:00:35</v>
      </c>
      <c r="M2463" s="2">
        <v>7.0949074074074074E-3</v>
      </c>
      <c r="N2463" s="1" t="s">
        <v>26</v>
      </c>
      <c r="O2463" s="1" t="s">
        <v>27</v>
      </c>
      <c r="P2463" s="2">
        <v>7.1990740740740739E-3</v>
      </c>
      <c r="Q2463" s="1" t="s">
        <v>1783</v>
      </c>
      <c r="R2463" s="1">
        <v>0</v>
      </c>
      <c r="S2463" s="1" t="str">
        <f>""</f>
        <v/>
      </c>
      <c r="T2463" s="1" t="s">
        <v>29</v>
      </c>
      <c r="U2463" s="1" t="s">
        <v>30</v>
      </c>
      <c r="V2463" s="1">
        <v>0</v>
      </c>
    </row>
    <row r="2464" spans="2:22" x14ac:dyDescent="0.15">
      <c r="B2464" s="1" t="str">
        <f>"185****1632"</f>
        <v>185****1632</v>
      </c>
      <c r="C2464" s="1" t="s">
        <v>23</v>
      </c>
      <c r="D2464" s="1" t="str">
        <f t="shared" si="245"/>
        <v>89177328</v>
      </c>
      <c r="E2464" s="1" t="s">
        <v>24</v>
      </c>
      <c r="F2464" s="1" t="str">
        <f t="shared" si="246"/>
        <v>0010</v>
      </c>
      <c r="G2464" s="1" t="str">
        <f>""</f>
        <v/>
      </c>
      <c r="H2464" s="1" t="str">
        <f>"0034"</f>
        <v>0034</v>
      </c>
      <c r="I2464" s="1" t="s">
        <v>31</v>
      </c>
      <c r="J2464" s="1" t="str">
        <f>"01043977568"</f>
        <v>01043977568</v>
      </c>
      <c r="K2464" s="1" t="str">
        <f>"2017-03-21 15:37:06"</f>
        <v>2017-03-21 15:37:06</v>
      </c>
      <c r="L2464" s="1" t="str">
        <f>"2017-03-21 15:37:19"</f>
        <v>2017-03-21 15:37:19</v>
      </c>
      <c r="M2464" s="2">
        <v>6.053240740740741E-3</v>
      </c>
      <c r="N2464" s="1" t="s">
        <v>26</v>
      </c>
      <c r="O2464" s="1" t="s">
        <v>34</v>
      </c>
      <c r="P2464" s="2">
        <v>6.2037037037037043E-3</v>
      </c>
      <c r="Q2464" s="1" t="s">
        <v>1784</v>
      </c>
      <c r="R2464" s="1">
        <v>0</v>
      </c>
      <c r="S2464" s="1" t="str">
        <f>""</f>
        <v/>
      </c>
      <c r="T2464" s="1" t="s">
        <v>29</v>
      </c>
      <c r="U2464" s="1" t="s">
        <v>30</v>
      </c>
      <c r="V2464" s="1">
        <v>0</v>
      </c>
    </row>
    <row r="2465" spans="2:22" x14ac:dyDescent="0.15">
      <c r="B2465" s="1" t="str">
        <f>"157****4678"</f>
        <v>157****4678</v>
      </c>
      <c r="C2465" s="1" t="s">
        <v>23</v>
      </c>
      <c r="D2465" s="1" t="str">
        <f t="shared" si="245"/>
        <v>89177328</v>
      </c>
      <c r="E2465" s="1" t="s">
        <v>24</v>
      </c>
      <c r="F2465" s="1" t="str">
        <f t="shared" si="246"/>
        <v>0010</v>
      </c>
      <c r="G2465" s="1" t="str">
        <f>""</f>
        <v/>
      </c>
      <c r="H2465" s="1" t="str">
        <f>"0032"</f>
        <v>0032</v>
      </c>
      <c r="I2465" s="1" t="s">
        <v>119</v>
      </c>
      <c r="J2465" s="1" t="str">
        <f>"01043977566"</f>
        <v>01043977566</v>
      </c>
      <c r="K2465" s="1" t="str">
        <f>"2017-03-21 15:30:26"</f>
        <v>2017-03-21 15:30:26</v>
      </c>
      <c r="L2465" s="1" t="str">
        <f>"-"</f>
        <v>-</v>
      </c>
      <c r="M2465" s="2">
        <v>0</v>
      </c>
      <c r="N2465" s="1" t="s">
        <v>33</v>
      </c>
      <c r="O2465" s="1" t="s">
        <v>34</v>
      </c>
      <c r="P2465" s="2">
        <v>3.4722222222222222E-5</v>
      </c>
      <c r="Q2465" s="1" t="str">
        <f>""</f>
        <v/>
      </c>
      <c r="R2465" s="1">
        <v>0</v>
      </c>
      <c r="S2465" s="1" t="str">
        <f>""</f>
        <v/>
      </c>
      <c r="T2465" s="1" t="s">
        <v>29</v>
      </c>
      <c r="U2465" s="1" t="s">
        <v>30</v>
      </c>
      <c r="V2465" s="1">
        <v>0</v>
      </c>
    </row>
    <row r="2466" spans="2:22" x14ac:dyDescent="0.15">
      <c r="B2466" s="1" t="str">
        <f>"130****5656"</f>
        <v>130****5656</v>
      </c>
      <c r="C2466" s="1" t="s">
        <v>112</v>
      </c>
      <c r="D2466" s="1" t="str">
        <f t="shared" ref="D2466:D2493" si="247">"89177328"</f>
        <v>89177328</v>
      </c>
      <c r="E2466" s="1" t="s">
        <v>24</v>
      </c>
      <c r="F2466" s="1" t="str">
        <f t="shared" ref="F2466:F2493" si="248">"0010"</f>
        <v>0010</v>
      </c>
      <c r="G2466" s="1" t="str">
        <f>""</f>
        <v/>
      </c>
      <c r="H2466" s="1" t="str">
        <f>"0017"</f>
        <v>0017</v>
      </c>
      <c r="I2466" s="1" t="s">
        <v>135</v>
      </c>
      <c r="J2466" s="1" t="str">
        <f>"01043989717"</f>
        <v>01043989717</v>
      </c>
      <c r="K2466" s="1" t="str">
        <f>"2017-03-21 15:28:13"</f>
        <v>2017-03-21 15:28:13</v>
      </c>
      <c r="L2466" s="1" t="str">
        <f>"-"</f>
        <v>-</v>
      </c>
      <c r="M2466" s="2">
        <v>0</v>
      </c>
      <c r="N2466" s="1" t="s">
        <v>33</v>
      </c>
      <c r="O2466" s="1" t="s">
        <v>34</v>
      </c>
      <c r="P2466" s="2">
        <v>8.1018518518518516E-5</v>
      </c>
      <c r="Q2466" s="1" t="str">
        <f>""</f>
        <v/>
      </c>
      <c r="R2466" s="1">
        <v>0</v>
      </c>
      <c r="S2466" s="1" t="str">
        <f>""</f>
        <v/>
      </c>
      <c r="T2466" s="1" t="s">
        <v>29</v>
      </c>
      <c r="U2466" s="1" t="s">
        <v>30</v>
      </c>
      <c r="V2466" s="1">
        <v>0</v>
      </c>
    </row>
    <row r="2467" spans="2:22" x14ac:dyDescent="0.15">
      <c r="B2467" s="1" t="str">
        <f>"151****9431"</f>
        <v>151****9431</v>
      </c>
      <c r="C2467" s="1" t="s">
        <v>102</v>
      </c>
      <c r="D2467" s="1" t="str">
        <f t="shared" si="247"/>
        <v>89177328</v>
      </c>
      <c r="E2467" s="1" t="s">
        <v>24</v>
      </c>
      <c r="F2467" s="1" t="str">
        <f t="shared" si="248"/>
        <v>0010</v>
      </c>
      <c r="G2467" s="1" t="str">
        <f>""</f>
        <v/>
      </c>
      <c r="H2467" s="1" t="str">
        <f>"0035"</f>
        <v>0035</v>
      </c>
      <c r="I2467" s="1" t="s">
        <v>25</v>
      </c>
      <c r="J2467" s="1" t="str">
        <f>"01043977569"</f>
        <v>01043977569</v>
      </c>
      <c r="K2467" s="1" t="str">
        <f>"2017-03-21 15:26:41"</f>
        <v>2017-03-21 15:26:41</v>
      </c>
      <c r="L2467" s="1" t="str">
        <f>"2017-03-21 15:26:49"</f>
        <v>2017-03-21 15:26:49</v>
      </c>
      <c r="M2467" s="2">
        <v>6.7476851851851856E-3</v>
      </c>
      <c r="N2467" s="1" t="s">
        <v>26</v>
      </c>
      <c r="O2467" s="1" t="s">
        <v>27</v>
      </c>
      <c r="P2467" s="2">
        <v>6.8402777777777776E-3</v>
      </c>
      <c r="Q2467" s="1" t="s">
        <v>1785</v>
      </c>
      <c r="R2467" s="1">
        <v>0</v>
      </c>
      <c r="S2467" s="1" t="str">
        <f>""</f>
        <v/>
      </c>
      <c r="T2467" s="1" t="s">
        <v>29</v>
      </c>
      <c r="U2467" s="1" t="s">
        <v>30</v>
      </c>
      <c r="V2467" s="1">
        <v>0</v>
      </c>
    </row>
    <row r="2468" spans="2:22" x14ac:dyDescent="0.15">
      <c r="B2468" s="1" t="str">
        <f>"010****4415"</f>
        <v>010****4415</v>
      </c>
      <c r="C2468" s="1" t="s">
        <v>23</v>
      </c>
      <c r="D2468" s="1" t="str">
        <f t="shared" si="247"/>
        <v>89177328</v>
      </c>
      <c r="E2468" s="1" t="s">
        <v>24</v>
      </c>
      <c r="F2468" s="1" t="str">
        <f t="shared" si="248"/>
        <v>0010</v>
      </c>
      <c r="G2468" s="1" t="str">
        <f>""</f>
        <v/>
      </c>
      <c r="H2468" s="1" t="str">
        <f>"0017"</f>
        <v>0017</v>
      </c>
      <c r="I2468" s="1" t="s">
        <v>135</v>
      </c>
      <c r="J2468" s="1" t="str">
        <f>"01043989717"</f>
        <v>01043989717</v>
      </c>
      <c r="K2468" s="1" t="str">
        <f>"2017-03-21 15:24:05"</f>
        <v>2017-03-21 15:24:05</v>
      </c>
      <c r="L2468" s="1" t="str">
        <f>"2017-03-21 15:24:34"</f>
        <v>2017-03-21 15:24:34</v>
      </c>
      <c r="M2468" s="2">
        <v>1.1574074074074073E-5</v>
      </c>
      <c r="N2468" s="1" t="s">
        <v>26</v>
      </c>
      <c r="O2468" s="1" t="s">
        <v>34</v>
      </c>
      <c r="P2468" s="2">
        <v>3.4722222222222224E-4</v>
      </c>
      <c r="Q2468" s="1" t="str">
        <f>""</f>
        <v/>
      </c>
      <c r="R2468" s="1">
        <v>0</v>
      </c>
      <c r="S2468" s="1" t="str">
        <f>""</f>
        <v/>
      </c>
      <c r="T2468" s="1" t="s">
        <v>29</v>
      </c>
      <c r="U2468" s="1" t="s">
        <v>30</v>
      </c>
      <c r="V2468" s="1">
        <v>0</v>
      </c>
    </row>
    <row r="2469" spans="2:22" x14ac:dyDescent="0.15">
      <c r="B2469" s="1" t="str">
        <f>"183****4280"</f>
        <v>183****4280</v>
      </c>
      <c r="C2469" s="1" t="s">
        <v>23</v>
      </c>
      <c r="D2469" s="1" t="str">
        <f t="shared" si="247"/>
        <v>89177328</v>
      </c>
      <c r="E2469" s="1" t="s">
        <v>24</v>
      </c>
      <c r="F2469" s="1" t="str">
        <f t="shared" si="248"/>
        <v>0010</v>
      </c>
      <c r="G2469" s="1" t="str">
        <f>""</f>
        <v/>
      </c>
      <c r="H2469" s="1" t="str">
        <f>"0032"</f>
        <v>0032</v>
      </c>
      <c r="I2469" s="1" t="s">
        <v>119</v>
      </c>
      <c r="J2469" s="1" t="str">
        <f>"01043977566"</f>
        <v>01043977566</v>
      </c>
      <c r="K2469" s="1" t="str">
        <f>"2017-03-21 15:23:45"</f>
        <v>2017-03-21 15:23:45</v>
      </c>
      <c r="L2469" s="1" t="str">
        <f>"-"</f>
        <v>-</v>
      </c>
      <c r="M2469" s="2">
        <v>0</v>
      </c>
      <c r="N2469" s="1" t="s">
        <v>33</v>
      </c>
      <c r="O2469" s="1" t="s">
        <v>34</v>
      </c>
      <c r="P2469" s="2">
        <v>6.9444444444444444E-5</v>
      </c>
      <c r="Q2469" s="1" t="str">
        <f>""</f>
        <v/>
      </c>
      <c r="R2469" s="1">
        <v>0</v>
      </c>
      <c r="S2469" s="1" t="str">
        <f>""</f>
        <v/>
      </c>
      <c r="T2469" s="1" t="s">
        <v>29</v>
      </c>
      <c r="U2469" s="1" t="s">
        <v>30</v>
      </c>
      <c r="V2469" s="1">
        <v>0</v>
      </c>
    </row>
    <row r="2470" spans="2:22" x14ac:dyDescent="0.15">
      <c r="B2470" s="1" t="str">
        <f>"176****0725"</f>
        <v>176****0725</v>
      </c>
      <c r="C2470" s="1" t="s">
        <v>113</v>
      </c>
      <c r="D2470" s="1" t="str">
        <f t="shared" si="247"/>
        <v>89177328</v>
      </c>
      <c r="E2470" s="1" t="s">
        <v>24</v>
      </c>
      <c r="F2470" s="1" t="str">
        <f t="shared" si="248"/>
        <v>0010</v>
      </c>
      <c r="G2470" s="1" t="str">
        <f>""</f>
        <v/>
      </c>
      <c r="H2470" s="1" t="str">
        <f t="shared" ref="H2470:H2484" si="249">"0034"</f>
        <v>0034</v>
      </c>
      <c r="I2470" s="1" t="s">
        <v>31</v>
      </c>
      <c r="J2470" s="1" t="str">
        <f t="shared" ref="J2470:J2484" si="250">"01043977568"</f>
        <v>01043977568</v>
      </c>
      <c r="K2470" s="1" t="str">
        <f>"2017-03-21 15:22:50"</f>
        <v>2017-03-21 15:22:50</v>
      </c>
      <c r="L2470" s="1" t="str">
        <f>"2017-03-21 15:23:01"</f>
        <v>2017-03-21 15:23:01</v>
      </c>
      <c r="M2470" s="2">
        <v>7.905092592592592E-3</v>
      </c>
      <c r="N2470" s="1" t="s">
        <v>26</v>
      </c>
      <c r="O2470" s="1" t="s">
        <v>34</v>
      </c>
      <c r="P2470" s="2">
        <v>8.0324074074074065E-3</v>
      </c>
      <c r="Q2470" s="1" t="s">
        <v>1786</v>
      </c>
      <c r="R2470" s="1">
        <v>0</v>
      </c>
      <c r="S2470" s="1" t="str">
        <f>""</f>
        <v/>
      </c>
      <c r="T2470" s="1" t="s">
        <v>29</v>
      </c>
      <c r="U2470" s="1" t="s">
        <v>30</v>
      </c>
      <c r="V2470" s="1">
        <v>0</v>
      </c>
    </row>
    <row r="2471" spans="2:22" x14ac:dyDescent="0.15">
      <c r="B2471" s="1" t="str">
        <f>"157****4678"</f>
        <v>157****4678</v>
      </c>
      <c r="C2471" s="1" t="s">
        <v>23</v>
      </c>
      <c r="D2471" s="1" t="str">
        <f t="shared" si="247"/>
        <v>89177328</v>
      </c>
      <c r="E2471" s="1" t="s">
        <v>24</v>
      </c>
      <c r="F2471" s="1" t="str">
        <f t="shared" si="248"/>
        <v>0010</v>
      </c>
      <c r="G2471" s="1" t="str">
        <f>""</f>
        <v/>
      </c>
      <c r="H2471" s="1" t="str">
        <f t="shared" si="249"/>
        <v>0034</v>
      </c>
      <c r="I2471" s="1" t="s">
        <v>31</v>
      </c>
      <c r="J2471" s="1" t="str">
        <f t="shared" si="250"/>
        <v>01043977568</v>
      </c>
      <c r="K2471" s="1" t="str">
        <f>"2017-03-21 15:22:45"</f>
        <v>2017-03-21 15:22:45</v>
      </c>
      <c r="L2471" s="1" t="str">
        <f t="shared" ref="L2471:L2478" si="251">"-"</f>
        <v>-</v>
      </c>
      <c r="M2471" s="2">
        <v>0</v>
      </c>
      <c r="N2471" s="1" t="s">
        <v>33</v>
      </c>
      <c r="O2471" s="1" t="s">
        <v>34</v>
      </c>
      <c r="P2471" s="2">
        <v>6.9444444444444444E-5</v>
      </c>
      <c r="Q2471" s="1" t="str">
        <f>""</f>
        <v/>
      </c>
      <c r="R2471" s="1">
        <v>0</v>
      </c>
      <c r="S2471" s="1" t="str">
        <f>""</f>
        <v/>
      </c>
      <c r="T2471" s="1" t="s">
        <v>29</v>
      </c>
      <c r="U2471" s="1" t="s">
        <v>30</v>
      </c>
      <c r="V2471" s="1">
        <v>0</v>
      </c>
    </row>
    <row r="2472" spans="2:22" x14ac:dyDescent="0.15">
      <c r="B2472" s="1" t="str">
        <f>"188****7867"</f>
        <v>188****7867</v>
      </c>
      <c r="C2472" s="1" t="s">
        <v>23</v>
      </c>
      <c r="D2472" s="1" t="str">
        <f t="shared" si="247"/>
        <v>89177328</v>
      </c>
      <c r="E2472" s="1" t="s">
        <v>24</v>
      </c>
      <c r="F2472" s="1" t="str">
        <f t="shared" si="248"/>
        <v>0010</v>
      </c>
      <c r="G2472" s="1" t="str">
        <f>""</f>
        <v/>
      </c>
      <c r="H2472" s="1" t="str">
        <f t="shared" si="249"/>
        <v>0034</v>
      </c>
      <c r="I2472" s="1" t="s">
        <v>31</v>
      </c>
      <c r="J2472" s="1" t="str">
        <f t="shared" si="250"/>
        <v>01043977568</v>
      </c>
      <c r="K2472" s="1" t="str">
        <f>"2017-03-21 15:22:19"</f>
        <v>2017-03-21 15:22:19</v>
      </c>
      <c r="L2472" s="1" t="str">
        <f t="shared" si="251"/>
        <v>-</v>
      </c>
      <c r="M2472" s="2">
        <v>0</v>
      </c>
      <c r="N2472" s="1" t="s">
        <v>33</v>
      </c>
      <c r="O2472" s="1" t="s">
        <v>34</v>
      </c>
      <c r="P2472" s="2">
        <v>1.3888888888888889E-4</v>
      </c>
      <c r="Q2472" s="1" t="str">
        <f>""</f>
        <v/>
      </c>
      <c r="R2472" s="1">
        <v>0</v>
      </c>
      <c r="S2472" s="1" t="str">
        <f>""</f>
        <v/>
      </c>
      <c r="T2472" s="1" t="s">
        <v>29</v>
      </c>
      <c r="U2472" s="1" t="s">
        <v>30</v>
      </c>
      <c r="V2472" s="1">
        <v>0</v>
      </c>
    </row>
    <row r="2473" spans="2:22" x14ac:dyDescent="0.15">
      <c r="B2473" s="1" t="str">
        <f>"130****5656"</f>
        <v>130****5656</v>
      </c>
      <c r="C2473" s="1" t="s">
        <v>112</v>
      </c>
      <c r="D2473" s="1" t="str">
        <f t="shared" si="247"/>
        <v>89177328</v>
      </c>
      <c r="E2473" s="1" t="s">
        <v>24</v>
      </c>
      <c r="F2473" s="1" t="str">
        <f t="shared" si="248"/>
        <v>0010</v>
      </c>
      <c r="G2473" s="1" t="str">
        <f>""</f>
        <v/>
      </c>
      <c r="H2473" s="1" t="str">
        <f t="shared" si="249"/>
        <v>0034</v>
      </c>
      <c r="I2473" s="1" t="s">
        <v>31</v>
      </c>
      <c r="J2473" s="1" t="str">
        <f t="shared" si="250"/>
        <v>01043977568</v>
      </c>
      <c r="K2473" s="1" t="str">
        <f>"2017-03-21 15:20:59"</f>
        <v>2017-03-21 15:20:59</v>
      </c>
      <c r="L2473" s="1" t="str">
        <f t="shared" si="251"/>
        <v>-</v>
      </c>
      <c r="M2473" s="2">
        <v>0</v>
      </c>
      <c r="N2473" s="1" t="s">
        <v>33</v>
      </c>
      <c r="O2473" s="1" t="s">
        <v>34</v>
      </c>
      <c r="P2473" s="2">
        <v>2.3148148148148147E-5</v>
      </c>
      <c r="Q2473" s="1" t="str">
        <f>""</f>
        <v/>
      </c>
      <c r="R2473" s="1">
        <v>0</v>
      </c>
      <c r="S2473" s="1" t="str">
        <f>""</f>
        <v/>
      </c>
      <c r="T2473" s="1" t="s">
        <v>29</v>
      </c>
      <c r="U2473" s="1" t="s">
        <v>30</v>
      </c>
      <c r="V2473" s="1">
        <v>0</v>
      </c>
    </row>
    <row r="2474" spans="2:22" x14ac:dyDescent="0.15">
      <c r="B2474" s="1" t="str">
        <f>"177****0206"</f>
        <v>177****0206</v>
      </c>
      <c r="C2474" s="1" t="s">
        <v>23</v>
      </c>
      <c r="D2474" s="1" t="str">
        <f t="shared" si="247"/>
        <v>89177328</v>
      </c>
      <c r="E2474" s="1" t="s">
        <v>24</v>
      </c>
      <c r="F2474" s="1" t="str">
        <f t="shared" si="248"/>
        <v>0010</v>
      </c>
      <c r="G2474" s="1" t="str">
        <f>""</f>
        <v/>
      </c>
      <c r="H2474" s="1" t="str">
        <f t="shared" si="249"/>
        <v>0034</v>
      </c>
      <c r="I2474" s="1" t="s">
        <v>31</v>
      </c>
      <c r="J2474" s="1" t="str">
        <f t="shared" si="250"/>
        <v>01043977568</v>
      </c>
      <c r="K2474" s="1" t="str">
        <f>"2017-03-21 15:19:56"</f>
        <v>2017-03-21 15:19:56</v>
      </c>
      <c r="L2474" s="1" t="str">
        <f t="shared" si="251"/>
        <v>-</v>
      </c>
      <c r="M2474" s="2">
        <v>0</v>
      </c>
      <c r="N2474" s="1" t="s">
        <v>33</v>
      </c>
      <c r="O2474" s="1" t="s">
        <v>34</v>
      </c>
      <c r="P2474" s="2">
        <v>1.0416666666666667E-4</v>
      </c>
      <c r="Q2474" s="1" t="str">
        <f>""</f>
        <v/>
      </c>
      <c r="R2474" s="1">
        <v>0</v>
      </c>
      <c r="S2474" s="1" t="str">
        <f>""</f>
        <v/>
      </c>
      <c r="T2474" s="1" t="s">
        <v>29</v>
      </c>
      <c r="U2474" s="1" t="s">
        <v>30</v>
      </c>
      <c r="V2474" s="1">
        <v>0</v>
      </c>
    </row>
    <row r="2475" spans="2:22" x14ac:dyDescent="0.15">
      <c r="B2475" s="1" t="str">
        <f>"183****4280"</f>
        <v>183****4280</v>
      </c>
      <c r="C2475" s="1" t="s">
        <v>23</v>
      </c>
      <c r="D2475" s="1" t="str">
        <f t="shared" si="247"/>
        <v>89177328</v>
      </c>
      <c r="E2475" s="1" t="s">
        <v>24</v>
      </c>
      <c r="F2475" s="1" t="str">
        <f t="shared" si="248"/>
        <v>0010</v>
      </c>
      <c r="G2475" s="1" t="str">
        <f>""</f>
        <v/>
      </c>
      <c r="H2475" s="1" t="str">
        <f t="shared" si="249"/>
        <v>0034</v>
      </c>
      <c r="I2475" s="1" t="s">
        <v>31</v>
      </c>
      <c r="J2475" s="1" t="str">
        <f t="shared" si="250"/>
        <v>01043977568</v>
      </c>
      <c r="K2475" s="1" t="str">
        <f>"2017-03-21 15:19:44"</f>
        <v>2017-03-21 15:19:44</v>
      </c>
      <c r="L2475" s="1" t="str">
        <f t="shared" si="251"/>
        <v>-</v>
      </c>
      <c r="M2475" s="2">
        <v>0</v>
      </c>
      <c r="N2475" s="1" t="s">
        <v>33</v>
      </c>
      <c r="O2475" s="1" t="s">
        <v>34</v>
      </c>
      <c r="P2475" s="2">
        <v>3.4722222222222222E-5</v>
      </c>
      <c r="Q2475" s="1" t="str">
        <f>""</f>
        <v/>
      </c>
      <c r="R2475" s="1">
        <v>0</v>
      </c>
      <c r="S2475" s="1" t="str">
        <f>""</f>
        <v/>
      </c>
      <c r="T2475" s="1" t="s">
        <v>29</v>
      </c>
      <c r="U2475" s="1" t="s">
        <v>30</v>
      </c>
      <c r="V2475" s="1">
        <v>0</v>
      </c>
    </row>
    <row r="2476" spans="2:22" x14ac:dyDescent="0.15">
      <c r="B2476" s="1" t="str">
        <f>"186****0604"</f>
        <v>186****0604</v>
      </c>
      <c r="C2476" s="1" t="s">
        <v>23</v>
      </c>
      <c r="D2476" s="1" t="str">
        <f t="shared" si="247"/>
        <v>89177328</v>
      </c>
      <c r="E2476" s="1" t="s">
        <v>24</v>
      </c>
      <c r="F2476" s="1" t="str">
        <f t="shared" si="248"/>
        <v>0010</v>
      </c>
      <c r="G2476" s="1" t="str">
        <f>""</f>
        <v/>
      </c>
      <c r="H2476" s="1" t="str">
        <f t="shared" si="249"/>
        <v>0034</v>
      </c>
      <c r="I2476" s="1" t="s">
        <v>31</v>
      </c>
      <c r="J2476" s="1" t="str">
        <f t="shared" si="250"/>
        <v>01043977568</v>
      </c>
      <c r="K2476" s="1" t="str">
        <f>"2017-03-21 15:19:17"</f>
        <v>2017-03-21 15:19:17</v>
      </c>
      <c r="L2476" s="1" t="str">
        <f t="shared" si="251"/>
        <v>-</v>
      </c>
      <c r="M2476" s="2">
        <v>0</v>
      </c>
      <c r="N2476" s="1" t="s">
        <v>33</v>
      </c>
      <c r="O2476" s="1" t="s">
        <v>34</v>
      </c>
      <c r="P2476" s="2">
        <v>5.7870370370370366E-5</v>
      </c>
      <c r="Q2476" s="1" t="str">
        <f>""</f>
        <v/>
      </c>
      <c r="R2476" s="1">
        <v>0</v>
      </c>
      <c r="S2476" s="1" t="str">
        <f>""</f>
        <v/>
      </c>
      <c r="T2476" s="1" t="s">
        <v>29</v>
      </c>
      <c r="U2476" s="1" t="s">
        <v>30</v>
      </c>
      <c r="V2476" s="1">
        <v>0</v>
      </c>
    </row>
    <row r="2477" spans="2:22" x14ac:dyDescent="0.15">
      <c r="B2477" s="1" t="str">
        <f>"183****4280"</f>
        <v>183****4280</v>
      </c>
      <c r="C2477" s="1" t="s">
        <v>23</v>
      </c>
      <c r="D2477" s="1" t="str">
        <f t="shared" si="247"/>
        <v>89177328</v>
      </c>
      <c r="E2477" s="1" t="s">
        <v>24</v>
      </c>
      <c r="F2477" s="1" t="str">
        <f t="shared" si="248"/>
        <v>0010</v>
      </c>
      <c r="G2477" s="1" t="str">
        <f>""</f>
        <v/>
      </c>
      <c r="H2477" s="1" t="str">
        <f t="shared" si="249"/>
        <v>0034</v>
      </c>
      <c r="I2477" s="1" t="s">
        <v>31</v>
      </c>
      <c r="J2477" s="1" t="str">
        <f t="shared" si="250"/>
        <v>01043977568</v>
      </c>
      <c r="K2477" s="1" t="str">
        <f>"2017-03-21 15:17:49"</f>
        <v>2017-03-21 15:17:49</v>
      </c>
      <c r="L2477" s="1" t="str">
        <f t="shared" si="251"/>
        <v>-</v>
      </c>
      <c r="M2477" s="2">
        <v>0</v>
      </c>
      <c r="N2477" s="1" t="s">
        <v>33</v>
      </c>
      <c r="O2477" s="1" t="s">
        <v>34</v>
      </c>
      <c r="P2477" s="2">
        <v>1.1574074074074073E-5</v>
      </c>
      <c r="Q2477" s="1" t="str">
        <f>""</f>
        <v/>
      </c>
      <c r="R2477" s="1">
        <v>0</v>
      </c>
      <c r="S2477" s="1" t="str">
        <f>""</f>
        <v/>
      </c>
      <c r="T2477" s="1" t="s">
        <v>29</v>
      </c>
      <c r="U2477" s="1" t="s">
        <v>30</v>
      </c>
      <c r="V2477" s="1">
        <v>0</v>
      </c>
    </row>
    <row r="2478" spans="2:22" x14ac:dyDescent="0.15">
      <c r="B2478" s="1" t="str">
        <f>"157****4678"</f>
        <v>157****4678</v>
      </c>
      <c r="C2478" s="1" t="s">
        <v>23</v>
      </c>
      <c r="D2478" s="1" t="str">
        <f t="shared" si="247"/>
        <v>89177328</v>
      </c>
      <c r="E2478" s="1" t="s">
        <v>24</v>
      </c>
      <c r="F2478" s="1" t="str">
        <f t="shared" si="248"/>
        <v>0010</v>
      </c>
      <c r="G2478" s="1" t="str">
        <f>""</f>
        <v/>
      </c>
      <c r="H2478" s="1" t="str">
        <f t="shared" si="249"/>
        <v>0034</v>
      </c>
      <c r="I2478" s="1" t="s">
        <v>31</v>
      </c>
      <c r="J2478" s="1" t="str">
        <f t="shared" si="250"/>
        <v>01043977568</v>
      </c>
      <c r="K2478" s="1" t="str">
        <f>"2017-03-21 15:17:13"</f>
        <v>2017-03-21 15:17:13</v>
      </c>
      <c r="L2478" s="1" t="str">
        <f t="shared" si="251"/>
        <v>-</v>
      </c>
      <c r="M2478" s="2">
        <v>0</v>
      </c>
      <c r="N2478" s="1" t="s">
        <v>33</v>
      </c>
      <c r="O2478" s="1" t="s">
        <v>34</v>
      </c>
      <c r="P2478" s="2">
        <v>8.1018518518518516E-5</v>
      </c>
      <c r="Q2478" s="1" t="str">
        <f>""</f>
        <v/>
      </c>
      <c r="R2478" s="1">
        <v>0</v>
      </c>
      <c r="S2478" s="1" t="str">
        <f>""</f>
        <v/>
      </c>
      <c r="T2478" s="1" t="s">
        <v>29</v>
      </c>
      <c r="U2478" s="1" t="s">
        <v>30</v>
      </c>
      <c r="V2478" s="1">
        <v>0</v>
      </c>
    </row>
    <row r="2479" spans="2:22" x14ac:dyDescent="0.15">
      <c r="B2479" s="1" t="str">
        <f>"186****0604"</f>
        <v>186****0604</v>
      </c>
      <c r="C2479" s="1" t="s">
        <v>23</v>
      </c>
      <c r="D2479" s="1" t="str">
        <f t="shared" si="247"/>
        <v>89177328</v>
      </c>
      <c r="E2479" s="1" t="s">
        <v>24</v>
      </c>
      <c r="F2479" s="1" t="str">
        <f t="shared" si="248"/>
        <v>0010</v>
      </c>
      <c r="G2479" s="1" t="str">
        <f>""</f>
        <v/>
      </c>
      <c r="H2479" s="1" t="str">
        <f t="shared" si="249"/>
        <v>0034</v>
      </c>
      <c r="I2479" s="1" t="s">
        <v>31</v>
      </c>
      <c r="J2479" s="1" t="str">
        <f t="shared" si="250"/>
        <v>01043977568</v>
      </c>
      <c r="K2479" s="1" t="str">
        <f>"2017-03-21 15:15:41"</f>
        <v>2017-03-21 15:15:41</v>
      </c>
      <c r="L2479" s="1" t="str">
        <f>"2017-03-21 15:16:03"</f>
        <v>2017-03-21 15:16:03</v>
      </c>
      <c r="M2479" s="2">
        <v>1.273148148148148E-4</v>
      </c>
      <c r="N2479" s="1" t="s">
        <v>26</v>
      </c>
      <c r="O2479" s="1" t="s">
        <v>34</v>
      </c>
      <c r="P2479" s="2">
        <v>3.8194444444444446E-4</v>
      </c>
      <c r="Q2479" s="1" t="s">
        <v>1787</v>
      </c>
      <c r="R2479" s="1">
        <v>0</v>
      </c>
      <c r="S2479" s="1" t="str">
        <f>""</f>
        <v/>
      </c>
      <c r="T2479" s="1" t="s">
        <v>29</v>
      </c>
      <c r="U2479" s="1" t="s">
        <v>30</v>
      </c>
      <c r="V2479" s="1">
        <v>0</v>
      </c>
    </row>
    <row r="2480" spans="2:22" x14ac:dyDescent="0.15">
      <c r="B2480" s="1" t="str">
        <f>"177****0206"</f>
        <v>177****0206</v>
      </c>
      <c r="C2480" s="1" t="s">
        <v>23</v>
      </c>
      <c r="D2480" s="1" t="str">
        <f t="shared" si="247"/>
        <v>89177328</v>
      </c>
      <c r="E2480" s="1" t="s">
        <v>24</v>
      </c>
      <c r="F2480" s="1" t="str">
        <f t="shared" si="248"/>
        <v>0010</v>
      </c>
      <c r="G2480" s="1" t="str">
        <f>""</f>
        <v/>
      </c>
      <c r="H2480" s="1" t="str">
        <f t="shared" si="249"/>
        <v>0034</v>
      </c>
      <c r="I2480" s="1" t="s">
        <v>31</v>
      </c>
      <c r="J2480" s="1" t="str">
        <f t="shared" si="250"/>
        <v>01043977568</v>
      </c>
      <c r="K2480" s="1" t="str">
        <f>"2017-03-21 15:15:31"</f>
        <v>2017-03-21 15:15:31</v>
      </c>
      <c r="L2480" s="1" t="str">
        <f t="shared" ref="L2480:L2487" si="252">"-"</f>
        <v>-</v>
      </c>
      <c r="M2480" s="2">
        <v>0</v>
      </c>
      <c r="N2480" s="1" t="s">
        <v>33</v>
      </c>
      <c r="O2480" s="1" t="s">
        <v>34</v>
      </c>
      <c r="P2480" s="2">
        <v>1.1574074074074073E-4</v>
      </c>
      <c r="Q2480" s="1" t="str">
        <f>""</f>
        <v/>
      </c>
      <c r="R2480" s="1">
        <v>0</v>
      </c>
      <c r="S2480" s="1" t="str">
        <f>""</f>
        <v/>
      </c>
      <c r="T2480" s="1" t="s">
        <v>29</v>
      </c>
      <c r="U2480" s="1" t="s">
        <v>30</v>
      </c>
      <c r="V2480" s="1">
        <v>0</v>
      </c>
    </row>
    <row r="2481" spans="2:22" x14ac:dyDescent="0.15">
      <c r="B2481" s="1" t="str">
        <f>"133****9597"</f>
        <v>133****9597</v>
      </c>
      <c r="C2481" s="1" t="s">
        <v>23</v>
      </c>
      <c r="D2481" s="1" t="str">
        <f t="shared" si="247"/>
        <v>89177328</v>
      </c>
      <c r="E2481" s="1" t="s">
        <v>24</v>
      </c>
      <c r="F2481" s="1" t="str">
        <f t="shared" si="248"/>
        <v>0010</v>
      </c>
      <c r="G2481" s="1" t="str">
        <f>""</f>
        <v/>
      </c>
      <c r="H2481" s="1" t="str">
        <f t="shared" si="249"/>
        <v>0034</v>
      </c>
      <c r="I2481" s="1" t="s">
        <v>31</v>
      </c>
      <c r="J2481" s="1" t="str">
        <f t="shared" si="250"/>
        <v>01043977568</v>
      </c>
      <c r="K2481" s="1" t="str">
        <f>"2017-03-21 15:15:09"</f>
        <v>2017-03-21 15:15:09</v>
      </c>
      <c r="L2481" s="1" t="str">
        <f t="shared" si="252"/>
        <v>-</v>
      </c>
      <c r="M2481" s="2">
        <v>0</v>
      </c>
      <c r="N2481" s="1" t="s">
        <v>33</v>
      </c>
      <c r="O2481" s="1" t="s">
        <v>34</v>
      </c>
      <c r="P2481" s="2">
        <v>6.9444444444444444E-5</v>
      </c>
      <c r="Q2481" s="1" t="str">
        <f>""</f>
        <v/>
      </c>
      <c r="R2481" s="1">
        <v>0</v>
      </c>
      <c r="S2481" s="1" t="str">
        <f>""</f>
        <v/>
      </c>
      <c r="T2481" s="1" t="s">
        <v>29</v>
      </c>
      <c r="U2481" s="1" t="s">
        <v>30</v>
      </c>
      <c r="V2481" s="1">
        <v>0</v>
      </c>
    </row>
    <row r="2482" spans="2:22" x14ac:dyDescent="0.15">
      <c r="B2482" s="1" t="str">
        <f>"130****5656"</f>
        <v>130****5656</v>
      </c>
      <c r="C2482" s="1" t="s">
        <v>112</v>
      </c>
      <c r="D2482" s="1" t="str">
        <f t="shared" si="247"/>
        <v>89177328</v>
      </c>
      <c r="E2482" s="1" t="s">
        <v>24</v>
      </c>
      <c r="F2482" s="1" t="str">
        <f t="shared" si="248"/>
        <v>0010</v>
      </c>
      <c r="G2482" s="1" t="str">
        <f>""</f>
        <v/>
      </c>
      <c r="H2482" s="1" t="str">
        <f t="shared" si="249"/>
        <v>0034</v>
      </c>
      <c r="I2482" s="1" t="s">
        <v>31</v>
      </c>
      <c r="J2482" s="1" t="str">
        <f t="shared" si="250"/>
        <v>01043977568</v>
      </c>
      <c r="K2482" s="1" t="str">
        <f>"2017-03-21 15:14:37"</f>
        <v>2017-03-21 15:14:37</v>
      </c>
      <c r="L2482" s="1" t="str">
        <f t="shared" si="252"/>
        <v>-</v>
      </c>
      <c r="M2482" s="2">
        <v>0</v>
      </c>
      <c r="N2482" s="1" t="s">
        <v>33</v>
      </c>
      <c r="O2482" s="1" t="s">
        <v>34</v>
      </c>
      <c r="P2482" s="2">
        <v>9.2592592592592588E-5</v>
      </c>
      <c r="Q2482" s="1" t="str">
        <f>""</f>
        <v/>
      </c>
      <c r="R2482" s="1">
        <v>0</v>
      </c>
      <c r="S2482" s="1" t="str">
        <f>""</f>
        <v/>
      </c>
      <c r="T2482" s="1" t="s">
        <v>29</v>
      </c>
      <c r="U2482" s="1" t="s">
        <v>30</v>
      </c>
      <c r="V2482" s="1">
        <v>0</v>
      </c>
    </row>
    <row r="2483" spans="2:22" x14ac:dyDescent="0.15">
      <c r="B2483" s="1" t="str">
        <f>"186****0604"</f>
        <v>186****0604</v>
      </c>
      <c r="C2483" s="1" t="s">
        <v>23</v>
      </c>
      <c r="D2483" s="1" t="str">
        <f t="shared" si="247"/>
        <v>89177328</v>
      </c>
      <c r="E2483" s="1" t="s">
        <v>24</v>
      </c>
      <c r="F2483" s="1" t="str">
        <f t="shared" si="248"/>
        <v>0010</v>
      </c>
      <c r="G2483" s="1" t="str">
        <f>""</f>
        <v/>
      </c>
      <c r="H2483" s="1" t="str">
        <f t="shared" si="249"/>
        <v>0034</v>
      </c>
      <c r="I2483" s="1" t="s">
        <v>31</v>
      </c>
      <c r="J2483" s="1" t="str">
        <f t="shared" si="250"/>
        <v>01043977568</v>
      </c>
      <c r="K2483" s="1" t="str">
        <f>"2017-03-21 15:13:42"</f>
        <v>2017-03-21 15:13:42</v>
      </c>
      <c r="L2483" s="1" t="str">
        <f t="shared" si="252"/>
        <v>-</v>
      </c>
      <c r="M2483" s="2">
        <v>0</v>
      </c>
      <c r="N2483" s="1" t="s">
        <v>33</v>
      </c>
      <c r="O2483" s="1" t="s">
        <v>34</v>
      </c>
      <c r="P2483" s="2">
        <v>4.6296296296296294E-5</v>
      </c>
      <c r="Q2483" s="1" t="str">
        <f>""</f>
        <v/>
      </c>
      <c r="R2483" s="1">
        <v>0</v>
      </c>
      <c r="S2483" s="1" t="str">
        <f>""</f>
        <v/>
      </c>
      <c r="T2483" s="1" t="s">
        <v>29</v>
      </c>
      <c r="U2483" s="1" t="s">
        <v>30</v>
      </c>
      <c r="V2483" s="1">
        <v>0</v>
      </c>
    </row>
    <row r="2484" spans="2:22" x14ac:dyDescent="0.15">
      <c r="B2484" s="1" t="str">
        <f>"188****7867"</f>
        <v>188****7867</v>
      </c>
      <c r="C2484" s="1" t="s">
        <v>23</v>
      </c>
      <c r="D2484" s="1" t="str">
        <f t="shared" si="247"/>
        <v>89177328</v>
      </c>
      <c r="E2484" s="1" t="s">
        <v>24</v>
      </c>
      <c r="F2484" s="1" t="str">
        <f t="shared" si="248"/>
        <v>0010</v>
      </c>
      <c r="G2484" s="1" t="str">
        <f>""</f>
        <v/>
      </c>
      <c r="H2484" s="1" t="str">
        <f t="shared" si="249"/>
        <v>0034</v>
      </c>
      <c r="I2484" s="1" t="s">
        <v>31</v>
      </c>
      <c r="J2484" s="1" t="str">
        <f t="shared" si="250"/>
        <v>01043977568</v>
      </c>
      <c r="K2484" s="1" t="str">
        <f>"2017-03-21 15:12:43"</f>
        <v>2017-03-21 15:12:43</v>
      </c>
      <c r="L2484" s="1" t="str">
        <f t="shared" si="252"/>
        <v>-</v>
      </c>
      <c r="M2484" s="2">
        <v>0</v>
      </c>
      <c r="N2484" s="1" t="s">
        <v>33</v>
      </c>
      <c r="O2484" s="1" t="s">
        <v>34</v>
      </c>
      <c r="P2484" s="2">
        <v>2.199074074074074E-4</v>
      </c>
      <c r="Q2484" s="1" t="str">
        <f>""</f>
        <v/>
      </c>
      <c r="R2484" s="1">
        <v>0</v>
      </c>
      <c r="S2484" s="1" t="str">
        <f>""</f>
        <v/>
      </c>
      <c r="T2484" s="1" t="s">
        <v>29</v>
      </c>
      <c r="U2484" s="1" t="s">
        <v>30</v>
      </c>
      <c r="V2484" s="1">
        <v>0</v>
      </c>
    </row>
    <row r="2485" spans="2:22" x14ac:dyDescent="0.15">
      <c r="B2485" s="1" t="str">
        <f>"157****4678"</f>
        <v>157****4678</v>
      </c>
      <c r="C2485" s="1" t="s">
        <v>23</v>
      </c>
      <c r="D2485" s="1" t="str">
        <f t="shared" si="247"/>
        <v>89177328</v>
      </c>
      <c r="E2485" s="1" t="s">
        <v>24</v>
      </c>
      <c r="F2485" s="1" t="str">
        <f t="shared" si="248"/>
        <v>0010</v>
      </c>
      <c r="G2485" s="1" t="str">
        <f>""</f>
        <v/>
      </c>
      <c r="H2485" s="1" t="str">
        <f>"0012"</f>
        <v>0012</v>
      </c>
      <c r="I2485" s="1" t="s">
        <v>612</v>
      </c>
      <c r="J2485" s="1" t="str">
        <f>"01043989720"</f>
        <v>01043989720</v>
      </c>
      <c r="K2485" s="1" t="str">
        <f>"2017-03-21 15:11:22"</f>
        <v>2017-03-21 15:11:22</v>
      </c>
      <c r="L2485" s="1" t="str">
        <f t="shared" si="252"/>
        <v>-</v>
      </c>
      <c r="M2485" s="2">
        <v>0</v>
      </c>
      <c r="N2485" s="1" t="s">
        <v>33</v>
      </c>
      <c r="O2485" s="1" t="s">
        <v>34</v>
      </c>
      <c r="P2485" s="2">
        <v>5.7870370370370366E-5</v>
      </c>
      <c r="Q2485" s="1" t="str">
        <f>""</f>
        <v/>
      </c>
      <c r="R2485" s="1">
        <v>0</v>
      </c>
      <c r="S2485" s="1" t="str">
        <f>""</f>
        <v/>
      </c>
      <c r="T2485" s="1" t="s">
        <v>29</v>
      </c>
      <c r="U2485" s="1" t="s">
        <v>30</v>
      </c>
      <c r="V2485" s="1">
        <v>0</v>
      </c>
    </row>
    <row r="2486" spans="2:22" x14ac:dyDescent="0.15">
      <c r="B2486" s="1" t="str">
        <f>"186****0604"</f>
        <v>186****0604</v>
      </c>
      <c r="C2486" s="1" t="s">
        <v>23</v>
      </c>
      <c r="D2486" s="1" t="str">
        <f t="shared" si="247"/>
        <v>89177328</v>
      </c>
      <c r="E2486" s="1" t="s">
        <v>24</v>
      </c>
      <c r="F2486" s="1" t="str">
        <f t="shared" si="248"/>
        <v>0010</v>
      </c>
      <c r="G2486" s="1" t="str">
        <f>""</f>
        <v/>
      </c>
      <c r="H2486" s="1" t="str">
        <f>"0034"</f>
        <v>0034</v>
      </c>
      <c r="I2486" s="1" t="s">
        <v>31</v>
      </c>
      <c r="J2486" s="1" t="str">
        <f>"01043977568"</f>
        <v>01043977568</v>
      </c>
      <c r="K2486" s="1" t="str">
        <f>"2017-03-21 15:09:56"</f>
        <v>2017-03-21 15:09:56</v>
      </c>
      <c r="L2486" s="1" t="str">
        <f t="shared" si="252"/>
        <v>-</v>
      </c>
      <c r="M2486" s="2">
        <v>0</v>
      </c>
      <c r="N2486" s="1" t="s">
        <v>33</v>
      </c>
      <c r="O2486" s="1" t="s">
        <v>34</v>
      </c>
      <c r="P2486" s="2">
        <v>5.7870370370370366E-5</v>
      </c>
      <c r="Q2486" s="1" t="str">
        <f>""</f>
        <v/>
      </c>
      <c r="R2486" s="1">
        <v>0</v>
      </c>
      <c r="S2486" s="1" t="str">
        <f>""</f>
        <v/>
      </c>
      <c r="T2486" s="1" t="s">
        <v>29</v>
      </c>
      <c r="U2486" s="1" t="s">
        <v>30</v>
      </c>
      <c r="V2486" s="1">
        <v>0</v>
      </c>
    </row>
    <row r="2487" spans="2:22" x14ac:dyDescent="0.15">
      <c r="B2487" s="1" t="str">
        <f>"177****0206"</f>
        <v>177****0206</v>
      </c>
      <c r="C2487" s="1" t="s">
        <v>23</v>
      </c>
      <c r="D2487" s="1" t="str">
        <f t="shared" si="247"/>
        <v>89177328</v>
      </c>
      <c r="E2487" s="1" t="s">
        <v>24</v>
      </c>
      <c r="F2487" s="1" t="str">
        <f t="shared" si="248"/>
        <v>0010</v>
      </c>
      <c r="G2487" s="1" t="str">
        <f>""</f>
        <v/>
      </c>
      <c r="H2487" s="1" t="str">
        <f>"0034"</f>
        <v>0034</v>
      </c>
      <c r="I2487" s="1" t="s">
        <v>31</v>
      </c>
      <c r="J2487" s="1" t="str">
        <f>"01043977568"</f>
        <v>01043977568</v>
      </c>
      <c r="K2487" s="1" t="str">
        <f>"2017-03-21 15:09:43"</f>
        <v>2017-03-21 15:09:43</v>
      </c>
      <c r="L2487" s="1" t="str">
        <f t="shared" si="252"/>
        <v>-</v>
      </c>
      <c r="M2487" s="2">
        <v>0</v>
      </c>
      <c r="N2487" s="1" t="s">
        <v>33</v>
      </c>
      <c r="O2487" s="1" t="s">
        <v>34</v>
      </c>
      <c r="P2487" s="2">
        <v>1.273148148148148E-4</v>
      </c>
      <c r="Q2487" s="1" t="str">
        <f>""</f>
        <v/>
      </c>
      <c r="R2487" s="1">
        <v>0</v>
      </c>
      <c r="S2487" s="1" t="str">
        <f>""</f>
        <v/>
      </c>
      <c r="T2487" s="1" t="s">
        <v>29</v>
      </c>
      <c r="U2487" s="1" t="s">
        <v>30</v>
      </c>
      <c r="V2487" s="1">
        <v>0</v>
      </c>
    </row>
    <row r="2488" spans="2:22" x14ac:dyDescent="0.15">
      <c r="B2488" s="1" t="str">
        <f>"186****0604"</f>
        <v>186****0604</v>
      </c>
      <c r="C2488" s="1" t="s">
        <v>23</v>
      </c>
      <c r="D2488" s="1" t="str">
        <f t="shared" si="247"/>
        <v>89177328</v>
      </c>
      <c r="E2488" s="1" t="s">
        <v>24</v>
      </c>
      <c r="F2488" s="1" t="str">
        <f t="shared" si="248"/>
        <v>0010</v>
      </c>
      <c r="G2488" s="1" t="str">
        <f>""</f>
        <v/>
      </c>
      <c r="H2488" s="1" t="str">
        <f>"0032"</f>
        <v>0032</v>
      </c>
      <c r="I2488" s="1" t="s">
        <v>119</v>
      </c>
      <c r="J2488" s="1" t="str">
        <f>"01043977566"</f>
        <v>01043977566</v>
      </c>
      <c r="K2488" s="1" t="str">
        <f>"2017-03-21 15:06:15"</f>
        <v>2017-03-21 15:06:15</v>
      </c>
      <c r="L2488" s="1" t="str">
        <f>"2017-03-21 15:06:30"</f>
        <v>2017-03-21 15:06:30</v>
      </c>
      <c r="M2488" s="2">
        <v>2.199074074074074E-4</v>
      </c>
      <c r="N2488" s="1" t="s">
        <v>26</v>
      </c>
      <c r="O2488" s="1" t="s">
        <v>27</v>
      </c>
      <c r="P2488" s="2">
        <v>3.9351851851851852E-4</v>
      </c>
      <c r="Q2488" s="1" t="s">
        <v>1788</v>
      </c>
      <c r="R2488" s="1">
        <v>0</v>
      </c>
      <c r="S2488" s="1" t="str">
        <f>""</f>
        <v/>
      </c>
      <c r="T2488" s="1" t="s">
        <v>29</v>
      </c>
      <c r="U2488" s="1" t="s">
        <v>30</v>
      </c>
      <c r="V2488" s="1">
        <v>0</v>
      </c>
    </row>
    <row r="2489" spans="2:22" x14ac:dyDescent="0.15">
      <c r="B2489" s="1" t="str">
        <f>"010****1060"</f>
        <v>010****1060</v>
      </c>
      <c r="C2489" s="1" t="s">
        <v>23</v>
      </c>
      <c r="D2489" s="1" t="str">
        <f t="shared" si="247"/>
        <v>89177328</v>
      </c>
      <c r="E2489" s="1" t="s">
        <v>24</v>
      </c>
      <c r="F2489" s="1" t="str">
        <f t="shared" si="248"/>
        <v>0010</v>
      </c>
      <c r="G2489" s="1" t="str">
        <f>""</f>
        <v/>
      </c>
      <c r="H2489" s="1" t="str">
        <f>"0018"</f>
        <v>0018</v>
      </c>
      <c r="I2489" s="1" t="s">
        <v>36</v>
      </c>
      <c r="J2489" s="1" t="str">
        <f>"01043989718"</f>
        <v>01043989718</v>
      </c>
      <c r="K2489" s="1" t="str">
        <f>"2017-03-21 15:03:29"</f>
        <v>2017-03-21 15:03:29</v>
      </c>
      <c r="L2489" s="1" t="str">
        <f>"2017-03-21 15:03:39"</f>
        <v>2017-03-21 15:03:39</v>
      </c>
      <c r="M2489" s="2">
        <v>4.1435185185185186E-3</v>
      </c>
      <c r="N2489" s="1" t="s">
        <v>26</v>
      </c>
      <c r="O2489" s="1" t="s">
        <v>34</v>
      </c>
      <c r="P2489" s="2">
        <v>4.2592592592592595E-3</v>
      </c>
      <c r="Q2489" s="1" t="s">
        <v>1789</v>
      </c>
      <c r="R2489" s="1">
        <v>0</v>
      </c>
      <c r="S2489" s="1" t="str">
        <f>""</f>
        <v/>
      </c>
      <c r="T2489" s="1" t="s">
        <v>29</v>
      </c>
      <c r="U2489" s="1" t="s">
        <v>30</v>
      </c>
      <c r="V2489" s="1">
        <v>0</v>
      </c>
    </row>
    <row r="2490" spans="2:22" x14ac:dyDescent="0.15">
      <c r="B2490" s="1" t="str">
        <f>"186****0604"</f>
        <v>186****0604</v>
      </c>
      <c r="C2490" s="1" t="s">
        <v>23</v>
      </c>
      <c r="D2490" s="1" t="str">
        <f t="shared" si="247"/>
        <v>89177328</v>
      </c>
      <c r="E2490" s="1" t="s">
        <v>24</v>
      </c>
      <c r="F2490" s="1" t="str">
        <f t="shared" si="248"/>
        <v>0010</v>
      </c>
      <c r="G2490" s="1" t="str">
        <f>""</f>
        <v/>
      </c>
      <c r="H2490" s="1" t="str">
        <f>"0018"</f>
        <v>0018</v>
      </c>
      <c r="I2490" s="1" t="s">
        <v>36</v>
      </c>
      <c r="J2490" s="1" t="str">
        <f>"01043989718"</f>
        <v>01043989718</v>
      </c>
      <c r="K2490" s="1" t="str">
        <f>"2017-03-21 15:01:36"</f>
        <v>2017-03-21 15:01:36</v>
      </c>
      <c r="L2490" s="1" t="str">
        <f>"-"</f>
        <v>-</v>
      </c>
      <c r="M2490" s="2">
        <v>0</v>
      </c>
      <c r="N2490" s="1" t="s">
        <v>33</v>
      </c>
      <c r="O2490" s="1" t="s">
        <v>34</v>
      </c>
      <c r="P2490" s="2">
        <v>2.3148148148148147E-5</v>
      </c>
      <c r="Q2490" s="1" t="str">
        <f>""</f>
        <v/>
      </c>
      <c r="R2490" s="1">
        <v>0</v>
      </c>
      <c r="S2490" s="1" t="str">
        <f>""</f>
        <v/>
      </c>
      <c r="T2490" s="1" t="s">
        <v>29</v>
      </c>
      <c r="U2490" s="1" t="s">
        <v>30</v>
      </c>
      <c r="V2490" s="1">
        <v>0</v>
      </c>
    </row>
    <row r="2491" spans="2:22" x14ac:dyDescent="0.15">
      <c r="B2491" s="1" t="str">
        <f>"131****8895"</f>
        <v>131****8895</v>
      </c>
      <c r="C2491" s="1" t="s">
        <v>379</v>
      </c>
      <c r="D2491" s="1" t="str">
        <f t="shared" si="247"/>
        <v>89177328</v>
      </c>
      <c r="E2491" s="1" t="s">
        <v>24</v>
      </c>
      <c r="F2491" s="1" t="str">
        <f t="shared" si="248"/>
        <v>0010</v>
      </c>
      <c r="G2491" s="1" t="str">
        <f>""</f>
        <v/>
      </c>
      <c r="H2491" s="1" t="str">
        <f>"0032"</f>
        <v>0032</v>
      </c>
      <c r="I2491" s="1" t="s">
        <v>119</v>
      </c>
      <c r="J2491" s="1" t="str">
        <f>"01043977566"</f>
        <v>01043977566</v>
      </c>
      <c r="K2491" s="1" t="str">
        <f>"2017-03-21 14:54:42"</f>
        <v>2017-03-21 14:54:42</v>
      </c>
      <c r="L2491" s="1" t="str">
        <f>"2017-03-21 14:54:52"</f>
        <v>2017-03-21 14:54:52</v>
      </c>
      <c r="M2491" s="2">
        <v>3.1250000000000001E-4</v>
      </c>
      <c r="N2491" s="1" t="s">
        <v>26</v>
      </c>
      <c r="O2491" s="1" t="s">
        <v>34</v>
      </c>
      <c r="P2491" s="2">
        <v>4.2824074074074075E-4</v>
      </c>
      <c r="Q2491" s="1" t="s">
        <v>1790</v>
      </c>
      <c r="R2491" s="1">
        <v>0</v>
      </c>
      <c r="S2491" s="1" t="str">
        <f>""</f>
        <v/>
      </c>
      <c r="T2491" s="1" t="s">
        <v>29</v>
      </c>
      <c r="U2491" s="1" t="s">
        <v>30</v>
      </c>
      <c r="V2491" s="1">
        <v>0</v>
      </c>
    </row>
    <row r="2492" spans="2:22" x14ac:dyDescent="0.15">
      <c r="B2492" s="1" t="str">
        <f>"139****9661"</f>
        <v>139****9661</v>
      </c>
      <c r="C2492" s="1" t="s">
        <v>531</v>
      </c>
      <c r="D2492" s="1" t="str">
        <f t="shared" si="247"/>
        <v>89177328</v>
      </c>
      <c r="E2492" s="1" t="s">
        <v>24</v>
      </c>
      <c r="F2492" s="1" t="str">
        <f t="shared" si="248"/>
        <v>0010</v>
      </c>
      <c r="G2492" s="1" t="str">
        <f>""</f>
        <v/>
      </c>
      <c r="H2492" s="1" t="str">
        <f>"0017"</f>
        <v>0017</v>
      </c>
      <c r="I2492" s="1" t="s">
        <v>135</v>
      </c>
      <c r="J2492" s="1" t="str">
        <f>"01043989717"</f>
        <v>01043989717</v>
      </c>
      <c r="K2492" s="1" t="str">
        <f>"2017-03-21 14:52:18"</f>
        <v>2017-03-21 14:52:18</v>
      </c>
      <c r="L2492" s="1" t="str">
        <f>"2017-03-21 14:52:28"</f>
        <v>2017-03-21 14:52:28</v>
      </c>
      <c r="M2492" s="2">
        <v>1.2418981481481482E-2</v>
      </c>
      <c r="N2492" s="1" t="s">
        <v>26</v>
      </c>
      <c r="O2492" s="1" t="s">
        <v>34</v>
      </c>
      <c r="P2492" s="2">
        <v>1.2534722222222223E-2</v>
      </c>
      <c r="Q2492" s="1" t="s">
        <v>1791</v>
      </c>
      <c r="R2492" s="1">
        <v>0</v>
      </c>
      <c r="S2492" s="1" t="str">
        <f>""</f>
        <v/>
      </c>
      <c r="T2492" s="1" t="s">
        <v>29</v>
      </c>
      <c r="U2492" s="1" t="s">
        <v>30</v>
      </c>
      <c r="V2492" s="1">
        <v>0</v>
      </c>
    </row>
    <row r="2493" spans="2:22" x14ac:dyDescent="0.15">
      <c r="B2493" s="1" t="str">
        <f>"186****2050"</f>
        <v>186****2050</v>
      </c>
      <c r="C2493" s="1" t="s">
        <v>23</v>
      </c>
      <c r="D2493" s="1" t="str">
        <f t="shared" si="247"/>
        <v>89177328</v>
      </c>
      <c r="E2493" s="1" t="s">
        <v>24</v>
      </c>
      <c r="F2493" s="1" t="str">
        <f t="shared" si="248"/>
        <v>0010</v>
      </c>
      <c r="G2493" s="1" t="str">
        <f>""</f>
        <v/>
      </c>
      <c r="H2493" s="1" t="str">
        <f>"0017"</f>
        <v>0017</v>
      </c>
      <c r="I2493" s="1" t="s">
        <v>135</v>
      </c>
      <c r="J2493" s="1" t="str">
        <f>"01043989717"</f>
        <v>01043989717</v>
      </c>
      <c r="K2493" s="1" t="str">
        <f>"2017-03-21 14:40:07"</f>
        <v>2017-03-21 14:40:07</v>
      </c>
      <c r="L2493" s="1" t="str">
        <f>"-"</f>
        <v>-</v>
      </c>
      <c r="M2493" s="2">
        <v>0</v>
      </c>
      <c r="N2493" s="1" t="s">
        <v>33</v>
      </c>
      <c r="O2493" s="1" t="s">
        <v>34</v>
      </c>
      <c r="P2493" s="2">
        <v>2.3148148148148147E-5</v>
      </c>
      <c r="Q2493" s="1" t="str">
        <f>""</f>
        <v/>
      </c>
      <c r="R2493" s="1">
        <v>0</v>
      </c>
      <c r="S2493" s="1" t="str">
        <f>""</f>
        <v/>
      </c>
      <c r="T2493" s="1" t="s">
        <v>29</v>
      </c>
      <c r="U2493" s="1" t="s">
        <v>30</v>
      </c>
      <c r="V2493" s="1">
        <v>0</v>
      </c>
    </row>
    <row r="2494" spans="2:22" x14ac:dyDescent="0.15">
      <c r="B2494" s="1" t="str">
        <f>"153****7097"</f>
        <v>153****7097</v>
      </c>
      <c r="C2494" s="1" t="s">
        <v>99</v>
      </c>
      <c r="D2494" s="1" t="str">
        <f>"4000108333"</f>
        <v>4000108333</v>
      </c>
      <c r="E2494" s="1" t="s">
        <v>53</v>
      </c>
      <c r="F2494" s="1" t="str">
        <f>"0000"</f>
        <v>0000</v>
      </c>
      <c r="G2494" s="1" t="str">
        <f>""</f>
        <v/>
      </c>
      <c r="H2494" s="1" t="str">
        <f>"0018"</f>
        <v>0018</v>
      </c>
      <c r="I2494" s="1" t="s">
        <v>36</v>
      </c>
      <c r="J2494" s="1" t="str">
        <f>"01043989718"</f>
        <v>01043989718</v>
      </c>
      <c r="K2494" s="1" t="str">
        <f>"2017-03-21 14:34:40"</f>
        <v>2017-03-21 14:34:40</v>
      </c>
      <c r="L2494" s="1" t="str">
        <f>"2017-03-21 14:35:14"</f>
        <v>2017-03-21 14:35:14</v>
      </c>
      <c r="M2494" s="2">
        <v>5.4976851851851853E-3</v>
      </c>
      <c r="N2494" s="1" t="s">
        <v>26</v>
      </c>
      <c r="O2494" s="1" t="s">
        <v>34</v>
      </c>
      <c r="P2494" s="2">
        <v>5.8912037037037032E-3</v>
      </c>
      <c r="Q2494" s="1" t="s">
        <v>1792</v>
      </c>
      <c r="R2494" s="1">
        <v>1.08</v>
      </c>
      <c r="S2494" s="1" t="str">
        <f>""</f>
        <v/>
      </c>
      <c r="T2494" s="1" t="s">
        <v>29</v>
      </c>
      <c r="U2494" s="1" t="s">
        <v>30</v>
      </c>
      <c r="V2494" s="1">
        <v>0</v>
      </c>
    </row>
    <row r="2495" spans="2:22" x14ac:dyDescent="0.15">
      <c r="B2495" s="1" t="str">
        <f>"010****1283"</f>
        <v>010****1283</v>
      </c>
      <c r="C2495" s="1" t="s">
        <v>23</v>
      </c>
      <c r="D2495" s="1" t="str">
        <f t="shared" ref="D2495:D2501" si="253">"89177328"</f>
        <v>89177328</v>
      </c>
      <c r="E2495" s="1" t="s">
        <v>24</v>
      </c>
      <c r="F2495" s="1" t="str">
        <f t="shared" ref="F2495:F2501" si="254">"0010"</f>
        <v>0010</v>
      </c>
      <c r="G2495" s="1" t="str">
        <f>""</f>
        <v/>
      </c>
      <c r="H2495" s="1" t="str">
        <f>"0032"</f>
        <v>0032</v>
      </c>
      <c r="I2495" s="1" t="s">
        <v>119</v>
      </c>
      <c r="J2495" s="1" t="str">
        <f>"01043977566"</f>
        <v>01043977566</v>
      </c>
      <c r="K2495" s="1" t="str">
        <f>"2017-03-21 14:33:35"</f>
        <v>2017-03-21 14:33:35</v>
      </c>
      <c r="L2495" s="1" t="str">
        <f>"2017-03-21 14:33:47"</f>
        <v>2017-03-21 14:33:47</v>
      </c>
      <c r="M2495" s="2">
        <v>2.1180555555555553E-3</v>
      </c>
      <c r="N2495" s="1" t="s">
        <v>26</v>
      </c>
      <c r="O2495" s="1" t="s">
        <v>34</v>
      </c>
      <c r="P2495" s="2">
        <v>2.2569444444444447E-3</v>
      </c>
      <c r="Q2495" s="1" t="s">
        <v>1793</v>
      </c>
      <c r="R2495" s="1">
        <v>0</v>
      </c>
      <c r="S2495" s="1" t="str">
        <f>""</f>
        <v/>
      </c>
      <c r="T2495" s="1" t="s">
        <v>29</v>
      </c>
      <c r="U2495" s="1" t="s">
        <v>30</v>
      </c>
      <c r="V2495" s="1">
        <v>0</v>
      </c>
    </row>
    <row r="2496" spans="2:22" x14ac:dyDescent="0.15">
      <c r="B2496" s="1" t="str">
        <f>"158****5299"</f>
        <v>158****5299</v>
      </c>
      <c r="C2496" s="1" t="s">
        <v>23</v>
      </c>
      <c r="D2496" s="1" t="str">
        <f t="shared" si="253"/>
        <v>89177328</v>
      </c>
      <c r="E2496" s="1" t="s">
        <v>24</v>
      </c>
      <c r="F2496" s="1" t="str">
        <f t="shared" si="254"/>
        <v>0010</v>
      </c>
      <c r="G2496" s="1" t="str">
        <f>""</f>
        <v/>
      </c>
      <c r="H2496" s="1" t="str">
        <f>"0035"</f>
        <v>0035</v>
      </c>
      <c r="I2496" s="1" t="s">
        <v>25</v>
      </c>
      <c r="J2496" s="1" t="str">
        <f>"01043977569"</f>
        <v>01043977569</v>
      </c>
      <c r="K2496" s="1" t="str">
        <f>"2017-03-21 14:31:01"</f>
        <v>2017-03-21 14:31:01</v>
      </c>
      <c r="L2496" s="1" t="str">
        <f>"2017-03-21 14:31:19"</f>
        <v>2017-03-21 14:31:19</v>
      </c>
      <c r="M2496" s="2">
        <v>2.5115740740740741E-3</v>
      </c>
      <c r="N2496" s="1" t="s">
        <v>26</v>
      </c>
      <c r="O2496" s="1" t="s">
        <v>27</v>
      </c>
      <c r="P2496" s="2">
        <v>2.7199074074074074E-3</v>
      </c>
      <c r="Q2496" s="1" t="s">
        <v>1794</v>
      </c>
      <c r="R2496" s="1">
        <v>0</v>
      </c>
      <c r="S2496" s="1" t="str">
        <f>""</f>
        <v/>
      </c>
      <c r="T2496" s="1" t="s">
        <v>29</v>
      </c>
      <c r="U2496" s="1" t="s">
        <v>30</v>
      </c>
      <c r="V2496" s="1">
        <v>0</v>
      </c>
    </row>
    <row r="2497" spans="2:22" x14ac:dyDescent="0.15">
      <c r="B2497" s="1" t="str">
        <f>"135****9107"</f>
        <v>135****9107</v>
      </c>
      <c r="C2497" s="1" t="s">
        <v>23</v>
      </c>
      <c r="D2497" s="1" t="str">
        <f t="shared" si="253"/>
        <v>89177328</v>
      </c>
      <c r="E2497" s="1" t="s">
        <v>24</v>
      </c>
      <c r="F2497" s="1" t="str">
        <f t="shared" si="254"/>
        <v>0010</v>
      </c>
      <c r="G2497" s="1" t="str">
        <f>""</f>
        <v/>
      </c>
      <c r="H2497" s="1" t="str">
        <f>"0032"</f>
        <v>0032</v>
      </c>
      <c r="I2497" s="1" t="s">
        <v>119</v>
      </c>
      <c r="J2497" s="1" t="str">
        <f>"01043977566"</f>
        <v>01043977566</v>
      </c>
      <c r="K2497" s="1" t="str">
        <f>"2017-03-21 14:18:39"</f>
        <v>2017-03-21 14:18:39</v>
      </c>
      <c r="L2497" s="1" t="str">
        <f>"2017-03-21 14:18:52"</f>
        <v>2017-03-21 14:18:52</v>
      </c>
      <c r="M2497" s="2">
        <v>2.4074074074074076E-3</v>
      </c>
      <c r="N2497" s="1" t="s">
        <v>26</v>
      </c>
      <c r="O2497" s="1" t="s">
        <v>34</v>
      </c>
      <c r="P2497" s="2">
        <v>2.5578703703703705E-3</v>
      </c>
      <c r="Q2497" s="1" t="s">
        <v>1795</v>
      </c>
      <c r="R2497" s="1">
        <v>0</v>
      </c>
      <c r="S2497" s="1" t="str">
        <f>""</f>
        <v/>
      </c>
      <c r="T2497" s="1" t="s">
        <v>29</v>
      </c>
      <c r="U2497" s="1" t="s">
        <v>30</v>
      </c>
      <c r="V2497" s="1">
        <v>0</v>
      </c>
    </row>
    <row r="2498" spans="2:22" x14ac:dyDescent="0.15">
      <c r="B2498" s="1" t="str">
        <f>"139****2902"</f>
        <v>139****2902</v>
      </c>
      <c r="C2498" s="1" t="s">
        <v>99</v>
      </c>
      <c r="D2498" s="1" t="str">
        <f t="shared" si="253"/>
        <v>89177328</v>
      </c>
      <c r="E2498" s="1" t="s">
        <v>24</v>
      </c>
      <c r="F2498" s="1" t="str">
        <f t="shared" si="254"/>
        <v>0010</v>
      </c>
      <c r="G2498" s="1" t="str">
        <f>""</f>
        <v/>
      </c>
      <c r="H2498" s="1" t="str">
        <f>"0017"</f>
        <v>0017</v>
      </c>
      <c r="I2498" s="1" t="s">
        <v>135</v>
      </c>
      <c r="J2498" s="1" t="str">
        <f>"01043989717"</f>
        <v>01043989717</v>
      </c>
      <c r="K2498" s="1" t="str">
        <f>"2017-03-21 14:15:38"</f>
        <v>2017-03-21 14:15:38</v>
      </c>
      <c r="L2498" s="1" t="str">
        <f>"2017-03-21 14:15:46"</f>
        <v>2017-03-21 14:15:46</v>
      </c>
      <c r="M2498" s="2">
        <v>9.5486111111111101E-3</v>
      </c>
      <c r="N2498" s="1" t="s">
        <v>26</v>
      </c>
      <c r="O2498" s="1" t="s">
        <v>34</v>
      </c>
      <c r="P2498" s="2">
        <v>9.6412037037037039E-3</v>
      </c>
      <c r="Q2498" s="1" t="s">
        <v>1796</v>
      </c>
      <c r="R2498" s="1">
        <v>0</v>
      </c>
      <c r="S2498" s="1" t="str">
        <f>""</f>
        <v/>
      </c>
      <c r="T2498" s="1" t="s">
        <v>29</v>
      </c>
      <c r="U2498" s="1" t="s">
        <v>30</v>
      </c>
      <c r="V2498" s="1">
        <v>0</v>
      </c>
    </row>
    <row r="2499" spans="2:22" x14ac:dyDescent="0.15">
      <c r="B2499" s="1" t="str">
        <f>"157****2061"</f>
        <v>157****2061</v>
      </c>
      <c r="C2499" s="1" t="s">
        <v>113</v>
      </c>
      <c r="D2499" s="1" t="str">
        <f t="shared" si="253"/>
        <v>89177328</v>
      </c>
      <c r="E2499" s="1" t="s">
        <v>24</v>
      </c>
      <c r="F2499" s="1" t="str">
        <f t="shared" si="254"/>
        <v>0010</v>
      </c>
      <c r="G2499" s="1" t="str">
        <f>""</f>
        <v/>
      </c>
      <c r="H2499" s="1" t="str">
        <f>"0033"</f>
        <v>0033</v>
      </c>
      <c r="I2499" s="1" t="s">
        <v>106</v>
      </c>
      <c r="J2499" s="1" t="str">
        <f>"01043977567"</f>
        <v>01043977567</v>
      </c>
      <c r="K2499" s="1" t="str">
        <f>"2017-03-21 14:12:20"</f>
        <v>2017-03-21 14:12:20</v>
      </c>
      <c r="L2499" s="1" t="str">
        <f>"2017-03-21 14:12:28"</f>
        <v>2017-03-21 14:12:28</v>
      </c>
      <c r="M2499" s="2">
        <v>3.0787037037037037E-3</v>
      </c>
      <c r="N2499" s="1" t="s">
        <v>26</v>
      </c>
      <c r="O2499" s="1" t="s">
        <v>34</v>
      </c>
      <c r="P2499" s="2">
        <v>3.1712962962962958E-3</v>
      </c>
      <c r="Q2499" s="1" t="s">
        <v>1797</v>
      </c>
      <c r="R2499" s="1">
        <v>0</v>
      </c>
      <c r="S2499" s="1" t="str">
        <f>""</f>
        <v/>
      </c>
      <c r="T2499" s="1" t="s">
        <v>29</v>
      </c>
      <c r="U2499" s="1" t="s">
        <v>30</v>
      </c>
      <c r="V2499" s="1">
        <v>0</v>
      </c>
    </row>
    <row r="2500" spans="2:22" x14ac:dyDescent="0.15">
      <c r="B2500" s="1" t="str">
        <f>"139****2902"</f>
        <v>139****2902</v>
      </c>
      <c r="C2500" s="1" t="s">
        <v>99</v>
      </c>
      <c r="D2500" s="1" t="str">
        <f t="shared" si="253"/>
        <v>89177328</v>
      </c>
      <c r="E2500" s="1" t="s">
        <v>24</v>
      </c>
      <c r="F2500" s="1" t="str">
        <f t="shared" si="254"/>
        <v>0010</v>
      </c>
      <c r="G2500" s="1" t="str">
        <f>""</f>
        <v/>
      </c>
      <c r="H2500" s="1" t="str">
        <f>"0033"</f>
        <v>0033</v>
      </c>
      <c r="I2500" s="1" t="s">
        <v>106</v>
      </c>
      <c r="J2500" s="1" t="str">
        <f>"01043977567"</f>
        <v>01043977567</v>
      </c>
      <c r="K2500" s="1" t="str">
        <f>"2017-03-21 14:06:08"</f>
        <v>2017-03-21 14:06:08</v>
      </c>
      <c r="L2500" s="1" t="str">
        <f>"2017-03-21 14:06:18"</f>
        <v>2017-03-21 14:06:18</v>
      </c>
      <c r="M2500" s="2">
        <v>3.2754629629629631E-3</v>
      </c>
      <c r="N2500" s="1" t="s">
        <v>26</v>
      </c>
      <c r="O2500" s="1" t="s">
        <v>27</v>
      </c>
      <c r="P2500" s="2">
        <v>3.3912037037037036E-3</v>
      </c>
      <c r="Q2500" s="1" t="s">
        <v>1798</v>
      </c>
      <c r="R2500" s="1">
        <v>0</v>
      </c>
      <c r="S2500" s="1" t="str">
        <f>""</f>
        <v/>
      </c>
      <c r="T2500" s="1" t="s">
        <v>29</v>
      </c>
      <c r="U2500" s="1" t="s">
        <v>30</v>
      </c>
      <c r="V2500" s="1">
        <v>0</v>
      </c>
    </row>
    <row r="2501" spans="2:22" x14ac:dyDescent="0.15">
      <c r="B2501" s="1" t="str">
        <f>"188****1810"</f>
        <v>188****1810</v>
      </c>
      <c r="C2501" s="1" t="s">
        <v>51</v>
      </c>
      <c r="D2501" s="1" t="str">
        <f t="shared" si="253"/>
        <v>89177328</v>
      </c>
      <c r="E2501" s="1" t="s">
        <v>24</v>
      </c>
      <c r="F2501" s="1" t="str">
        <f t="shared" si="254"/>
        <v>0010</v>
      </c>
      <c r="G2501" s="1" t="str">
        <f>""</f>
        <v/>
      </c>
      <c r="H2501" s="1" t="str">
        <f>"0010"</f>
        <v>0010</v>
      </c>
      <c r="I2501" s="1" t="s">
        <v>71</v>
      </c>
      <c r="J2501" s="1" t="str">
        <f>"01043989719"</f>
        <v>01043989719</v>
      </c>
      <c r="K2501" s="1" t="str">
        <f>"2017-03-21 13:55:19"</f>
        <v>2017-03-21 13:55:19</v>
      </c>
      <c r="L2501" s="1" t="str">
        <f>"2017-03-21 13:55:27"</f>
        <v>2017-03-21 13:55:27</v>
      </c>
      <c r="M2501" s="2">
        <v>3.645833333333333E-3</v>
      </c>
      <c r="N2501" s="1" t="s">
        <v>26</v>
      </c>
      <c r="O2501" s="1" t="s">
        <v>34</v>
      </c>
      <c r="P2501" s="2">
        <v>3.7384259259259263E-3</v>
      </c>
      <c r="Q2501" s="1" t="s">
        <v>1799</v>
      </c>
      <c r="R2501" s="1">
        <v>0</v>
      </c>
      <c r="S2501" s="1" t="str">
        <f>""</f>
        <v/>
      </c>
      <c r="T2501" s="1" t="s">
        <v>29</v>
      </c>
      <c r="U2501" s="1" t="s">
        <v>30</v>
      </c>
      <c r="V2501" s="1">
        <v>0</v>
      </c>
    </row>
    <row r="2502" spans="2:22" x14ac:dyDescent="0.15">
      <c r="B2502" s="1" t="str">
        <f>"153****8073"</f>
        <v>153****8073</v>
      </c>
      <c r="C2502" s="1" t="s">
        <v>1800</v>
      </c>
      <c r="D2502" s="1" t="str">
        <f>"4000108333"</f>
        <v>4000108333</v>
      </c>
      <c r="E2502" s="1" t="s">
        <v>53</v>
      </c>
      <c r="F2502" s="1" t="str">
        <f>""</f>
        <v/>
      </c>
      <c r="G2502" s="1" t="str">
        <f>""</f>
        <v/>
      </c>
      <c r="H2502" s="1" t="str">
        <f>""</f>
        <v/>
      </c>
      <c r="I2502" s="1" t="str">
        <f>""</f>
        <v/>
      </c>
      <c r="J2502" s="1" t="str">
        <f>""</f>
        <v/>
      </c>
      <c r="K2502" s="1" t="str">
        <f>"2017-03-21 13:44:15"</f>
        <v>2017-03-21 13:44:15</v>
      </c>
      <c r="L2502" s="1" t="str">
        <f>"-"</f>
        <v>-</v>
      </c>
      <c r="M2502" s="2">
        <v>0</v>
      </c>
      <c r="N2502" s="1" t="s">
        <v>55</v>
      </c>
      <c r="O2502" s="1" t="s">
        <v>34</v>
      </c>
      <c r="P2502" s="2">
        <v>3.0092592592592595E-4</v>
      </c>
      <c r="Q2502" s="1" t="str">
        <f>""</f>
        <v/>
      </c>
      <c r="R2502" s="1">
        <v>0.12</v>
      </c>
      <c r="S2502" s="1" t="str">
        <f>""</f>
        <v/>
      </c>
      <c r="T2502" s="1" t="s">
        <v>29</v>
      </c>
      <c r="U2502" s="1" t="s">
        <v>30</v>
      </c>
      <c r="V2502" s="1">
        <v>0</v>
      </c>
    </row>
    <row r="2503" spans="2:22" x14ac:dyDescent="0.15">
      <c r="B2503" s="1" t="str">
        <f>"186****3745"</f>
        <v>186****3745</v>
      </c>
      <c r="C2503" s="1" t="s">
        <v>23</v>
      </c>
      <c r="D2503" s="1" t="str">
        <f>"89177328"</f>
        <v>89177328</v>
      </c>
      <c r="E2503" s="1" t="s">
        <v>24</v>
      </c>
      <c r="F2503" s="1" t="str">
        <f>"0010"</f>
        <v>0010</v>
      </c>
      <c r="G2503" s="1" t="str">
        <f>""</f>
        <v/>
      </c>
      <c r="H2503" s="1" t="str">
        <f>"0010"</f>
        <v>0010</v>
      </c>
      <c r="I2503" s="1" t="s">
        <v>71</v>
      </c>
      <c r="J2503" s="1" t="str">
        <f>"01043989719"</f>
        <v>01043989719</v>
      </c>
      <c r="K2503" s="1" t="str">
        <f>"2017-03-21 13:36:24"</f>
        <v>2017-03-21 13:36:24</v>
      </c>
      <c r="L2503" s="1" t="str">
        <f>"2017-03-21 13:36:34"</f>
        <v>2017-03-21 13:36:34</v>
      </c>
      <c r="M2503" s="2">
        <v>6.5509259259259262E-3</v>
      </c>
      <c r="N2503" s="1" t="s">
        <v>26</v>
      </c>
      <c r="O2503" s="1" t="s">
        <v>27</v>
      </c>
      <c r="P2503" s="2">
        <v>6.6666666666666671E-3</v>
      </c>
      <c r="Q2503" s="1" t="s">
        <v>1801</v>
      </c>
      <c r="R2503" s="1">
        <v>0</v>
      </c>
      <c r="S2503" s="1" t="str">
        <f>""</f>
        <v/>
      </c>
      <c r="T2503" s="1" t="s">
        <v>29</v>
      </c>
      <c r="U2503" s="1" t="s">
        <v>30</v>
      </c>
      <c r="V2503" s="1">
        <v>0</v>
      </c>
    </row>
    <row r="2504" spans="2:22" x14ac:dyDescent="0.15">
      <c r="B2504" s="1" t="str">
        <f>"00852****4240"</f>
        <v>00852****4240</v>
      </c>
      <c r="C2504" s="1" t="s">
        <v>635</v>
      </c>
      <c r="D2504" s="1" t="str">
        <f>"4000108333"</f>
        <v>4000108333</v>
      </c>
      <c r="E2504" s="1" t="s">
        <v>53</v>
      </c>
      <c r="F2504" s="1" t="str">
        <f>""</f>
        <v/>
      </c>
      <c r="G2504" s="1" t="str">
        <f>""</f>
        <v/>
      </c>
      <c r="H2504" s="1" t="str">
        <f>""</f>
        <v/>
      </c>
      <c r="I2504" s="1" t="str">
        <f>""</f>
        <v/>
      </c>
      <c r="J2504" s="1" t="str">
        <f>""</f>
        <v/>
      </c>
      <c r="K2504" s="1" t="str">
        <f>"2017-03-21 13:34:01"</f>
        <v>2017-03-21 13:34:01</v>
      </c>
      <c r="L2504" s="1" t="str">
        <f>"-"</f>
        <v>-</v>
      </c>
      <c r="M2504" s="2">
        <v>0</v>
      </c>
      <c r="N2504" s="1" t="s">
        <v>55</v>
      </c>
      <c r="O2504" s="1" t="s">
        <v>34</v>
      </c>
      <c r="P2504" s="2">
        <v>9.2592592592592588E-5</v>
      </c>
      <c r="Q2504" s="1" t="str">
        <f>""</f>
        <v/>
      </c>
      <c r="R2504" s="1">
        <v>0.12</v>
      </c>
      <c r="S2504" s="1" t="str">
        <f>""</f>
        <v/>
      </c>
      <c r="T2504" s="1" t="s">
        <v>29</v>
      </c>
      <c r="U2504" s="1" t="s">
        <v>30</v>
      </c>
      <c r="V2504" s="1">
        <v>0</v>
      </c>
    </row>
    <row r="2505" spans="2:22" x14ac:dyDescent="0.15">
      <c r="B2505" s="1" t="str">
        <f>"010****7252"</f>
        <v>010****7252</v>
      </c>
      <c r="C2505" s="1" t="s">
        <v>23</v>
      </c>
      <c r="D2505" s="1" t="str">
        <f t="shared" ref="D2505:D2521" si="255">"89177328"</f>
        <v>89177328</v>
      </c>
      <c r="E2505" s="1" t="s">
        <v>24</v>
      </c>
      <c r="F2505" s="1" t="str">
        <f t="shared" ref="F2505:F2521" si="256">"0010"</f>
        <v>0010</v>
      </c>
      <c r="G2505" s="1" t="str">
        <f>""</f>
        <v/>
      </c>
      <c r="H2505" s="1" t="str">
        <f>"0012"</f>
        <v>0012</v>
      </c>
      <c r="I2505" s="1" t="s">
        <v>612</v>
      </c>
      <c r="J2505" s="1" t="str">
        <f>"01043989720"</f>
        <v>01043989720</v>
      </c>
      <c r="K2505" s="1" t="str">
        <f>"2017-03-21 13:23:22"</f>
        <v>2017-03-21 13:23:22</v>
      </c>
      <c r="L2505" s="1" t="str">
        <f>"2017-03-21 13:23:33"</f>
        <v>2017-03-21 13:23:33</v>
      </c>
      <c r="M2505" s="2">
        <v>1.5150462962962963E-2</v>
      </c>
      <c r="N2505" s="1" t="s">
        <v>26</v>
      </c>
      <c r="O2505" s="1" t="s">
        <v>27</v>
      </c>
      <c r="P2505" s="2">
        <v>1.5277777777777777E-2</v>
      </c>
      <c r="Q2505" s="1" t="s">
        <v>1802</v>
      </c>
      <c r="R2505" s="1">
        <v>0</v>
      </c>
      <c r="S2505" s="1" t="str">
        <f>""</f>
        <v/>
      </c>
      <c r="T2505" s="1" t="s">
        <v>29</v>
      </c>
      <c r="U2505" s="1" t="s">
        <v>30</v>
      </c>
      <c r="V2505" s="1">
        <v>0</v>
      </c>
    </row>
    <row r="2506" spans="2:22" x14ac:dyDescent="0.15">
      <c r="B2506" s="1" t="str">
        <f>"010****9376"</f>
        <v>010****9376</v>
      </c>
      <c r="C2506" s="1" t="s">
        <v>23</v>
      </c>
      <c r="D2506" s="1" t="str">
        <f t="shared" si="255"/>
        <v>89177328</v>
      </c>
      <c r="E2506" s="1" t="s">
        <v>24</v>
      </c>
      <c r="F2506" s="1" t="str">
        <f t="shared" si="256"/>
        <v>0010</v>
      </c>
      <c r="G2506" s="1" t="str">
        <f>""</f>
        <v/>
      </c>
      <c r="H2506" s="1" t="str">
        <f>"0012"</f>
        <v>0012</v>
      </c>
      <c r="I2506" s="1" t="s">
        <v>612</v>
      </c>
      <c r="J2506" s="1" t="str">
        <f>"01043989720"</f>
        <v>01043989720</v>
      </c>
      <c r="K2506" s="1" t="str">
        <f>"2017-03-21 13:18:58"</f>
        <v>2017-03-21 13:18:58</v>
      </c>
      <c r="L2506" s="1" t="str">
        <f>"2017-03-21 13:19:11"</f>
        <v>2017-03-21 13:19:11</v>
      </c>
      <c r="M2506" s="2">
        <v>3.1250000000000001E-4</v>
      </c>
      <c r="N2506" s="1" t="s">
        <v>26</v>
      </c>
      <c r="O2506" s="1" t="s">
        <v>27</v>
      </c>
      <c r="P2506" s="2">
        <v>4.6296296296296293E-4</v>
      </c>
      <c r="Q2506" s="1" t="s">
        <v>1803</v>
      </c>
      <c r="R2506" s="1">
        <v>0</v>
      </c>
      <c r="S2506" s="1" t="str">
        <f>""</f>
        <v/>
      </c>
      <c r="T2506" s="1" t="s">
        <v>29</v>
      </c>
      <c r="U2506" s="1" t="s">
        <v>30</v>
      </c>
      <c r="V2506" s="1">
        <v>0</v>
      </c>
    </row>
    <row r="2507" spans="2:22" x14ac:dyDescent="0.15">
      <c r="B2507" s="1" t="str">
        <f>"139****5128"</f>
        <v>139****5128</v>
      </c>
      <c r="C2507" s="1" t="s">
        <v>23</v>
      </c>
      <c r="D2507" s="1" t="str">
        <f t="shared" si="255"/>
        <v>89177328</v>
      </c>
      <c r="E2507" s="1" t="s">
        <v>24</v>
      </c>
      <c r="F2507" s="1" t="str">
        <f t="shared" si="256"/>
        <v>0010</v>
      </c>
      <c r="G2507" s="1" t="str">
        <f>""</f>
        <v/>
      </c>
      <c r="H2507" s="1" t="str">
        <f>"0010"</f>
        <v>0010</v>
      </c>
      <c r="I2507" s="1" t="s">
        <v>71</v>
      </c>
      <c r="J2507" s="1" t="str">
        <f>"01043989719"</f>
        <v>01043989719</v>
      </c>
      <c r="K2507" s="1" t="str">
        <f>"2017-03-21 13:17:19"</f>
        <v>2017-03-21 13:17:19</v>
      </c>
      <c r="L2507" s="1" t="str">
        <f>"-"</f>
        <v>-</v>
      </c>
      <c r="M2507" s="2">
        <v>0</v>
      </c>
      <c r="N2507" s="1" t="s">
        <v>33</v>
      </c>
      <c r="O2507" s="1" t="s">
        <v>34</v>
      </c>
      <c r="P2507" s="2">
        <v>1.1574074074074073E-5</v>
      </c>
      <c r="Q2507" s="1" t="str">
        <f>""</f>
        <v/>
      </c>
      <c r="R2507" s="1">
        <v>0</v>
      </c>
      <c r="S2507" s="1" t="str">
        <f>""</f>
        <v/>
      </c>
      <c r="T2507" s="1" t="s">
        <v>29</v>
      </c>
      <c r="U2507" s="1" t="s">
        <v>30</v>
      </c>
      <c r="V2507" s="1">
        <v>0</v>
      </c>
    </row>
    <row r="2508" spans="2:22" x14ac:dyDescent="0.15">
      <c r="B2508" s="1" t="str">
        <f>"135****3730"</f>
        <v>135****3730</v>
      </c>
      <c r="C2508" s="1" t="s">
        <v>23</v>
      </c>
      <c r="D2508" s="1" t="str">
        <f t="shared" si="255"/>
        <v>89177328</v>
      </c>
      <c r="E2508" s="1" t="s">
        <v>24</v>
      </c>
      <c r="F2508" s="1" t="str">
        <f t="shared" si="256"/>
        <v>0010</v>
      </c>
      <c r="G2508" s="1" t="str">
        <f>""</f>
        <v/>
      </c>
      <c r="H2508" s="1" t="str">
        <f>"0010"</f>
        <v>0010</v>
      </c>
      <c r="I2508" s="1" t="s">
        <v>71</v>
      </c>
      <c r="J2508" s="1" t="str">
        <f>"01043989719"</f>
        <v>01043989719</v>
      </c>
      <c r="K2508" s="1" t="str">
        <f>"2017-03-21 13:03:56"</f>
        <v>2017-03-21 13:03:56</v>
      </c>
      <c r="L2508" s="1" t="str">
        <f>"2017-03-21 13:04:06"</f>
        <v>2017-03-21 13:04:06</v>
      </c>
      <c r="M2508" s="2">
        <v>4.7337962962962958E-3</v>
      </c>
      <c r="N2508" s="1" t="s">
        <v>26</v>
      </c>
      <c r="O2508" s="1" t="s">
        <v>27</v>
      </c>
      <c r="P2508" s="2">
        <v>4.8495370370370368E-3</v>
      </c>
      <c r="Q2508" s="1" t="s">
        <v>1804</v>
      </c>
      <c r="R2508" s="1">
        <v>0</v>
      </c>
      <c r="S2508" s="1" t="str">
        <f>""</f>
        <v/>
      </c>
      <c r="T2508" s="1" t="s">
        <v>29</v>
      </c>
      <c r="U2508" s="1" t="s">
        <v>30</v>
      </c>
      <c r="V2508" s="1">
        <v>0</v>
      </c>
    </row>
    <row r="2509" spans="2:22" x14ac:dyDescent="0.15">
      <c r="B2509" s="1" t="str">
        <f>"010****5695"</f>
        <v>010****5695</v>
      </c>
      <c r="C2509" s="1" t="s">
        <v>23</v>
      </c>
      <c r="D2509" s="1" t="str">
        <f t="shared" si="255"/>
        <v>89177328</v>
      </c>
      <c r="E2509" s="1" t="s">
        <v>24</v>
      </c>
      <c r="F2509" s="1" t="str">
        <f t="shared" si="256"/>
        <v>0010</v>
      </c>
      <c r="G2509" s="1" t="str">
        <f>""</f>
        <v/>
      </c>
      <c r="H2509" s="1" t="str">
        <f>"0017"</f>
        <v>0017</v>
      </c>
      <c r="I2509" s="1" t="s">
        <v>135</v>
      </c>
      <c r="J2509" s="1" t="str">
        <f>"01043989717"</f>
        <v>01043989717</v>
      </c>
      <c r="K2509" s="1" t="str">
        <f>"2017-03-21 12:24:41"</f>
        <v>2017-03-21 12:24:41</v>
      </c>
      <c r="L2509" s="1" t="str">
        <f>"2017-03-21 12:24:49"</f>
        <v>2017-03-21 12:24:49</v>
      </c>
      <c r="M2509" s="2">
        <v>1.0949074074074075E-2</v>
      </c>
      <c r="N2509" s="1" t="s">
        <v>26</v>
      </c>
      <c r="O2509" s="1" t="s">
        <v>34</v>
      </c>
      <c r="P2509" s="2">
        <v>1.1041666666666667E-2</v>
      </c>
      <c r="Q2509" s="1" t="s">
        <v>1805</v>
      </c>
      <c r="R2509" s="1">
        <v>0</v>
      </c>
      <c r="S2509" s="1" t="str">
        <f>""</f>
        <v/>
      </c>
      <c r="T2509" s="1" t="s">
        <v>29</v>
      </c>
      <c r="U2509" s="1" t="s">
        <v>30</v>
      </c>
      <c r="V2509" s="1">
        <v>0</v>
      </c>
    </row>
    <row r="2510" spans="2:22" x14ac:dyDescent="0.15">
      <c r="B2510" s="1" t="str">
        <f>"139****2368"</f>
        <v>139****2368</v>
      </c>
      <c r="C2510" s="1" t="s">
        <v>35</v>
      </c>
      <c r="D2510" s="1" t="str">
        <f t="shared" si="255"/>
        <v>89177328</v>
      </c>
      <c r="E2510" s="1" t="s">
        <v>24</v>
      </c>
      <c r="F2510" s="1" t="str">
        <f t="shared" si="256"/>
        <v>0010</v>
      </c>
      <c r="G2510" s="1" t="str">
        <f>""</f>
        <v/>
      </c>
      <c r="H2510" s="1" t="str">
        <f>"0017"</f>
        <v>0017</v>
      </c>
      <c r="I2510" s="1" t="s">
        <v>135</v>
      </c>
      <c r="J2510" s="1" t="str">
        <f>"01043989717"</f>
        <v>01043989717</v>
      </c>
      <c r="K2510" s="1" t="str">
        <f>"2017-03-21 11:42:33"</f>
        <v>2017-03-21 11:42:33</v>
      </c>
      <c r="L2510" s="1" t="str">
        <f>"2017-03-21 11:42:54"</f>
        <v>2017-03-21 11:42:54</v>
      </c>
      <c r="M2510" s="2">
        <v>6.2500000000000001E-4</v>
      </c>
      <c r="N2510" s="1" t="s">
        <v>26</v>
      </c>
      <c r="O2510" s="1" t="s">
        <v>27</v>
      </c>
      <c r="P2510" s="2">
        <v>8.6805555555555551E-4</v>
      </c>
      <c r="Q2510" s="1" t="s">
        <v>1806</v>
      </c>
      <c r="R2510" s="1">
        <v>0</v>
      </c>
      <c r="S2510" s="1" t="str">
        <f>""</f>
        <v/>
      </c>
      <c r="T2510" s="1" t="s">
        <v>29</v>
      </c>
      <c r="U2510" s="1" t="s">
        <v>30</v>
      </c>
      <c r="V2510" s="1">
        <v>0</v>
      </c>
    </row>
    <row r="2511" spans="2:22" x14ac:dyDescent="0.15">
      <c r="B2511" s="1" t="str">
        <f>"150****5783"</f>
        <v>150****5783</v>
      </c>
      <c r="C2511" s="1" t="s">
        <v>1807</v>
      </c>
      <c r="D2511" s="1" t="str">
        <f t="shared" si="255"/>
        <v>89177328</v>
      </c>
      <c r="E2511" s="1" t="s">
        <v>24</v>
      </c>
      <c r="F2511" s="1" t="str">
        <f t="shared" si="256"/>
        <v>0010</v>
      </c>
      <c r="G2511" s="1" t="str">
        <f>""</f>
        <v/>
      </c>
      <c r="H2511" s="1" t="str">
        <f>"0018"</f>
        <v>0018</v>
      </c>
      <c r="I2511" s="1" t="s">
        <v>36</v>
      </c>
      <c r="J2511" s="1" t="str">
        <f>"01043989718"</f>
        <v>01043989718</v>
      </c>
      <c r="K2511" s="1" t="str">
        <f>"2017-03-21 11:38:44"</f>
        <v>2017-03-21 11:38:44</v>
      </c>
      <c r="L2511" s="1" t="str">
        <f>"2017-03-21 11:38:54"</f>
        <v>2017-03-21 11:38:54</v>
      </c>
      <c r="M2511" s="2">
        <v>7.0023148148148154E-3</v>
      </c>
      <c r="N2511" s="1" t="s">
        <v>26</v>
      </c>
      <c r="O2511" s="1" t="s">
        <v>34</v>
      </c>
      <c r="P2511" s="2">
        <v>7.1180555555555554E-3</v>
      </c>
      <c r="Q2511" s="1" t="s">
        <v>1808</v>
      </c>
      <c r="R2511" s="1">
        <v>0</v>
      </c>
      <c r="S2511" s="1" t="str">
        <f>""</f>
        <v/>
      </c>
      <c r="T2511" s="1" t="s">
        <v>29</v>
      </c>
      <c r="U2511" s="1" t="s">
        <v>30</v>
      </c>
      <c r="V2511" s="1">
        <v>0</v>
      </c>
    </row>
    <row r="2512" spans="2:22" x14ac:dyDescent="0.15">
      <c r="B2512" s="1" t="str">
        <f>"010****3333"</f>
        <v>010****3333</v>
      </c>
      <c r="C2512" s="1" t="s">
        <v>23</v>
      </c>
      <c r="D2512" s="1" t="str">
        <f t="shared" si="255"/>
        <v>89177328</v>
      </c>
      <c r="E2512" s="1" t="s">
        <v>24</v>
      </c>
      <c r="F2512" s="1" t="str">
        <f t="shared" si="256"/>
        <v>0010</v>
      </c>
      <c r="G2512" s="1" t="str">
        <f>""</f>
        <v/>
      </c>
      <c r="H2512" s="1" t="str">
        <f>"0035"</f>
        <v>0035</v>
      </c>
      <c r="I2512" s="1" t="s">
        <v>25</v>
      </c>
      <c r="J2512" s="1" t="str">
        <f>"01043977569"</f>
        <v>01043977569</v>
      </c>
      <c r="K2512" s="1" t="str">
        <f>"2017-03-21 11:06:09"</f>
        <v>2017-03-21 11:06:09</v>
      </c>
      <c r="L2512" s="1" t="str">
        <f>"2017-03-21 11:06:19"</f>
        <v>2017-03-21 11:06:19</v>
      </c>
      <c r="M2512" s="2">
        <v>2.0370370370370373E-3</v>
      </c>
      <c r="N2512" s="1" t="s">
        <v>26</v>
      </c>
      <c r="O2512" s="1" t="s">
        <v>27</v>
      </c>
      <c r="P2512" s="2">
        <v>2.1527777777777778E-3</v>
      </c>
      <c r="Q2512" s="1" t="s">
        <v>1809</v>
      </c>
      <c r="R2512" s="1">
        <v>0</v>
      </c>
      <c r="S2512" s="1" t="str">
        <f>""</f>
        <v/>
      </c>
      <c r="T2512" s="1" t="s">
        <v>29</v>
      </c>
      <c r="U2512" s="1" t="s">
        <v>30</v>
      </c>
      <c r="V2512" s="1">
        <v>0</v>
      </c>
    </row>
    <row r="2513" spans="2:22" x14ac:dyDescent="0.15">
      <c r="B2513" s="1" t="str">
        <f>"186****0056"</f>
        <v>186****0056</v>
      </c>
      <c r="C2513" s="1" t="s">
        <v>69</v>
      </c>
      <c r="D2513" s="1" t="str">
        <f t="shared" si="255"/>
        <v>89177328</v>
      </c>
      <c r="E2513" s="1" t="s">
        <v>24</v>
      </c>
      <c r="F2513" s="1" t="str">
        <f t="shared" si="256"/>
        <v>0010</v>
      </c>
      <c r="G2513" s="1" t="str">
        <f>""</f>
        <v/>
      </c>
      <c r="H2513" s="1" t="str">
        <f>"0033"</f>
        <v>0033</v>
      </c>
      <c r="I2513" s="1" t="s">
        <v>106</v>
      </c>
      <c r="J2513" s="1" t="str">
        <f>"01043977567"</f>
        <v>01043977567</v>
      </c>
      <c r="K2513" s="1" t="str">
        <f>"2017-03-21 11:00:01"</f>
        <v>2017-03-21 11:00:01</v>
      </c>
      <c r="L2513" s="1" t="str">
        <f>"2017-03-21 11:00:06"</f>
        <v>2017-03-21 11:00:06</v>
      </c>
      <c r="M2513" s="2">
        <v>1.207175925925926E-2</v>
      </c>
      <c r="N2513" s="1" t="s">
        <v>26</v>
      </c>
      <c r="O2513" s="1" t="s">
        <v>34</v>
      </c>
      <c r="P2513" s="2">
        <v>1.2129629629629629E-2</v>
      </c>
      <c r="Q2513" s="1" t="s">
        <v>1810</v>
      </c>
      <c r="R2513" s="1">
        <v>0</v>
      </c>
      <c r="S2513" s="1" t="str">
        <f>""</f>
        <v/>
      </c>
      <c r="T2513" s="1" t="s">
        <v>29</v>
      </c>
      <c r="U2513" s="1" t="s">
        <v>30</v>
      </c>
      <c r="V2513" s="1">
        <v>0</v>
      </c>
    </row>
    <row r="2514" spans="2:22" x14ac:dyDescent="0.15">
      <c r="B2514" s="1" t="str">
        <f>"134****7046"</f>
        <v>134****7046</v>
      </c>
      <c r="C2514" s="1" t="s">
        <v>23</v>
      </c>
      <c r="D2514" s="1" t="str">
        <f t="shared" si="255"/>
        <v>89177328</v>
      </c>
      <c r="E2514" s="1" t="s">
        <v>24</v>
      </c>
      <c r="F2514" s="1" t="str">
        <f t="shared" si="256"/>
        <v>0010</v>
      </c>
      <c r="G2514" s="1" t="str">
        <f>""</f>
        <v/>
      </c>
      <c r="H2514" s="1" t="str">
        <f>"0034"</f>
        <v>0034</v>
      </c>
      <c r="I2514" s="1" t="s">
        <v>31</v>
      </c>
      <c r="J2514" s="1" t="str">
        <f>"01043977568"</f>
        <v>01043977568</v>
      </c>
      <c r="K2514" s="1" t="str">
        <f>"2017-03-21 10:57:44"</f>
        <v>2017-03-21 10:57:44</v>
      </c>
      <c r="L2514" s="1" t="str">
        <f>"2017-03-21 10:57:54"</f>
        <v>2017-03-21 10:57:54</v>
      </c>
      <c r="M2514" s="2">
        <v>1.3356481481481483E-2</v>
      </c>
      <c r="N2514" s="1" t="s">
        <v>26</v>
      </c>
      <c r="O2514" s="1" t="s">
        <v>27</v>
      </c>
      <c r="P2514" s="2">
        <v>1.3472222222222221E-2</v>
      </c>
      <c r="Q2514" s="1" t="s">
        <v>1811</v>
      </c>
      <c r="R2514" s="1">
        <v>0</v>
      </c>
      <c r="S2514" s="1" t="str">
        <f>""</f>
        <v/>
      </c>
      <c r="T2514" s="1" t="s">
        <v>29</v>
      </c>
      <c r="U2514" s="1" t="s">
        <v>30</v>
      </c>
      <c r="V2514" s="1">
        <v>0</v>
      </c>
    </row>
    <row r="2515" spans="2:22" x14ac:dyDescent="0.15">
      <c r="B2515" s="1" t="str">
        <f>"186****0056"</f>
        <v>186****0056</v>
      </c>
      <c r="C2515" s="1" t="s">
        <v>69</v>
      </c>
      <c r="D2515" s="1" t="str">
        <f t="shared" si="255"/>
        <v>89177328</v>
      </c>
      <c r="E2515" s="1" t="s">
        <v>24</v>
      </c>
      <c r="F2515" s="1" t="str">
        <f t="shared" si="256"/>
        <v>0010</v>
      </c>
      <c r="G2515" s="1" t="str">
        <f>""</f>
        <v/>
      </c>
      <c r="H2515" s="1" t="str">
        <f>"0033"</f>
        <v>0033</v>
      </c>
      <c r="I2515" s="1" t="s">
        <v>106</v>
      </c>
      <c r="J2515" s="1" t="str">
        <f>"01043977567"</f>
        <v>01043977567</v>
      </c>
      <c r="K2515" s="1" t="str">
        <f>"2017-03-21 10:52:01"</f>
        <v>2017-03-21 10:52:01</v>
      </c>
      <c r="L2515" s="1" t="str">
        <f>"2017-03-21 10:52:10"</f>
        <v>2017-03-21 10:52:10</v>
      </c>
      <c r="M2515" s="2">
        <v>4.1435185185185186E-3</v>
      </c>
      <c r="N2515" s="1" t="s">
        <v>26</v>
      </c>
      <c r="O2515" s="1" t="s">
        <v>27</v>
      </c>
      <c r="P2515" s="2">
        <v>4.2476851851851851E-3</v>
      </c>
      <c r="Q2515" s="1" t="s">
        <v>1812</v>
      </c>
      <c r="R2515" s="1">
        <v>0</v>
      </c>
      <c r="S2515" s="1" t="str">
        <f>""</f>
        <v/>
      </c>
      <c r="T2515" s="1" t="s">
        <v>29</v>
      </c>
      <c r="U2515" s="1" t="s">
        <v>30</v>
      </c>
      <c r="V2515" s="1">
        <v>0</v>
      </c>
    </row>
    <row r="2516" spans="2:22" x14ac:dyDescent="0.15">
      <c r="B2516" s="1" t="str">
        <f>"136****0236"</f>
        <v>136****0236</v>
      </c>
      <c r="C2516" s="1" t="s">
        <v>687</v>
      </c>
      <c r="D2516" s="1" t="str">
        <f t="shared" si="255"/>
        <v>89177328</v>
      </c>
      <c r="E2516" s="1" t="s">
        <v>24</v>
      </c>
      <c r="F2516" s="1" t="str">
        <f t="shared" si="256"/>
        <v>0010</v>
      </c>
      <c r="G2516" s="1" t="str">
        <f>""</f>
        <v/>
      </c>
      <c r="H2516" s="1" t="str">
        <f>"0018"</f>
        <v>0018</v>
      </c>
      <c r="I2516" s="1" t="s">
        <v>36</v>
      </c>
      <c r="J2516" s="1" t="str">
        <f>"01043989718"</f>
        <v>01043989718</v>
      </c>
      <c r="K2516" s="1" t="str">
        <f>"2017-03-21 10:43:29"</f>
        <v>2017-03-21 10:43:29</v>
      </c>
      <c r="L2516" s="1" t="str">
        <f>"2017-03-21 10:43:36"</f>
        <v>2017-03-21 10:43:36</v>
      </c>
      <c r="M2516" s="2">
        <v>8.0092592592592594E-3</v>
      </c>
      <c r="N2516" s="1" t="s">
        <v>26</v>
      </c>
      <c r="O2516" s="1" t="s">
        <v>34</v>
      </c>
      <c r="P2516" s="2">
        <v>8.0902777777777778E-3</v>
      </c>
      <c r="Q2516" s="1" t="s">
        <v>1813</v>
      </c>
      <c r="R2516" s="1">
        <v>0</v>
      </c>
      <c r="S2516" s="1" t="str">
        <f>""</f>
        <v/>
      </c>
      <c r="T2516" s="1" t="s">
        <v>29</v>
      </c>
      <c r="U2516" s="1" t="s">
        <v>30</v>
      </c>
      <c r="V2516" s="1">
        <v>0</v>
      </c>
    </row>
    <row r="2517" spans="2:22" x14ac:dyDescent="0.15">
      <c r="B2517" s="1" t="str">
        <f>"139****2368"</f>
        <v>139****2368</v>
      </c>
      <c r="C2517" s="1" t="s">
        <v>35</v>
      </c>
      <c r="D2517" s="1" t="str">
        <f t="shared" si="255"/>
        <v>89177328</v>
      </c>
      <c r="E2517" s="1" t="s">
        <v>24</v>
      </c>
      <c r="F2517" s="1" t="str">
        <f t="shared" si="256"/>
        <v>0010</v>
      </c>
      <c r="G2517" s="1" t="str">
        <f>""</f>
        <v/>
      </c>
      <c r="H2517" s="1" t="str">
        <f>"0031"</f>
        <v>0031</v>
      </c>
      <c r="I2517" s="1" t="s">
        <v>95</v>
      </c>
      <c r="J2517" s="1" t="str">
        <f>"01043977565"</f>
        <v>01043977565</v>
      </c>
      <c r="K2517" s="1" t="str">
        <f>"2017-03-21 10:40:44"</f>
        <v>2017-03-21 10:40:44</v>
      </c>
      <c r="L2517" s="1" t="str">
        <f>"2017-03-21 10:40:49"</f>
        <v>2017-03-21 10:40:49</v>
      </c>
      <c r="M2517" s="2">
        <v>4.1921296296296297E-2</v>
      </c>
      <c r="N2517" s="1" t="s">
        <v>26</v>
      </c>
      <c r="O2517" s="1" t="s">
        <v>34</v>
      </c>
      <c r="P2517" s="2">
        <v>4.1979166666666672E-2</v>
      </c>
      <c r="Q2517" s="1" t="s">
        <v>1814</v>
      </c>
      <c r="R2517" s="1">
        <v>0</v>
      </c>
      <c r="S2517" s="1" t="str">
        <f>""</f>
        <v/>
      </c>
      <c r="T2517" s="1" t="s">
        <v>29</v>
      </c>
      <c r="U2517" s="1" t="s">
        <v>30</v>
      </c>
      <c r="V2517" s="1">
        <v>0</v>
      </c>
    </row>
    <row r="2518" spans="2:22" x14ac:dyDescent="0.15">
      <c r="B2518" s="1" t="str">
        <f>"010****9997"</f>
        <v>010****9997</v>
      </c>
      <c r="C2518" s="1" t="s">
        <v>23</v>
      </c>
      <c r="D2518" s="1" t="str">
        <f t="shared" si="255"/>
        <v>89177328</v>
      </c>
      <c r="E2518" s="1" t="s">
        <v>24</v>
      </c>
      <c r="F2518" s="1" t="str">
        <f t="shared" si="256"/>
        <v>0010</v>
      </c>
      <c r="G2518" s="1" t="str">
        <f>""</f>
        <v/>
      </c>
      <c r="H2518" s="1" t="str">
        <f>"0032"</f>
        <v>0032</v>
      </c>
      <c r="I2518" s="1" t="s">
        <v>119</v>
      </c>
      <c r="J2518" s="1" t="str">
        <f>"01043977566"</f>
        <v>01043977566</v>
      </c>
      <c r="K2518" s="1" t="str">
        <f>"2017-03-21 10:38:48"</f>
        <v>2017-03-21 10:38:48</v>
      </c>
      <c r="L2518" s="1" t="str">
        <f>"2017-03-21 10:38:58"</f>
        <v>2017-03-21 10:38:58</v>
      </c>
      <c r="M2518" s="2">
        <v>2.0312500000000001E-2</v>
      </c>
      <c r="N2518" s="1" t="s">
        <v>26</v>
      </c>
      <c r="O2518" s="1" t="s">
        <v>34</v>
      </c>
      <c r="P2518" s="2">
        <v>2.0428240740740743E-2</v>
      </c>
      <c r="Q2518" s="1" t="s">
        <v>1815</v>
      </c>
      <c r="R2518" s="1">
        <v>0</v>
      </c>
      <c r="S2518" s="1" t="str">
        <f>""</f>
        <v/>
      </c>
      <c r="T2518" s="1" t="s">
        <v>29</v>
      </c>
      <c r="U2518" s="1" t="s">
        <v>30</v>
      </c>
      <c r="V2518" s="1">
        <v>0</v>
      </c>
    </row>
    <row r="2519" spans="2:22" x14ac:dyDescent="0.15">
      <c r="B2519" s="1" t="str">
        <f>"0311137****5098"</f>
        <v>0311137****5098</v>
      </c>
      <c r="C2519" s="1" t="s">
        <v>81</v>
      </c>
      <c r="D2519" s="1" t="str">
        <f t="shared" si="255"/>
        <v>89177328</v>
      </c>
      <c r="E2519" s="1" t="s">
        <v>24</v>
      </c>
      <c r="F2519" s="1" t="str">
        <f t="shared" si="256"/>
        <v>0010</v>
      </c>
      <c r="G2519" s="1" t="str">
        <f>""</f>
        <v/>
      </c>
      <c r="H2519" s="1" t="str">
        <f>"0017"</f>
        <v>0017</v>
      </c>
      <c r="I2519" s="1" t="s">
        <v>135</v>
      </c>
      <c r="J2519" s="1" t="str">
        <f>"01043989717"</f>
        <v>01043989717</v>
      </c>
      <c r="K2519" s="1" t="str">
        <f>"2017-03-21 10:38:23"</f>
        <v>2017-03-21 10:38:23</v>
      </c>
      <c r="L2519" s="1" t="str">
        <f>"2017-03-21 10:38:31"</f>
        <v>2017-03-21 10:38:31</v>
      </c>
      <c r="M2519" s="2">
        <v>5.3587962962962964E-3</v>
      </c>
      <c r="N2519" s="1" t="s">
        <v>26</v>
      </c>
      <c r="O2519" s="1" t="s">
        <v>27</v>
      </c>
      <c r="P2519" s="2">
        <v>5.4513888888888884E-3</v>
      </c>
      <c r="Q2519" s="1" t="s">
        <v>1816</v>
      </c>
      <c r="R2519" s="1">
        <v>0</v>
      </c>
      <c r="S2519" s="1" t="str">
        <f>""</f>
        <v/>
      </c>
      <c r="T2519" s="1" t="s">
        <v>29</v>
      </c>
      <c r="U2519" s="1" t="s">
        <v>30</v>
      </c>
      <c r="V2519" s="1">
        <v>0</v>
      </c>
    </row>
    <row r="2520" spans="2:22" x14ac:dyDescent="0.15">
      <c r="B2520" s="1" t="str">
        <f>"139****4201"</f>
        <v>139****4201</v>
      </c>
      <c r="C2520" s="1" t="s">
        <v>1127</v>
      </c>
      <c r="D2520" s="1" t="str">
        <f t="shared" si="255"/>
        <v>89177328</v>
      </c>
      <c r="E2520" s="1" t="s">
        <v>24</v>
      </c>
      <c r="F2520" s="1" t="str">
        <f t="shared" si="256"/>
        <v>0010</v>
      </c>
      <c r="G2520" s="1" t="str">
        <f>""</f>
        <v/>
      </c>
      <c r="H2520" s="1" t="str">
        <f>"0018"</f>
        <v>0018</v>
      </c>
      <c r="I2520" s="1" t="s">
        <v>36</v>
      </c>
      <c r="J2520" s="1" t="str">
        <f>"01043989718"</f>
        <v>01043989718</v>
      </c>
      <c r="K2520" s="1" t="str">
        <f>"2017-03-21 10:33:21"</f>
        <v>2017-03-21 10:33:21</v>
      </c>
      <c r="L2520" s="1" t="str">
        <f>"2017-03-21 10:33:31"</f>
        <v>2017-03-21 10:33:31</v>
      </c>
      <c r="M2520" s="2">
        <v>4.6296296296296302E-3</v>
      </c>
      <c r="N2520" s="1" t="s">
        <v>26</v>
      </c>
      <c r="O2520" s="1" t="s">
        <v>34</v>
      </c>
      <c r="P2520" s="2">
        <v>4.7453703703703703E-3</v>
      </c>
      <c r="Q2520" s="1" t="s">
        <v>1817</v>
      </c>
      <c r="R2520" s="1">
        <v>0</v>
      </c>
      <c r="S2520" s="1" t="str">
        <f>""</f>
        <v/>
      </c>
      <c r="T2520" s="1" t="s">
        <v>29</v>
      </c>
      <c r="U2520" s="1" t="s">
        <v>30</v>
      </c>
      <c r="V2520" s="1">
        <v>0</v>
      </c>
    </row>
    <row r="2521" spans="2:22" x14ac:dyDescent="0.15">
      <c r="B2521" s="1" t="str">
        <f>"155****4324"</f>
        <v>155****4324</v>
      </c>
      <c r="C2521" s="1" t="s">
        <v>35</v>
      </c>
      <c r="D2521" s="1" t="str">
        <f t="shared" si="255"/>
        <v>89177328</v>
      </c>
      <c r="E2521" s="1" t="s">
        <v>24</v>
      </c>
      <c r="F2521" s="1" t="str">
        <f t="shared" si="256"/>
        <v>0010</v>
      </c>
      <c r="G2521" s="1" t="str">
        <f>""</f>
        <v/>
      </c>
      <c r="H2521" s="1" t="str">
        <f>"0034"</f>
        <v>0034</v>
      </c>
      <c r="I2521" s="1" t="s">
        <v>31</v>
      </c>
      <c r="J2521" s="1" t="str">
        <f>"01043977568"</f>
        <v>01043977568</v>
      </c>
      <c r="K2521" s="1" t="str">
        <f>"2017-03-21 10:08:31"</f>
        <v>2017-03-21 10:08:31</v>
      </c>
      <c r="L2521" s="1" t="str">
        <f>"2017-03-21 10:08:42"</f>
        <v>2017-03-21 10:08:42</v>
      </c>
      <c r="M2521" s="2">
        <v>4.7106481481481478E-3</v>
      </c>
      <c r="N2521" s="1" t="s">
        <v>26</v>
      </c>
      <c r="O2521" s="1" t="s">
        <v>34</v>
      </c>
      <c r="P2521" s="2">
        <v>4.8379629629629632E-3</v>
      </c>
      <c r="Q2521" s="1" t="s">
        <v>1818</v>
      </c>
      <c r="R2521" s="1">
        <v>0</v>
      </c>
      <c r="S2521" s="1" t="str">
        <f>""</f>
        <v/>
      </c>
      <c r="T2521" s="1" t="s">
        <v>29</v>
      </c>
      <c r="U2521" s="1" t="s">
        <v>30</v>
      </c>
      <c r="V2521" s="1">
        <v>0</v>
      </c>
    </row>
    <row r="2522" spans="2:22" x14ac:dyDescent="0.15">
      <c r="B2522" s="1" t="str">
        <f>"133****9777"</f>
        <v>133****9777</v>
      </c>
      <c r="C2522" s="1" t="s">
        <v>831</v>
      </c>
      <c r="D2522" s="1" t="str">
        <f>"4000108333"</f>
        <v>4000108333</v>
      </c>
      <c r="E2522" s="1" t="s">
        <v>53</v>
      </c>
      <c r="F2522" s="1" t="str">
        <f>"0000"</f>
        <v>0000</v>
      </c>
      <c r="G2522" s="1" t="str">
        <f>""</f>
        <v/>
      </c>
      <c r="H2522" s="1" t="str">
        <f>"0018"</f>
        <v>0018</v>
      </c>
      <c r="I2522" s="1" t="s">
        <v>36</v>
      </c>
      <c r="J2522" s="1" t="str">
        <f>"01043989718"</f>
        <v>01043989718</v>
      </c>
      <c r="K2522" s="1" t="str">
        <f>"2017-03-21 09:52:05"</f>
        <v>2017-03-21 09:52:05</v>
      </c>
      <c r="L2522" s="1" t="str">
        <f>"2017-03-21 09:52:36"</f>
        <v>2017-03-21 09:52:36</v>
      </c>
      <c r="M2522" s="2">
        <v>3.6111111111111114E-3</v>
      </c>
      <c r="N2522" s="1" t="s">
        <v>26</v>
      </c>
      <c r="O2522" s="1" t="s">
        <v>34</v>
      </c>
      <c r="P2522" s="2">
        <v>3.9699074074074072E-3</v>
      </c>
      <c r="Q2522" s="1" t="s">
        <v>1819</v>
      </c>
      <c r="R2522" s="1">
        <v>0.72</v>
      </c>
      <c r="S2522" s="1" t="str">
        <f>""</f>
        <v/>
      </c>
      <c r="T2522" s="1" t="s">
        <v>29</v>
      </c>
      <c r="U2522" s="1" t="s">
        <v>30</v>
      </c>
      <c r="V2522" s="1">
        <v>0</v>
      </c>
    </row>
    <row r="2523" spans="2:22" x14ac:dyDescent="0.15">
      <c r="B2523" s="1" t="str">
        <f>"0731****6759"</f>
        <v>0731****6759</v>
      </c>
      <c r="C2523" s="1" t="s">
        <v>157</v>
      </c>
      <c r="D2523" s="1" t="str">
        <f t="shared" ref="D2523:D2556" si="257">"89177328"</f>
        <v>89177328</v>
      </c>
      <c r="E2523" s="1" t="s">
        <v>24</v>
      </c>
      <c r="F2523" s="1" t="str">
        <f t="shared" ref="F2523:F2556" si="258">"0010"</f>
        <v>0010</v>
      </c>
      <c r="G2523" s="1" t="str">
        <f>""</f>
        <v/>
      </c>
      <c r="H2523" s="1" t="str">
        <f>"0017"</f>
        <v>0017</v>
      </c>
      <c r="I2523" s="1" t="s">
        <v>135</v>
      </c>
      <c r="J2523" s="1" t="str">
        <f>"01043989717"</f>
        <v>01043989717</v>
      </c>
      <c r="K2523" s="1" t="str">
        <f>"2017-03-21 09:51:25"</f>
        <v>2017-03-21 09:51:25</v>
      </c>
      <c r="L2523" s="1" t="str">
        <f>"2017-03-21 09:51:33"</f>
        <v>2017-03-21 09:51:33</v>
      </c>
      <c r="M2523" s="2">
        <v>4.2592592592592595E-3</v>
      </c>
      <c r="N2523" s="1" t="s">
        <v>26</v>
      </c>
      <c r="O2523" s="1" t="s">
        <v>27</v>
      </c>
      <c r="P2523" s="2">
        <v>4.3518518518518515E-3</v>
      </c>
      <c r="Q2523" s="1" t="s">
        <v>1820</v>
      </c>
      <c r="R2523" s="1">
        <v>0</v>
      </c>
      <c r="S2523" s="1" t="str">
        <f>""</f>
        <v/>
      </c>
      <c r="T2523" s="1" t="s">
        <v>29</v>
      </c>
      <c r="U2523" s="1" t="s">
        <v>30</v>
      </c>
      <c r="V2523" s="1">
        <v>0</v>
      </c>
    </row>
    <row r="2524" spans="2:22" x14ac:dyDescent="0.15">
      <c r="B2524" s="1" t="str">
        <f>"137****1618"</f>
        <v>137****1618</v>
      </c>
      <c r="C2524" s="1" t="s">
        <v>23</v>
      </c>
      <c r="D2524" s="1" t="str">
        <f t="shared" si="257"/>
        <v>89177328</v>
      </c>
      <c r="E2524" s="1" t="s">
        <v>24</v>
      </c>
      <c r="F2524" s="1" t="str">
        <f t="shared" si="258"/>
        <v>0010</v>
      </c>
      <c r="G2524" s="1" t="str">
        <f>""</f>
        <v/>
      </c>
      <c r="H2524" s="1" t="str">
        <f>"0035"</f>
        <v>0035</v>
      </c>
      <c r="I2524" s="1" t="s">
        <v>25</v>
      </c>
      <c r="J2524" s="1" t="str">
        <f>"01043977569"</f>
        <v>01043977569</v>
      </c>
      <c r="K2524" s="1" t="str">
        <f>"2017-03-21 09:49:23"</f>
        <v>2017-03-21 09:49:23</v>
      </c>
      <c r="L2524" s="1" t="str">
        <f>"2017-03-21 09:49:31"</f>
        <v>2017-03-21 09:49:31</v>
      </c>
      <c r="M2524" s="2">
        <v>7.8009259259259256E-3</v>
      </c>
      <c r="N2524" s="1" t="s">
        <v>26</v>
      </c>
      <c r="O2524" s="1" t="s">
        <v>27</v>
      </c>
      <c r="P2524" s="2">
        <v>7.8935185185185185E-3</v>
      </c>
      <c r="Q2524" s="1" t="s">
        <v>1821</v>
      </c>
      <c r="R2524" s="1">
        <v>0</v>
      </c>
      <c r="S2524" s="1" t="str">
        <f>""</f>
        <v/>
      </c>
      <c r="T2524" s="1" t="s">
        <v>29</v>
      </c>
      <c r="U2524" s="1" t="s">
        <v>30</v>
      </c>
      <c r="V2524" s="1">
        <v>0</v>
      </c>
    </row>
    <row r="2525" spans="2:22" x14ac:dyDescent="0.15">
      <c r="B2525" s="1" t="str">
        <f>"137****5938"</f>
        <v>137****5938</v>
      </c>
      <c r="C2525" s="1" t="s">
        <v>203</v>
      </c>
      <c r="D2525" s="1" t="str">
        <f t="shared" si="257"/>
        <v>89177328</v>
      </c>
      <c r="E2525" s="1" t="s">
        <v>24</v>
      </c>
      <c r="F2525" s="1" t="str">
        <f t="shared" si="258"/>
        <v>0010</v>
      </c>
      <c r="G2525" s="1" t="str">
        <f>""</f>
        <v/>
      </c>
      <c r="H2525" s="1" t="str">
        <f>"0032"</f>
        <v>0032</v>
      </c>
      <c r="I2525" s="1" t="s">
        <v>119</v>
      </c>
      <c r="J2525" s="1" t="str">
        <f>"01043977566"</f>
        <v>01043977566</v>
      </c>
      <c r="K2525" s="1" t="str">
        <f>"2017-03-21 09:48:17"</f>
        <v>2017-03-21 09:48:17</v>
      </c>
      <c r="L2525" s="1" t="str">
        <f>"2017-03-21 09:48:29"</f>
        <v>2017-03-21 09:48:29</v>
      </c>
      <c r="M2525" s="2">
        <v>5.6365740740740742E-3</v>
      </c>
      <c r="N2525" s="1" t="s">
        <v>26</v>
      </c>
      <c r="O2525" s="1" t="s">
        <v>34</v>
      </c>
      <c r="P2525" s="2">
        <v>5.7754629629629623E-3</v>
      </c>
      <c r="Q2525" s="1" t="s">
        <v>1822</v>
      </c>
      <c r="R2525" s="1">
        <v>0</v>
      </c>
      <c r="S2525" s="1" t="str">
        <f>""</f>
        <v/>
      </c>
      <c r="T2525" s="1" t="s">
        <v>29</v>
      </c>
      <c r="U2525" s="1" t="s">
        <v>30</v>
      </c>
      <c r="V2525" s="1">
        <v>0</v>
      </c>
    </row>
    <row r="2526" spans="2:22" x14ac:dyDescent="0.15">
      <c r="B2526" s="1" t="str">
        <f>"186****9689"</f>
        <v>186****9689</v>
      </c>
      <c r="C2526" s="1" t="s">
        <v>23</v>
      </c>
      <c r="D2526" s="1" t="str">
        <f t="shared" si="257"/>
        <v>89177328</v>
      </c>
      <c r="E2526" s="1" t="s">
        <v>24</v>
      </c>
      <c r="F2526" s="1" t="str">
        <f t="shared" si="258"/>
        <v>0010</v>
      </c>
      <c r="G2526" s="1" t="str">
        <f>""</f>
        <v/>
      </c>
      <c r="H2526" s="1" t="str">
        <f>"0031"</f>
        <v>0031</v>
      </c>
      <c r="I2526" s="1" t="s">
        <v>95</v>
      </c>
      <c r="J2526" s="1" t="str">
        <f>"01043977565"</f>
        <v>01043977565</v>
      </c>
      <c r="K2526" s="1" t="str">
        <f>"2017-03-21 09:41:33"</f>
        <v>2017-03-21 09:41:33</v>
      </c>
      <c r="L2526" s="1" t="str">
        <f>"2017-03-21 09:41:44"</f>
        <v>2017-03-21 09:41:44</v>
      </c>
      <c r="M2526" s="2">
        <v>9.0856481481481483E-3</v>
      </c>
      <c r="N2526" s="1" t="s">
        <v>26</v>
      </c>
      <c r="O2526" s="1" t="s">
        <v>34</v>
      </c>
      <c r="P2526" s="2">
        <v>9.2129629629629627E-3</v>
      </c>
      <c r="Q2526" s="1" t="s">
        <v>1823</v>
      </c>
      <c r="R2526" s="1">
        <v>0</v>
      </c>
      <c r="S2526" s="1" t="str">
        <f>""</f>
        <v/>
      </c>
      <c r="T2526" s="1" t="s">
        <v>29</v>
      </c>
      <c r="U2526" s="1" t="s">
        <v>30</v>
      </c>
      <c r="V2526" s="1">
        <v>0</v>
      </c>
    </row>
    <row r="2527" spans="2:22" x14ac:dyDescent="0.15">
      <c r="B2527" s="1" t="str">
        <f>"138****2165"</f>
        <v>138****2165</v>
      </c>
      <c r="C2527" s="1" t="s">
        <v>81</v>
      </c>
      <c r="D2527" s="1" t="str">
        <f t="shared" si="257"/>
        <v>89177328</v>
      </c>
      <c r="E2527" s="1" t="s">
        <v>24</v>
      </c>
      <c r="F2527" s="1" t="str">
        <f t="shared" si="258"/>
        <v>0010</v>
      </c>
      <c r="G2527" s="1" t="str">
        <f>""</f>
        <v/>
      </c>
      <c r="H2527" s="1" t="str">
        <f>"0034"</f>
        <v>0034</v>
      </c>
      <c r="I2527" s="1" t="s">
        <v>31</v>
      </c>
      <c r="J2527" s="1" t="str">
        <f>"01043977568"</f>
        <v>01043977568</v>
      </c>
      <c r="K2527" s="1" t="str">
        <f>"2017-03-21 09:40:40"</f>
        <v>2017-03-21 09:40:40</v>
      </c>
      <c r="L2527" s="1" t="str">
        <f>"2017-03-21 09:40:50"</f>
        <v>2017-03-21 09:40:50</v>
      </c>
      <c r="M2527" s="2">
        <v>9.0624999999999994E-3</v>
      </c>
      <c r="N2527" s="1" t="s">
        <v>26</v>
      </c>
      <c r="O2527" s="1" t="s">
        <v>34</v>
      </c>
      <c r="P2527" s="2">
        <v>9.1782407407407403E-3</v>
      </c>
      <c r="Q2527" s="1" t="s">
        <v>1824</v>
      </c>
      <c r="R2527" s="1">
        <v>0</v>
      </c>
      <c r="S2527" s="1" t="str">
        <f>""</f>
        <v/>
      </c>
      <c r="T2527" s="1" t="s">
        <v>29</v>
      </c>
      <c r="U2527" s="1" t="s">
        <v>30</v>
      </c>
      <c r="V2527" s="1">
        <v>0</v>
      </c>
    </row>
    <row r="2528" spans="2:22" x14ac:dyDescent="0.15">
      <c r="B2528" s="1" t="str">
        <f>"186****3288"</f>
        <v>186****3288</v>
      </c>
      <c r="C2528" s="1" t="s">
        <v>23</v>
      </c>
      <c r="D2528" s="1" t="str">
        <f t="shared" si="257"/>
        <v>89177328</v>
      </c>
      <c r="E2528" s="1" t="s">
        <v>24</v>
      </c>
      <c r="F2528" s="1" t="str">
        <f t="shared" si="258"/>
        <v>0010</v>
      </c>
      <c r="G2528" s="1" t="str">
        <f>""</f>
        <v/>
      </c>
      <c r="H2528" s="1" t="str">
        <f>"0031"</f>
        <v>0031</v>
      </c>
      <c r="I2528" s="1" t="s">
        <v>95</v>
      </c>
      <c r="J2528" s="1" t="str">
        <f>"01043977565"</f>
        <v>01043977565</v>
      </c>
      <c r="K2528" s="1" t="str">
        <f>"2017-03-21 09:24:42"</f>
        <v>2017-03-21 09:24:42</v>
      </c>
      <c r="L2528" s="1" t="str">
        <f>"2017-03-21 09:24:48"</f>
        <v>2017-03-21 09:24:48</v>
      </c>
      <c r="M2528" s="2">
        <v>1.0856481481481481E-2</v>
      </c>
      <c r="N2528" s="1" t="s">
        <v>26</v>
      </c>
      <c r="O2528" s="1" t="s">
        <v>27</v>
      </c>
      <c r="P2528" s="2">
        <v>1.0925925925925924E-2</v>
      </c>
      <c r="Q2528" s="1" t="s">
        <v>1825</v>
      </c>
      <c r="R2528" s="1">
        <v>0</v>
      </c>
      <c r="S2528" s="1" t="str">
        <f>""</f>
        <v/>
      </c>
      <c r="T2528" s="1" t="s">
        <v>29</v>
      </c>
      <c r="U2528" s="1" t="s">
        <v>30</v>
      </c>
      <c r="V2528" s="1">
        <v>0</v>
      </c>
    </row>
    <row r="2529" spans="2:22" x14ac:dyDescent="0.15">
      <c r="B2529" s="1" t="str">
        <f>"153****0161"</f>
        <v>153****0161</v>
      </c>
      <c r="C2529" s="1" t="s">
        <v>99</v>
      </c>
      <c r="D2529" s="1" t="str">
        <f t="shared" si="257"/>
        <v>89177328</v>
      </c>
      <c r="E2529" s="1" t="s">
        <v>24</v>
      </c>
      <c r="F2529" s="1" t="str">
        <f t="shared" si="258"/>
        <v>0010</v>
      </c>
      <c r="G2529" s="1" t="str">
        <f>""</f>
        <v/>
      </c>
      <c r="H2529" s="1" t="str">
        <f>"0033"</f>
        <v>0033</v>
      </c>
      <c r="I2529" s="1" t="s">
        <v>106</v>
      </c>
      <c r="J2529" s="1" t="str">
        <f>"01043977567"</f>
        <v>01043977567</v>
      </c>
      <c r="K2529" s="1" t="str">
        <f>"2017-03-21 09:24:22"</f>
        <v>2017-03-21 09:24:22</v>
      </c>
      <c r="L2529" s="1" t="str">
        <f>"2017-03-21 09:24:30"</f>
        <v>2017-03-21 09:24:30</v>
      </c>
      <c r="M2529" s="2">
        <v>7.5810185185185182E-3</v>
      </c>
      <c r="N2529" s="1" t="s">
        <v>26</v>
      </c>
      <c r="O2529" s="1" t="s">
        <v>27</v>
      </c>
      <c r="P2529" s="2">
        <v>7.6736111111111111E-3</v>
      </c>
      <c r="Q2529" s="1" t="s">
        <v>1826</v>
      </c>
      <c r="R2529" s="1">
        <v>0</v>
      </c>
      <c r="S2529" s="1" t="str">
        <f>""</f>
        <v/>
      </c>
      <c r="T2529" s="1" t="s">
        <v>29</v>
      </c>
      <c r="U2529" s="1" t="s">
        <v>30</v>
      </c>
      <c r="V2529" s="1">
        <v>0</v>
      </c>
    </row>
    <row r="2530" spans="2:22" x14ac:dyDescent="0.15">
      <c r="B2530" s="1" t="str">
        <f>"139****3106"</f>
        <v>139****3106</v>
      </c>
      <c r="C2530" s="1" t="s">
        <v>102</v>
      </c>
      <c r="D2530" s="1" t="str">
        <f t="shared" si="257"/>
        <v>89177328</v>
      </c>
      <c r="E2530" s="1" t="s">
        <v>24</v>
      </c>
      <c r="F2530" s="1" t="str">
        <f t="shared" si="258"/>
        <v>0010</v>
      </c>
      <c r="G2530" s="1" t="str">
        <f>""</f>
        <v/>
      </c>
      <c r="H2530" s="1" t="str">
        <f>"0035"</f>
        <v>0035</v>
      </c>
      <c r="I2530" s="1" t="s">
        <v>25</v>
      </c>
      <c r="J2530" s="1" t="str">
        <f>"01043977569"</f>
        <v>01043977569</v>
      </c>
      <c r="K2530" s="1" t="str">
        <f>"2017-03-21 09:18:55"</f>
        <v>2017-03-21 09:18:55</v>
      </c>
      <c r="L2530" s="1" t="str">
        <f>"2017-03-21 09:19:04"</f>
        <v>2017-03-21 09:19:04</v>
      </c>
      <c r="M2530" s="2">
        <v>5.6134259259259271E-3</v>
      </c>
      <c r="N2530" s="1" t="s">
        <v>26</v>
      </c>
      <c r="O2530" s="1" t="s">
        <v>27</v>
      </c>
      <c r="P2530" s="2">
        <v>5.7175925925925927E-3</v>
      </c>
      <c r="Q2530" s="1" t="s">
        <v>1827</v>
      </c>
      <c r="R2530" s="1">
        <v>0</v>
      </c>
      <c r="S2530" s="1" t="str">
        <f>""</f>
        <v/>
      </c>
      <c r="T2530" s="1" t="s">
        <v>29</v>
      </c>
      <c r="U2530" s="1" t="s">
        <v>30</v>
      </c>
      <c r="V2530" s="1">
        <v>0</v>
      </c>
    </row>
    <row r="2531" spans="2:22" x14ac:dyDescent="0.15">
      <c r="B2531" s="1" t="str">
        <f>"0312152****1082"</f>
        <v>0312152****1082</v>
      </c>
      <c r="C2531" s="1" t="s">
        <v>99</v>
      </c>
      <c r="D2531" s="1" t="str">
        <f t="shared" si="257"/>
        <v>89177328</v>
      </c>
      <c r="E2531" s="1" t="s">
        <v>24</v>
      </c>
      <c r="F2531" s="1" t="str">
        <f t="shared" si="258"/>
        <v>0010</v>
      </c>
      <c r="G2531" s="1" t="str">
        <f>""</f>
        <v/>
      </c>
      <c r="H2531" s="1" t="str">
        <f>"0010"</f>
        <v>0010</v>
      </c>
      <c r="I2531" s="1" t="s">
        <v>71</v>
      </c>
      <c r="J2531" s="1" t="str">
        <f>"01043989719"</f>
        <v>01043989719</v>
      </c>
      <c r="K2531" s="1" t="str">
        <f>"2017-03-21 09:16:45"</f>
        <v>2017-03-21 09:16:45</v>
      </c>
      <c r="L2531" s="1" t="str">
        <f>"2017-03-21 09:16:53"</f>
        <v>2017-03-21 09:16:53</v>
      </c>
      <c r="M2531" s="2">
        <v>4.7916666666666672E-3</v>
      </c>
      <c r="N2531" s="1" t="s">
        <v>26</v>
      </c>
      <c r="O2531" s="1" t="s">
        <v>34</v>
      </c>
      <c r="P2531" s="2">
        <v>4.8842592592592592E-3</v>
      </c>
      <c r="Q2531" s="1" t="s">
        <v>1828</v>
      </c>
      <c r="R2531" s="1">
        <v>0</v>
      </c>
      <c r="S2531" s="1" t="str">
        <f>""</f>
        <v/>
      </c>
      <c r="T2531" s="1" t="s">
        <v>29</v>
      </c>
      <c r="U2531" s="1" t="s">
        <v>30</v>
      </c>
      <c r="V2531" s="1">
        <v>0</v>
      </c>
    </row>
    <row r="2532" spans="2:22" x14ac:dyDescent="0.15">
      <c r="B2532" s="1" t="str">
        <f>"185****2659"</f>
        <v>185****2659</v>
      </c>
      <c r="C2532" s="1" t="s">
        <v>23</v>
      </c>
      <c r="D2532" s="1" t="str">
        <f t="shared" si="257"/>
        <v>89177328</v>
      </c>
      <c r="E2532" s="1" t="s">
        <v>24</v>
      </c>
      <c r="F2532" s="1" t="str">
        <f t="shared" si="258"/>
        <v>0010</v>
      </c>
      <c r="G2532" s="1" t="str">
        <f>""</f>
        <v/>
      </c>
      <c r="H2532" s="1" t="str">
        <f>"0018"</f>
        <v>0018</v>
      </c>
      <c r="I2532" s="1" t="s">
        <v>36</v>
      </c>
      <c r="J2532" s="1" t="str">
        <f>"01043989718"</f>
        <v>01043989718</v>
      </c>
      <c r="K2532" s="1" t="str">
        <f>"2017-03-21 09:09:29"</f>
        <v>2017-03-21 09:09:29</v>
      </c>
      <c r="L2532" s="1" t="str">
        <f>"2017-03-21 09:09:38"</f>
        <v>2017-03-21 09:09:38</v>
      </c>
      <c r="M2532" s="2">
        <v>6.0879629629629643E-3</v>
      </c>
      <c r="N2532" s="1" t="s">
        <v>26</v>
      </c>
      <c r="O2532" s="1" t="s">
        <v>34</v>
      </c>
      <c r="P2532" s="2">
        <v>6.1921296296296299E-3</v>
      </c>
      <c r="Q2532" s="1" t="s">
        <v>1829</v>
      </c>
      <c r="R2532" s="1">
        <v>0</v>
      </c>
      <c r="S2532" s="1" t="str">
        <f>""</f>
        <v/>
      </c>
      <c r="T2532" s="1" t="s">
        <v>29</v>
      </c>
      <c r="U2532" s="1" t="s">
        <v>30</v>
      </c>
      <c r="V2532" s="1">
        <v>0</v>
      </c>
    </row>
    <row r="2533" spans="2:22" x14ac:dyDescent="0.15">
      <c r="B2533" s="1" t="str">
        <f>"137****3899"</f>
        <v>137****3899</v>
      </c>
      <c r="C2533" s="1" t="s">
        <v>831</v>
      </c>
      <c r="D2533" s="1" t="str">
        <f t="shared" si="257"/>
        <v>89177328</v>
      </c>
      <c r="E2533" s="1" t="s">
        <v>24</v>
      </c>
      <c r="F2533" s="1" t="str">
        <f t="shared" si="258"/>
        <v>0010</v>
      </c>
      <c r="G2533" s="1" t="str">
        <f>""</f>
        <v/>
      </c>
      <c r="H2533" s="1" t="str">
        <f>"0017"</f>
        <v>0017</v>
      </c>
      <c r="I2533" s="1" t="s">
        <v>135</v>
      </c>
      <c r="J2533" s="1" t="str">
        <f>"01043989717"</f>
        <v>01043989717</v>
      </c>
      <c r="K2533" s="1" t="str">
        <f>"2017-03-21 08:52:58"</f>
        <v>2017-03-21 08:52:58</v>
      </c>
      <c r="L2533" s="1" t="str">
        <f>"2017-03-21 08:53:05"</f>
        <v>2017-03-21 08:53:05</v>
      </c>
      <c r="M2533" s="2">
        <v>9.0277777777777784E-4</v>
      </c>
      <c r="N2533" s="1" t="s">
        <v>26</v>
      </c>
      <c r="O2533" s="1" t="s">
        <v>34</v>
      </c>
      <c r="P2533" s="2">
        <v>9.8379629629629642E-4</v>
      </c>
      <c r="Q2533" s="1" t="s">
        <v>1830</v>
      </c>
      <c r="R2533" s="1">
        <v>0</v>
      </c>
      <c r="S2533" s="1" t="str">
        <f>""</f>
        <v/>
      </c>
      <c r="T2533" s="1" t="s">
        <v>29</v>
      </c>
      <c r="U2533" s="1" t="s">
        <v>30</v>
      </c>
      <c r="V2533" s="1">
        <v>0</v>
      </c>
    </row>
    <row r="2534" spans="2:22" x14ac:dyDescent="0.15">
      <c r="B2534" s="1" t="str">
        <f>"150****1922"</f>
        <v>150****1922</v>
      </c>
      <c r="C2534" s="1" t="s">
        <v>23</v>
      </c>
      <c r="D2534" s="1" t="str">
        <f t="shared" si="257"/>
        <v>89177328</v>
      </c>
      <c r="E2534" s="1" t="s">
        <v>24</v>
      </c>
      <c r="F2534" s="1" t="str">
        <f t="shared" si="258"/>
        <v>0010</v>
      </c>
      <c r="G2534" s="1" t="str">
        <f>""</f>
        <v/>
      </c>
      <c r="H2534" s="1" t="str">
        <f>"0035"</f>
        <v>0035</v>
      </c>
      <c r="I2534" s="1" t="s">
        <v>25</v>
      </c>
      <c r="J2534" s="1" t="str">
        <f>"01043977569"</f>
        <v>01043977569</v>
      </c>
      <c r="K2534" s="1" t="str">
        <f>"2017-03-21 08:52:39"</f>
        <v>2017-03-21 08:52:39</v>
      </c>
      <c r="L2534" s="1" t="str">
        <f>"2017-03-21 08:52:48"</f>
        <v>2017-03-21 08:52:48</v>
      </c>
      <c r="M2534" s="2">
        <v>1.0995370370370371E-3</v>
      </c>
      <c r="N2534" s="1" t="s">
        <v>26</v>
      </c>
      <c r="O2534" s="1" t="s">
        <v>27</v>
      </c>
      <c r="P2534" s="2">
        <v>1.2037037037037038E-3</v>
      </c>
      <c r="Q2534" s="1" t="s">
        <v>1831</v>
      </c>
      <c r="R2534" s="1">
        <v>0</v>
      </c>
      <c r="S2534" s="1" t="str">
        <f>""</f>
        <v/>
      </c>
      <c r="T2534" s="1" t="s">
        <v>29</v>
      </c>
      <c r="U2534" s="1" t="s">
        <v>30</v>
      </c>
      <c r="V2534" s="1">
        <v>0</v>
      </c>
    </row>
    <row r="2535" spans="2:22" x14ac:dyDescent="0.15">
      <c r="B2535" s="1" t="str">
        <f>"139****9871"</f>
        <v>139****9871</v>
      </c>
      <c r="C2535" s="1" t="s">
        <v>23</v>
      </c>
      <c r="D2535" s="1" t="str">
        <f t="shared" si="257"/>
        <v>89177328</v>
      </c>
      <c r="E2535" s="1" t="s">
        <v>24</v>
      </c>
      <c r="F2535" s="1" t="str">
        <f t="shared" si="258"/>
        <v>0010</v>
      </c>
      <c r="G2535" s="1" t="str">
        <f>""</f>
        <v/>
      </c>
      <c r="H2535" s="1" t="str">
        <f>"0018"</f>
        <v>0018</v>
      </c>
      <c r="I2535" s="1" t="s">
        <v>36</v>
      </c>
      <c r="J2535" s="1" t="str">
        <f>"01043989718"</f>
        <v>01043989718</v>
      </c>
      <c r="K2535" s="1" t="str">
        <f>"2017-03-21 08:48:56"</f>
        <v>2017-03-21 08:48:56</v>
      </c>
      <c r="L2535" s="1" t="str">
        <f>"2017-03-21 08:49:05"</f>
        <v>2017-03-21 08:49:05</v>
      </c>
      <c r="M2535" s="2">
        <v>8.9004629629629625E-3</v>
      </c>
      <c r="N2535" s="1" t="s">
        <v>26</v>
      </c>
      <c r="O2535" s="1" t="s">
        <v>34</v>
      </c>
      <c r="P2535" s="2">
        <v>9.0046296296296298E-3</v>
      </c>
      <c r="Q2535" s="1" t="s">
        <v>1832</v>
      </c>
      <c r="R2535" s="1">
        <v>0</v>
      </c>
      <c r="S2535" s="1" t="str">
        <f>""</f>
        <v/>
      </c>
      <c r="T2535" s="1" t="s">
        <v>29</v>
      </c>
      <c r="U2535" s="1" t="s">
        <v>30</v>
      </c>
      <c r="V2535" s="1">
        <v>0</v>
      </c>
    </row>
    <row r="2536" spans="2:22" x14ac:dyDescent="0.15">
      <c r="B2536" s="1" t="str">
        <f>"156****8035"</f>
        <v>156****8035</v>
      </c>
      <c r="C2536" s="1" t="s">
        <v>137</v>
      </c>
      <c r="D2536" s="1" t="str">
        <f t="shared" si="257"/>
        <v>89177328</v>
      </c>
      <c r="E2536" s="1" t="s">
        <v>24</v>
      </c>
      <c r="F2536" s="1" t="str">
        <f t="shared" si="258"/>
        <v>0010</v>
      </c>
      <c r="G2536" s="1" t="str">
        <f>""</f>
        <v/>
      </c>
      <c r="H2536" s="1" t="str">
        <f>"0018"</f>
        <v>0018</v>
      </c>
      <c r="I2536" s="1" t="s">
        <v>36</v>
      </c>
      <c r="J2536" s="1" t="str">
        <f>"01043989718"</f>
        <v>01043989718</v>
      </c>
      <c r="K2536" s="1" t="str">
        <f>"2017-03-21 08:46:31"</f>
        <v>2017-03-21 08:46:31</v>
      </c>
      <c r="L2536" s="1" t="str">
        <f>"2017-03-21 08:46:38"</f>
        <v>2017-03-21 08:46:38</v>
      </c>
      <c r="M2536" s="2">
        <v>3.7037037037037035E-4</v>
      </c>
      <c r="N2536" s="1" t="s">
        <v>26</v>
      </c>
      <c r="O2536" s="1" t="s">
        <v>34</v>
      </c>
      <c r="P2536" s="2">
        <v>4.5138888888888892E-4</v>
      </c>
      <c r="Q2536" s="1" t="s">
        <v>1833</v>
      </c>
      <c r="R2536" s="1">
        <v>0</v>
      </c>
      <c r="S2536" s="1" t="str">
        <f>""</f>
        <v/>
      </c>
      <c r="T2536" s="1" t="s">
        <v>29</v>
      </c>
      <c r="U2536" s="1" t="s">
        <v>30</v>
      </c>
      <c r="V2536" s="1">
        <v>0</v>
      </c>
    </row>
    <row r="2537" spans="2:22" x14ac:dyDescent="0.15">
      <c r="B2537" s="1" t="str">
        <f>"155****2561"</f>
        <v>155****2561</v>
      </c>
      <c r="C2537" s="1" t="s">
        <v>99</v>
      </c>
      <c r="D2537" s="1" t="str">
        <f t="shared" si="257"/>
        <v>89177328</v>
      </c>
      <c r="E2537" s="1" t="s">
        <v>24</v>
      </c>
      <c r="F2537" s="1" t="str">
        <f t="shared" si="258"/>
        <v>0010</v>
      </c>
      <c r="G2537" s="1" t="str">
        <f>""</f>
        <v/>
      </c>
      <c r="H2537" s="1" t="str">
        <f>"0031"</f>
        <v>0031</v>
      </c>
      <c r="I2537" s="1" t="s">
        <v>95</v>
      </c>
      <c r="J2537" s="1" t="str">
        <f>"01043977565"</f>
        <v>01043977565</v>
      </c>
      <c r="K2537" s="1" t="str">
        <f>"2017-03-21 08:45:40"</f>
        <v>2017-03-21 08:45:40</v>
      </c>
      <c r="L2537" s="1" t="str">
        <f>"2017-03-21 08:45:47"</f>
        <v>2017-03-21 08:45:47</v>
      </c>
      <c r="M2537" s="2">
        <v>2.5000000000000001E-3</v>
      </c>
      <c r="N2537" s="1" t="s">
        <v>26</v>
      </c>
      <c r="O2537" s="1" t="s">
        <v>27</v>
      </c>
      <c r="P2537" s="2">
        <v>2.5810185185185185E-3</v>
      </c>
      <c r="Q2537" s="1" t="s">
        <v>1834</v>
      </c>
      <c r="R2537" s="1">
        <v>0</v>
      </c>
      <c r="S2537" s="1" t="str">
        <f>""</f>
        <v/>
      </c>
      <c r="T2537" s="1" t="s">
        <v>29</v>
      </c>
      <c r="U2537" s="1" t="s">
        <v>30</v>
      </c>
      <c r="V2537" s="1">
        <v>0</v>
      </c>
    </row>
    <row r="2538" spans="2:22" x14ac:dyDescent="0.15">
      <c r="B2538" s="1" t="str">
        <f>"177****8236"</f>
        <v>177****8236</v>
      </c>
      <c r="C2538" s="1" t="s">
        <v>23</v>
      </c>
      <c r="D2538" s="1" t="str">
        <f t="shared" si="257"/>
        <v>89177328</v>
      </c>
      <c r="E2538" s="1" t="s">
        <v>24</v>
      </c>
      <c r="F2538" s="1" t="str">
        <f t="shared" si="258"/>
        <v>0010</v>
      </c>
      <c r="G2538" s="1" t="str">
        <f>""</f>
        <v/>
      </c>
      <c r="H2538" s="1" t="str">
        <f>"0031"</f>
        <v>0031</v>
      </c>
      <c r="I2538" s="1" t="s">
        <v>95</v>
      </c>
      <c r="J2538" s="1" t="str">
        <f>"01043977565"</f>
        <v>01043977565</v>
      </c>
      <c r="K2538" s="1" t="str">
        <f>"2017-03-21 08:26:08"</f>
        <v>2017-03-21 08:26:08</v>
      </c>
      <c r="L2538" s="1" t="str">
        <f>"2017-03-21 08:26:16"</f>
        <v>2017-03-21 08:26:16</v>
      </c>
      <c r="M2538" s="2">
        <v>2.7430555555555559E-3</v>
      </c>
      <c r="N2538" s="1" t="s">
        <v>26</v>
      </c>
      <c r="O2538" s="1" t="s">
        <v>34</v>
      </c>
      <c r="P2538" s="2">
        <v>2.8356481481481479E-3</v>
      </c>
      <c r="Q2538" s="1" t="s">
        <v>1835</v>
      </c>
      <c r="R2538" s="1">
        <v>0</v>
      </c>
      <c r="S2538" s="1" t="str">
        <f>""</f>
        <v/>
      </c>
      <c r="T2538" s="1" t="s">
        <v>29</v>
      </c>
      <c r="U2538" s="1" t="s">
        <v>30</v>
      </c>
      <c r="V2538" s="1">
        <v>0</v>
      </c>
    </row>
    <row r="2539" spans="2:22" x14ac:dyDescent="0.15">
      <c r="B2539" s="1" t="str">
        <f>"173****7520"</f>
        <v>173****7520</v>
      </c>
      <c r="C2539" s="1" t="s">
        <v>23</v>
      </c>
      <c r="D2539" s="1" t="str">
        <f t="shared" si="257"/>
        <v>89177328</v>
      </c>
      <c r="E2539" s="1" t="s">
        <v>24</v>
      </c>
      <c r="F2539" s="1" t="str">
        <f t="shared" si="258"/>
        <v>0010</v>
      </c>
      <c r="G2539" s="1" t="str">
        <f>""</f>
        <v/>
      </c>
      <c r="H2539" s="1" t="str">
        <f>"0010"</f>
        <v>0010</v>
      </c>
      <c r="I2539" s="1" t="s">
        <v>71</v>
      </c>
      <c r="J2539" s="1" t="str">
        <f>"01043989719"</f>
        <v>01043989719</v>
      </c>
      <c r="K2539" s="1" t="str">
        <f>"2017-03-21 08:20:54"</f>
        <v>2017-03-21 08:20:54</v>
      </c>
      <c r="L2539" s="1" t="str">
        <f>"2017-03-21 08:21:05"</f>
        <v>2017-03-21 08:21:05</v>
      </c>
      <c r="M2539" s="2">
        <v>6.875E-3</v>
      </c>
      <c r="N2539" s="1" t="s">
        <v>26</v>
      </c>
      <c r="O2539" s="1" t="s">
        <v>27</v>
      </c>
      <c r="P2539" s="2">
        <v>7.0023148148148154E-3</v>
      </c>
      <c r="Q2539" s="1" t="s">
        <v>1836</v>
      </c>
      <c r="R2539" s="1">
        <v>0</v>
      </c>
      <c r="S2539" s="1" t="str">
        <f>""</f>
        <v/>
      </c>
      <c r="T2539" s="1" t="s">
        <v>29</v>
      </c>
      <c r="U2539" s="1" t="s">
        <v>30</v>
      </c>
      <c r="V2539" s="1">
        <v>0</v>
      </c>
    </row>
    <row r="2540" spans="2:22" x14ac:dyDescent="0.15">
      <c r="B2540" s="1" t="str">
        <f>"138****1068"</f>
        <v>138****1068</v>
      </c>
      <c r="C2540" s="1" t="s">
        <v>99</v>
      </c>
      <c r="D2540" s="1" t="str">
        <f t="shared" si="257"/>
        <v>89177328</v>
      </c>
      <c r="E2540" s="1" t="s">
        <v>24</v>
      </c>
      <c r="F2540" s="1" t="str">
        <f t="shared" si="258"/>
        <v>0010</v>
      </c>
      <c r="G2540" s="1" t="str">
        <f>""</f>
        <v/>
      </c>
      <c r="H2540" s="1" t="str">
        <f>"0033"</f>
        <v>0033</v>
      </c>
      <c r="I2540" s="1" t="s">
        <v>106</v>
      </c>
      <c r="J2540" s="1" t="str">
        <f>"01043977567"</f>
        <v>01043977567</v>
      </c>
      <c r="K2540" s="1" t="str">
        <f>"2017-03-21 08:20:36"</f>
        <v>2017-03-21 08:20:36</v>
      </c>
      <c r="L2540" s="1" t="str">
        <f>"2017-03-21 08:20:41"</f>
        <v>2017-03-21 08:20:41</v>
      </c>
      <c r="M2540" s="2">
        <v>9.5949074074074079E-3</v>
      </c>
      <c r="N2540" s="1" t="s">
        <v>26</v>
      </c>
      <c r="O2540" s="1" t="s">
        <v>27</v>
      </c>
      <c r="P2540" s="2">
        <v>9.6527777777777775E-3</v>
      </c>
      <c r="Q2540" s="1" t="s">
        <v>1837</v>
      </c>
      <c r="R2540" s="1">
        <v>0</v>
      </c>
      <c r="S2540" s="1" t="str">
        <f>""</f>
        <v/>
      </c>
      <c r="T2540" s="1" t="s">
        <v>29</v>
      </c>
      <c r="U2540" s="1" t="s">
        <v>30</v>
      </c>
      <c r="V2540" s="1">
        <v>0</v>
      </c>
    </row>
    <row r="2541" spans="2:22" x14ac:dyDescent="0.15">
      <c r="B2541" s="1" t="str">
        <f>"010****9089"</f>
        <v>010****9089</v>
      </c>
      <c r="C2541" s="1" t="s">
        <v>23</v>
      </c>
      <c r="D2541" s="1" t="str">
        <f t="shared" si="257"/>
        <v>89177328</v>
      </c>
      <c r="E2541" s="1" t="s">
        <v>24</v>
      </c>
      <c r="F2541" s="1" t="str">
        <f t="shared" si="258"/>
        <v>0010</v>
      </c>
      <c r="G2541" s="1" t="str">
        <f>""</f>
        <v/>
      </c>
      <c r="H2541" s="1" t="str">
        <f>"0010"</f>
        <v>0010</v>
      </c>
      <c r="I2541" s="1" t="s">
        <v>71</v>
      </c>
      <c r="J2541" s="1" t="str">
        <f>"01043989719"</f>
        <v>01043989719</v>
      </c>
      <c r="K2541" s="1" t="str">
        <f>"2017-03-21 08:15:48"</f>
        <v>2017-03-21 08:15:48</v>
      </c>
      <c r="L2541" s="1" t="str">
        <f>"2017-03-21 08:16:00"</f>
        <v>2017-03-21 08:16:00</v>
      </c>
      <c r="M2541" s="2">
        <v>3.0787037037037037E-3</v>
      </c>
      <c r="N2541" s="1" t="s">
        <v>26</v>
      </c>
      <c r="O2541" s="1" t="s">
        <v>34</v>
      </c>
      <c r="P2541" s="2">
        <v>3.2175925925925926E-3</v>
      </c>
      <c r="Q2541" s="1" t="s">
        <v>1838</v>
      </c>
      <c r="R2541" s="1">
        <v>0</v>
      </c>
      <c r="S2541" s="1" t="str">
        <f>""</f>
        <v/>
      </c>
      <c r="T2541" s="1" t="s">
        <v>29</v>
      </c>
      <c r="U2541" s="1" t="s">
        <v>30</v>
      </c>
      <c r="V2541" s="1">
        <v>0</v>
      </c>
    </row>
    <row r="2542" spans="2:22" x14ac:dyDescent="0.15">
      <c r="B2542" s="1" t="str">
        <f>"130****1956"</f>
        <v>130****1956</v>
      </c>
      <c r="C2542" s="1" t="s">
        <v>831</v>
      </c>
      <c r="D2542" s="1" t="str">
        <f t="shared" si="257"/>
        <v>89177328</v>
      </c>
      <c r="E2542" s="1" t="s">
        <v>24</v>
      </c>
      <c r="F2542" s="1" t="str">
        <f t="shared" si="258"/>
        <v>0010</v>
      </c>
      <c r="G2542" s="1" t="str">
        <f>""</f>
        <v/>
      </c>
      <c r="H2542" s="1" t="str">
        <f>"0012"</f>
        <v>0012</v>
      </c>
      <c r="I2542" s="1" t="s">
        <v>612</v>
      </c>
      <c r="J2542" s="1" t="str">
        <f>"01043989720"</f>
        <v>01043989720</v>
      </c>
      <c r="K2542" s="1" t="str">
        <f>"2017-03-21 08:11:47"</f>
        <v>2017-03-21 08:11:47</v>
      </c>
      <c r="L2542" s="1" t="str">
        <f>"2017-03-21 08:11:58"</f>
        <v>2017-03-21 08:11:58</v>
      </c>
      <c r="M2542" s="2">
        <v>1.2604166666666666E-2</v>
      </c>
      <c r="N2542" s="1" t="s">
        <v>26</v>
      </c>
      <c r="O2542" s="1" t="s">
        <v>34</v>
      </c>
      <c r="P2542" s="2">
        <v>1.2731481481481481E-2</v>
      </c>
      <c r="Q2542" s="1" t="s">
        <v>1839</v>
      </c>
      <c r="R2542" s="1">
        <v>0</v>
      </c>
      <c r="S2542" s="1" t="str">
        <f>""</f>
        <v/>
      </c>
      <c r="T2542" s="1" t="s">
        <v>29</v>
      </c>
      <c r="U2542" s="1" t="s">
        <v>30</v>
      </c>
      <c r="V2542" s="1">
        <v>0</v>
      </c>
    </row>
    <row r="2543" spans="2:22" x14ac:dyDescent="0.15">
      <c r="B2543" s="1" t="str">
        <f>"173****7241"</f>
        <v>173****7241</v>
      </c>
      <c r="C2543" s="1" t="s">
        <v>23</v>
      </c>
      <c r="D2543" s="1" t="str">
        <f t="shared" si="257"/>
        <v>89177328</v>
      </c>
      <c r="E2543" s="1" t="s">
        <v>24</v>
      </c>
      <c r="F2543" s="1" t="str">
        <f t="shared" si="258"/>
        <v>0010</v>
      </c>
      <c r="G2543" s="1" t="str">
        <f>""</f>
        <v/>
      </c>
      <c r="H2543" s="1" t="str">
        <f>"0034"</f>
        <v>0034</v>
      </c>
      <c r="I2543" s="1" t="s">
        <v>31</v>
      </c>
      <c r="J2543" s="1" t="str">
        <f>"01043977568"</f>
        <v>01043977568</v>
      </c>
      <c r="K2543" s="1" t="str">
        <f>"2017-03-20 20:24:55"</f>
        <v>2017-03-20 20:24:55</v>
      </c>
      <c r="L2543" s="1" t="str">
        <f>"2017-03-20 20:25:05"</f>
        <v>2017-03-20 20:25:05</v>
      </c>
      <c r="M2543" s="2">
        <v>1.0763888888888891E-2</v>
      </c>
      <c r="N2543" s="1" t="s">
        <v>26</v>
      </c>
      <c r="O2543" s="1" t="s">
        <v>27</v>
      </c>
      <c r="P2543" s="2">
        <v>1.087962962962963E-2</v>
      </c>
      <c r="Q2543" s="1" t="s">
        <v>1840</v>
      </c>
      <c r="R2543" s="1">
        <v>0</v>
      </c>
      <c r="S2543" s="1" t="str">
        <f>""</f>
        <v/>
      </c>
      <c r="T2543" s="1" t="s">
        <v>29</v>
      </c>
      <c r="U2543" s="1" t="s">
        <v>30</v>
      </c>
      <c r="V2543" s="1">
        <v>0</v>
      </c>
    </row>
    <row r="2544" spans="2:22" x14ac:dyDescent="0.15">
      <c r="B2544" s="1" t="str">
        <f>"180****2739"</f>
        <v>180****2739</v>
      </c>
      <c r="C2544" s="1" t="s">
        <v>99</v>
      </c>
      <c r="D2544" s="1" t="str">
        <f t="shared" si="257"/>
        <v>89177328</v>
      </c>
      <c r="E2544" s="1" t="s">
        <v>24</v>
      </c>
      <c r="F2544" s="1" t="str">
        <f t="shared" si="258"/>
        <v>0010</v>
      </c>
      <c r="G2544" s="1" t="str">
        <f>""</f>
        <v/>
      </c>
      <c r="H2544" s="1" t="str">
        <f>"0034"</f>
        <v>0034</v>
      </c>
      <c r="I2544" s="1" t="s">
        <v>31</v>
      </c>
      <c r="J2544" s="1" t="str">
        <f>"01043977568"</f>
        <v>01043977568</v>
      </c>
      <c r="K2544" s="1" t="str">
        <f>"2017-03-20 20:16:50"</f>
        <v>2017-03-20 20:16:50</v>
      </c>
      <c r="L2544" s="1" t="str">
        <f>"2017-03-20 20:17:00"</f>
        <v>2017-03-20 20:17:00</v>
      </c>
      <c r="M2544" s="2">
        <v>2.615740740740741E-3</v>
      </c>
      <c r="N2544" s="1" t="s">
        <v>26</v>
      </c>
      <c r="O2544" s="1" t="s">
        <v>34</v>
      </c>
      <c r="P2544" s="2">
        <v>2.7314814814814819E-3</v>
      </c>
      <c r="Q2544" s="1" t="s">
        <v>1841</v>
      </c>
      <c r="R2544" s="1">
        <v>0</v>
      </c>
      <c r="S2544" s="1" t="str">
        <f>""</f>
        <v/>
      </c>
      <c r="T2544" s="1" t="s">
        <v>29</v>
      </c>
      <c r="U2544" s="1" t="s">
        <v>30</v>
      </c>
      <c r="V2544" s="1">
        <v>0</v>
      </c>
    </row>
    <row r="2545" spans="2:22" x14ac:dyDescent="0.15">
      <c r="B2545" s="1" t="str">
        <f>"150****4356"</f>
        <v>150****4356</v>
      </c>
      <c r="C2545" s="1" t="s">
        <v>23</v>
      </c>
      <c r="D2545" s="1" t="str">
        <f t="shared" si="257"/>
        <v>89177328</v>
      </c>
      <c r="E2545" s="1" t="s">
        <v>24</v>
      </c>
      <c r="F2545" s="1" t="str">
        <f t="shared" si="258"/>
        <v>0010</v>
      </c>
      <c r="G2545" s="1" t="str">
        <f>""</f>
        <v/>
      </c>
      <c r="H2545" s="1" t="str">
        <f>"0031"</f>
        <v>0031</v>
      </c>
      <c r="I2545" s="1" t="s">
        <v>95</v>
      </c>
      <c r="J2545" s="1" t="str">
        <f>"01043977565"</f>
        <v>01043977565</v>
      </c>
      <c r="K2545" s="1" t="str">
        <f>"2017-03-20 20:10:42"</f>
        <v>2017-03-20 20:10:42</v>
      </c>
      <c r="L2545" s="1" t="str">
        <f>"2017-03-20 20:10:50"</f>
        <v>2017-03-20 20:10:50</v>
      </c>
      <c r="M2545" s="2">
        <v>1.3344907407407408E-2</v>
      </c>
      <c r="N2545" s="1" t="s">
        <v>26</v>
      </c>
      <c r="O2545" s="1" t="s">
        <v>27</v>
      </c>
      <c r="P2545" s="2">
        <v>1.34375E-2</v>
      </c>
      <c r="Q2545" s="1" t="s">
        <v>1842</v>
      </c>
      <c r="R2545" s="1">
        <v>0</v>
      </c>
      <c r="S2545" s="1" t="str">
        <f>""</f>
        <v/>
      </c>
      <c r="T2545" s="1" t="s">
        <v>29</v>
      </c>
      <c r="U2545" s="1" t="s">
        <v>30</v>
      </c>
      <c r="V2545" s="1">
        <v>0</v>
      </c>
    </row>
    <row r="2546" spans="2:22" x14ac:dyDescent="0.15">
      <c r="B2546" s="1" t="str">
        <f>"010****1324"</f>
        <v>010****1324</v>
      </c>
      <c r="C2546" s="1" t="s">
        <v>23</v>
      </c>
      <c r="D2546" s="1" t="str">
        <f t="shared" si="257"/>
        <v>89177328</v>
      </c>
      <c r="E2546" s="1" t="s">
        <v>24</v>
      </c>
      <c r="F2546" s="1" t="str">
        <f t="shared" si="258"/>
        <v>0010</v>
      </c>
      <c r="G2546" s="1" t="str">
        <f>""</f>
        <v/>
      </c>
      <c r="H2546" s="1" t="str">
        <f>"0034"</f>
        <v>0034</v>
      </c>
      <c r="I2546" s="1" t="s">
        <v>31</v>
      </c>
      <c r="J2546" s="1" t="str">
        <f>"01043977568"</f>
        <v>01043977568</v>
      </c>
      <c r="K2546" s="1" t="str">
        <f>"2017-03-20 19:22:23"</f>
        <v>2017-03-20 19:22:23</v>
      </c>
      <c r="L2546" s="1" t="str">
        <f>"2017-03-20 19:22:32"</f>
        <v>2017-03-20 19:22:32</v>
      </c>
      <c r="M2546" s="2">
        <v>3.2754629629629631E-3</v>
      </c>
      <c r="N2546" s="1" t="s">
        <v>26</v>
      </c>
      <c r="O2546" s="1" t="s">
        <v>34</v>
      </c>
      <c r="P2546" s="2">
        <v>3.37962962962963E-3</v>
      </c>
      <c r="Q2546" s="1" t="s">
        <v>1843</v>
      </c>
      <c r="R2546" s="1">
        <v>0</v>
      </c>
      <c r="S2546" s="1" t="str">
        <f>""</f>
        <v/>
      </c>
      <c r="T2546" s="1" t="s">
        <v>29</v>
      </c>
      <c r="U2546" s="1" t="s">
        <v>30</v>
      </c>
      <c r="V2546" s="1">
        <v>0</v>
      </c>
    </row>
    <row r="2547" spans="2:22" x14ac:dyDescent="0.15">
      <c r="B2547" s="1" t="str">
        <f>"151****9431"</f>
        <v>151****9431</v>
      </c>
      <c r="C2547" s="1" t="s">
        <v>102</v>
      </c>
      <c r="D2547" s="1" t="str">
        <f t="shared" si="257"/>
        <v>89177328</v>
      </c>
      <c r="E2547" s="1" t="s">
        <v>24</v>
      </c>
      <c r="F2547" s="1" t="str">
        <f t="shared" si="258"/>
        <v>0010</v>
      </c>
      <c r="G2547" s="1" t="str">
        <f>""</f>
        <v/>
      </c>
      <c r="H2547" s="1" t="str">
        <f>"0034"</f>
        <v>0034</v>
      </c>
      <c r="I2547" s="1" t="s">
        <v>31</v>
      </c>
      <c r="J2547" s="1" t="str">
        <f>"01043977568"</f>
        <v>01043977568</v>
      </c>
      <c r="K2547" s="1" t="str">
        <f>"2017-03-20 19:20:55"</f>
        <v>2017-03-20 19:20:55</v>
      </c>
      <c r="L2547" s="1" t="str">
        <f>"-"</f>
        <v>-</v>
      </c>
      <c r="M2547" s="2">
        <v>0</v>
      </c>
      <c r="N2547" s="1" t="s">
        <v>33</v>
      </c>
      <c r="O2547" s="1" t="s">
        <v>34</v>
      </c>
      <c r="P2547" s="2">
        <v>2.3148148148148147E-5</v>
      </c>
      <c r="Q2547" s="1" t="str">
        <f>""</f>
        <v/>
      </c>
      <c r="R2547" s="1">
        <v>0</v>
      </c>
      <c r="S2547" s="1" t="str">
        <f>""</f>
        <v/>
      </c>
      <c r="T2547" s="1" t="s">
        <v>29</v>
      </c>
      <c r="U2547" s="1" t="s">
        <v>30</v>
      </c>
      <c r="V2547" s="1">
        <v>0</v>
      </c>
    </row>
    <row r="2548" spans="2:22" x14ac:dyDescent="0.15">
      <c r="B2548" s="1" t="str">
        <f>"177****7238"</f>
        <v>177****7238</v>
      </c>
      <c r="C2548" s="1" t="s">
        <v>23</v>
      </c>
      <c r="D2548" s="1" t="str">
        <f t="shared" si="257"/>
        <v>89177328</v>
      </c>
      <c r="E2548" s="1" t="s">
        <v>24</v>
      </c>
      <c r="F2548" s="1" t="str">
        <f t="shared" si="258"/>
        <v>0010</v>
      </c>
      <c r="G2548" s="1" t="str">
        <f>""</f>
        <v/>
      </c>
      <c r="H2548" s="1" t="str">
        <f>""</f>
        <v/>
      </c>
      <c r="I2548" s="1" t="str">
        <f>""</f>
        <v/>
      </c>
      <c r="J2548" s="1" t="str">
        <f>""</f>
        <v/>
      </c>
      <c r="K2548" s="1" t="str">
        <f>"2017-03-20 19:00:23"</f>
        <v>2017-03-20 19:00:23</v>
      </c>
      <c r="L2548" s="1" t="str">
        <f>"-"</f>
        <v>-</v>
      </c>
      <c r="M2548" s="2">
        <v>0</v>
      </c>
      <c r="N2548" s="1" t="s">
        <v>55</v>
      </c>
      <c r="O2548" s="1" t="s">
        <v>34</v>
      </c>
      <c r="P2548" s="2">
        <v>1.0416666666666667E-4</v>
      </c>
      <c r="Q2548" s="1" t="str">
        <f>""</f>
        <v/>
      </c>
      <c r="R2548" s="1">
        <v>0</v>
      </c>
      <c r="S2548" s="1" t="str">
        <f>""</f>
        <v/>
      </c>
      <c r="T2548" s="1" t="s">
        <v>29</v>
      </c>
      <c r="U2548" s="1" t="s">
        <v>30</v>
      </c>
      <c r="V2548" s="1">
        <v>0</v>
      </c>
    </row>
    <row r="2549" spans="2:22" x14ac:dyDescent="0.15">
      <c r="B2549" s="1" t="str">
        <f>"135****7059"</f>
        <v>135****7059</v>
      </c>
      <c r="C2549" s="1" t="s">
        <v>23</v>
      </c>
      <c r="D2549" s="1" t="str">
        <f t="shared" si="257"/>
        <v>89177328</v>
      </c>
      <c r="E2549" s="1" t="s">
        <v>24</v>
      </c>
      <c r="F2549" s="1" t="str">
        <f t="shared" si="258"/>
        <v>0010</v>
      </c>
      <c r="G2549" s="1" t="str">
        <f>""</f>
        <v/>
      </c>
      <c r="H2549" s="1" t="str">
        <f>""</f>
        <v/>
      </c>
      <c r="I2549" s="1" t="str">
        <f>""</f>
        <v/>
      </c>
      <c r="J2549" s="1" t="str">
        <f>""</f>
        <v/>
      </c>
      <c r="K2549" s="1" t="str">
        <f>"2017-03-20 18:58:21"</f>
        <v>2017-03-20 18:58:21</v>
      </c>
      <c r="L2549" s="1" t="str">
        <f>"-"</f>
        <v>-</v>
      </c>
      <c r="M2549" s="2">
        <v>0</v>
      </c>
      <c r="N2549" s="1" t="s">
        <v>55</v>
      </c>
      <c r="O2549" s="1" t="s">
        <v>34</v>
      </c>
      <c r="P2549" s="2">
        <v>1.1226851851851851E-3</v>
      </c>
      <c r="Q2549" s="1" t="str">
        <f>""</f>
        <v/>
      </c>
      <c r="R2549" s="1">
        <v>0</v>
      </c>
      <c r="S2549" s="1" t="str">
        <f>""</f>
        <v/>
      </c>
      <c r="T2549" s="1" t="s">
        <v>29</v>
      </c>
      <c r="U2549" s="1" t="s">
        <v>30</v>
      </c>
      <c r="V2549" s="1">
        <v>0</v>
      </c>
    </row>
    <row r="2550" spans="2:22" x14ac:dyDescent="0.15">
      <c r="B2550" s="1" t="str">
        <f>"135****1983"</f>
        <v>135****1983</v>
      </c>
      <c r="C2550" s="1" t="s">
        <v>23</v>
      </c>
      <c r="D2550" s="1" t="str">
        <f t="shared" si="257"/>
        <v>89177328</v>
      </c>
      <c r="E2550" s="1" t="s">
        <v>24</v>
      </c>
      <c r="F2550" s="1" t="str">
        <f t="shared" si="258"/>
        <v>0010</v>
      </c>
      <c r="G2550" s="1" t="str">
        <f>""</f>
        <v/>
      </c>
      <c r="H2550" s="1" t="str">
        <f>"0034"</f>
        <v>0034</v>
      </c>
      <c r="I2550" s="1" t="s">
        <v>31</v>
      </c>
      <c r="J2550" s="1" t="str">
        <f>"01043977568"</f>
        <v>01043977568</v>
      </c>
      <c r="K2550" s="1" t="str">
        <f>"2017-03-20 18:57:58"</f>
        <v>2017-03-20 18:57:58</v>
      </c>
      <c r="L2550" s="1" t="str">
        <f>"2017-03-20 18:58:47"</f>
        <v>2017-03-20 18:58:47</v>
      </c>
      <c r="M2550" s="2">
        <v>4.5717592592592589E-3</v>
      </c>
      <c r="N2550" s="1" t="s">
        <v>26</v>
      </c>
      <c r="O2550" s="1" t="s">
        <v>27</v>
      </c>
      <c r="P2550" s="2">
        <v>5.138888888888889E-3</v>
      </c>
      <c r="Q2550" s="1" t="s">
        <v>1844</v>
      </c>
      <c r="R2550" s="1">
        <v>0</v>
      </c>
      <c r="S2550" s="1" t="str">
        <f>""</f>
        <v/>
      </c>
      <c r="T2550" s="1" t="s">
        <v>29</v>
      </c>
      <c r="U2550" s="1" t="s">
        <v>30</v>
      </c>
      <c r="V2550" s="1">
        <v>0</v>
      </c>
    </row>
    <row r="2551" spans="2:22" x14ac:dyDescent="0.15">
      <c r="B2551" s="1" t="str">
        <f>"0312150****6886"</f>
        <v>0312150****6886</v>
      </c>
      <c r="C2551" s="1" t="s">
        <v>99</v>
      </c>
      <c r="D2551" s="1" t="str">
        <f t="shared" si="257"/>
        <v>89177328</v>
      </c>
      <c r="E2551" s="1" t="s">
        <v>24</v>
      </c>
      <c r="F2551" s="1" t="str">
        <f t="shared" si="258"/>
        <v>0010</v>
      </c>
      <c r="G2551" s="1" t="str">
        <f>""</f>
        <v/>
      </c>
      <c r="H2551" s="1" t="str">
        <f>"0018"</f>
        <v>0018</v>
      </c>
      <c r="I2551" s="1" t="s">
        <v>36</v>
      </c>
      <c r="J2551" s="1" t="str">
        <f>"01043989718"</f>
        <v>01043989718</v>
      </c>
      <c r="K2551" s="1" t="str">
        <f>"2017-03-20 18:53:22"</f>
        <v>2017-03-20 18:53:22</v>
      </c>
      <c r="L2551" s="1" t="str">
        <f>"2017-03-20 18:53:30"</f>
        <v>2017-03-20 18:53:30</v>
      </c>
      <c r="M2551" s="2">
        <v>1.1944444444444445E-2</v>
      </c>
      <c r="N2551" s="1" t="s">
        <v>26</v>
      </c>
      <c r="O2551" s="1" t="s">
        <v>34</v>
      </c>
      <c r="P2551" s="2">
        <v>1.2037037037037035E-2</v>
      </c>
      <c r="Q2551" s="1" t="s">
        <v>1845</v>
      </c>
      <c r="R2551" s="1">
        <v>0</v>
      </c>
      <c r="S2551" s="1" t="str">
        <f>""</f>
        <v/>
      </c>
      <c r="T2551" s="1" t="s">
        <v>29</v>
      </c>
      <c r="U2551" s="1" t="s">
        <v>30</v>
      </c>
      <c r="V2551" s="1">
        <v>0</v>
      </c>
    </row>
    <row r="2552" spans="2:22" x14ac:dyDescent="0.15">
      <c r="B2552" s="1" t="str">
        <f>"136****2737"</f>
        <v>136****2737</v>
      </c>
      <c r="C2552" s="1" t="s">
        <v>23</v>
      </c>
      <c r="D2552" s="1" t="str">
        <f t="shared" si="257"/>
        <v>89177328</v>
      </c>
      <c r="E2552" s="1" t="s">
        <v>24</v>
      </c>
      <c r="F2552" s="1" t="str">
        <f t="shared" si="258"/>
        <v>0010</v>
      </c>
      <c r="G2552" s="1" t="str">
        <f>""</f>
        <v/>
      </c>
      <c r="H2552" s="1" t="str">
        <f>"0034"</f>
        <v>0034</v>
      </c>
      <c r="I2552" s="1" t="s">
        <v>31</v>
      </c>
      <c r="J2552" s="1" t="str">
        <f>"01043977568"</f>
        <v>01043977568</v>
      </c>
      <c r="K2552" s="1" t="str">
        <f>"2017-03-20 18:53:15"</f>
        <v>2017-03-20 18:53:15</v>
      </c>
      <c r="L2552" s="1" t="str">
        <f>"2017-03-20 18:53:24"</f>
        <v>2017-03-20 18:53:24</v>
      </c>
      <c r="M2552" s="2">
        <v>3.5416666666666665E-3</v>
      </c>
      <c r="N2552" s="1" t="s">
        <v>26</v>
      </c>
      <c r="O2552" s="1" t="s">
        <v>34</v>
      </c>
      <c r="P2552" s="2">
        <v>3.645833333333333E-3</v>
      </c>
      <c r="Q2552" s="1" t="s">
        <v>1846</v>
      </c>
      <c r="R2552" s="1">
        <v>0</v>
      </c>
      <c r="S2552" s="1" t="str">
        <f>""</f>
        <v/>
      </c>
      <c r="T2552" s="1" t="s">
        <v>29</v>
      </c>
      <c r="U2552" s="1" t="s">
        <v>30</v>
      </c>
      <c r="V2552" s="1">
        <v>0</v>
      </c>
    </row>
    <row r="2553" spans="2:22" x14ac:dyDescent="0.15">
      <c r="B2553" s="1" t="str">
        <f>"130****7022"</f>
        <v>130****7022</v>
      </c>
      <c r="C2553" s="1" t="s">
        <v>23</v>
      </c>
      <c r="D2553" s="1" t="str">
        <f t="shared" si="257"/>
        <v>89177328</v>
      </c>
      <c r="E2553" s="1" t="s">
        <v>24</v>
      </c>
      <c r="F2553" s="1" t="str">
        <f t="shared" si="258"/>
        <v>0010</v>
      </c>
      <c r="G2553" s="1" t="str">
        <f>""</f>
        <v/>
      </c>
      <c r="H2553" s="1" t="str">
        <f>"0018"</f>
        <v>0018</v>
      </c>
      <c r="I2553" s="1" t="s">
        <v>36</v>
      </c>
      <c r="J2553" s="1" t="str">
        <f>"01043989718"</f>
        <v>01043989718</v>
      </c>
      <c r="K2553" s="1" t="str">
        <f>"2017-03-20 18:28:59"</f>
        <v>2017-03-20 18:28:59</v>
      </c>
      <c r="L2553" s="1" t="str">
        <f>"2017-03-20 18:29:06"</f>
        <v>2017-03-20 18:29:06</v>
      </c>
      <c r="M2553" s="2">
        <v>7.7777777777777767E-3</v>
      </c>
      <c r="N2553" s="1" t="s">
        <v>26</v>
      </c>
      <c r="O2553" s="1" t="s">
        <v>34</v>
      </c>
      <c r="P2553" s="2">
        <v>7.858796296296296E-3</v>
      </c>
      <c r="Q2553" s="1" t="s">
        <v>1847</v>
      </c>
      <c r="R2553" s="1">
        <v>0</v>
      </c>
      <c r="S2553" s="1" t="str">
        <f>""</f>
        <v/>
      </c>
      <c r="T2553" s="1" t="s">
        <v>29</v>
      </c>
      <c r="U2553" s="1" t="s">
        <v>30</v>
      </c>
      <c r="V2553" s="1">
        <v>0</v>
      </c>
    </row>
    <row r="2554" spans="2:22" x14ac:dyDescent="0.15">
      <c r="B2554" s="1" t="str">
        <f>"186****6949"</f>
        <v>186****6949</v>
      </c>
      <c r="C2554" s="1" t="s">
        <v>1848</v>
      </c>
      <c r="D2554" s="1" t="str">
        <f t="shared" si="257"/>
        <v>89177328</v>
      </c>
      <c r="E2554" s="1" t="s">
        <v>24</v>
      </c>
      <c r="F2554" s="1" t="str">
        <f t="shared" si="258"/>
        <v>0010</v>
      </c>
      <c r="G2554" s="1" t="str">
        <f>""</f>
        <v/>
      </c>
      <c r="H2554" s="1" t="str">
        <f>"0034"</f>
        <v>0034</v>
      </c>
      <c r="I2554" s="1" t="s">
        <v>31</v>
      </c>
      <c r="J2554" s="1" t="str">
        <f>"01043977568"</f>
        <v>01043977568</v>
      </c>
      <c r="K2554" s="1" t="str">
        <f>"2017-03-20 18:18:46"</f>
        <v>2017-03-20 18:18:46</v>
      </c>
      <c r="L2554" s="1" t="str">
        <f>"2017-03-20 18:18:55"</f>
        <v>2017-03-20 18:18:55</v>
      </c>
      <c r="M2554" s="2">
        <v>1.1041666666666667E-2</v>
      </c>
      <c r="N2554" s="1" t="s">
        <v>26</v>
      </c>
      <c r="O2554" s="1" t="s">
        <v>34</v>
      </c>
      <c r="P2554" s="2">
        <v>1.1145833333333334E-2</v>
      </c>
      <c r="Q2554" s="1" t="s">
        <v>1849</v>
      </c>
      <c r="R2554" s="1">
        <v>0</v>
      </c>
      <c r="S2554" s="1" t="str">
        <f>""</f>
        <v/>
      </c>
      <c r="T2554" s="1" t="s">
        <v>29</v>
      </c>
      <c r="U2554" s="1" t="s">
        <v>30</v>
      </c>
      <c r="V2554" s="1">
        <v>0</v>
      </c>
    </row>
    <row r="2555" spans="2:22" x14ac:dyDescent="0.15">
      <c r="B2555" s="1" t="str">
        <f>"189****5526"</f>
        <v>189****5526</v>
      </c>
      <c r="C2555" s="1" t="s">
        <v>81</v>
      </c>
      <c r="D2555" s="1" t="str">
        <f t="shared" si="257"/>
        <v>89177328</v>
      </c>
      <c r="E2555" s="1" t="s">
        <v>24</v>
      </c>
      <c r="F2555" s="1" t="str">
        <f t="shared" si="258"/>
        <v>0010</v>
      </c>
      <c r="G2555" s="1" t="str">
        <f>""</f>
        <v/>
      </c>
      <c r="H2555" s="1" t="str">
        <f>"0034"</f>
        <v>0034</v>
      </c>
      <c r="I2555" s="1" t="s">
        <v>31</v>
      </c>
      <c r="J2555" s="1" t="str">
        <f>"01043977568"</f>
        <v>01043977568</v>
      </c>
      <c r="K2555" s="1" t="str">
        <f>"2017-03-20 18:09:09"</f>
        <v>2017-03-20 18:09:09</v>
      </c>
      <c r="L2555" s="1" t="str">
        <f>"2017-03-20 18:09:18"</f>
        <v>2017-03-20 18:09:18</v>
      </c>
      <c r="M2555" s="2">
        <v>6.0416666666666665E-3</v>
      </c>
      <c r="N2555" s="1" t="s">
        <v>26</v>
      </c>
      <c r="O2555" s="1" t="s">
        <v>27</v>
      </c>
      <c r="P2555" s="2">
        <v>6.145833333333333E-3</v>
      </c>
      <c r="Q2555" s="1" t="s">
        <v>1850</v>
      </c>
      <c r="R2555" s="1">
        <v>0</v>
      </c>
      <c r="S2555" s="1" t="str">
        <f>""</f>
        <v/>
      </c>
      <c r="T2555" s="1" t="s">
        <v>29</v>
      </c>
      <c r="U2555" s="1" t="s">
        <v>30</v>
      </c>
      <c r="V2555" s="1">
        <v>0</v>
      </c>
    </row>
    <row r="2556" spans="2:22" x14ac:dyDescent="0.15">
      <c r="B2556" s="1" t="str">
        <f>"185****2620"</f>
        <v>185****2620</v>
      </c>
      <c r="C2556" s="1" t="s">
        <v>203</v>
      </c>
      <c r="D2556" s="1" t="str">
        <f t="shared" si="257"/>
        <v>89177328</v>
      </c>
      <c r="E2556" s="1" t="s">
        <v>24</v>
      </c>
      <c r="F2556" s="1" t="str">
        <f t="shared" si="258"/>
        <v>0010</v>
      </c>
      <c r="G2556" s="1" t="str">
        <f>""</f>
        <v/>
      </c>
      <c r="H2556" s="1" t="str">
        <f>"0034"</f>
        <v>0034</v>
      </c>
      <c r="I2556" s="1" t="s">
        <v>31</v>
      </c>
      <c r="J2556" s="1" t="str">
        <f>"01043977568"</f>
        <v>01043977568</v>
      </c>
      <c r="K2556" s="1" t="str">
        <f>"2017-03-20 18:08:44"</f>
        <v>2017-03-20 18:08:44</v>
      </c>
      <c r="L2556" s="1" t="str">
        <f>"-"</f>
        <v>-</v>
      </c>
      <c r="M2556" s="2">
        <v>0</v>
      </c>
      <c r="N2556" s="1" t="s">
        <v>33</v>
      </c>
      <c r="O2556" s="1" t="s">
        <v>34</v>
      </c>
      <c r="P2556" s="2">
        <v>2.3148148148148147E-5</v>
      </c>
      <c r="Q2556" s="1" t="str">
        <f>""</f>
        <v/>
      </c>
      <c r="R2556" s="1">
        <v>0</v>
      </c>
      <c r="S2556" s="1" t="str">
        <f>""</f>
        <v/>
      </c>
      <c r="T2556" s="1" t="s">
        <v>29</v>
      </c>
      <c r="U2556" s="1" t="s">
        <v>30</v>
      </c>
      <c r="V2556" s="1">
        <v>0</v>
      </c>
    </row>
    <row r="2557" spans="2:22" x14ac:dyDescent="0.15">
      <c r="B2557" s="1" t="str">
        <f>"133****0100"</f>
        <v>133****0100</v>
      </c>
      <c r="C2557" s="1" t="s">
        <v>51</v>
      </c>
      <c r="D2557" s="1" t="str">
        <f>"4000108333"</f>
        <v>4000108333</v>
      </c>
      <c r="E2557" s="1" t="s">
        <v>53</v>
      </c>
      <c r="F2557" s="1" t="str">
        <f>""</f>
        <v/>
      </c>
      <c r="G2557" s="1" t="str">
        <f>""</f>
        <v/>
      </c>
      <c r="H2557" s="1" t="str">
        <f>""</f>
        <v/>
      </c>
      <c r="I2557" s="1" t="str">
        <f>""</f>
        <v/>
      </c>
      <c r="J2557" s="1" t="str">
        <f>""</f>
        <v/>
      </c>
      <c r="K2557" s="1" t="str">
        <f>"2017-03-20 18:06:07"</f>
        <v>2017-03-20 18:06:07</v>
      </c>
      <c r="L2557" s="1" t="str">
        <f>"-"</f>
        <v>-</v>
      </c>
      <c r="M2557" s="2">
        <v>0</v>
      </c>
      <c r="N2557" s="1" t="s">
        <v>55</v>
      </c>
      <c r="O2557" s="1" t="s">
        <v>34</v>
      </c>
      <c r="P2557" s="2">
        <v>3.1250000000000001E-4</v>
      </c>
      <c r="Q2557" s="1" t="str">
        <f>""</f>
        <v/>
      </c>
      <c r="R2557" s="1">
        <v>0.12</v>
      </c>
      <c r="S2557" s="1" t="str">
        <f>""</f>
        <v/>
      </c>
      <c r="T2557" s="1" t="s">
        <v>29</v>
      </c>
      <c r="U2557" s="1" t="s">
        <v>30</v>
      </c>
      <c r="V2557" s="1">
        <v>0</v>
      </c>
    </row>
    <row r="2558" spans="2:22" x14ac:dyDescent="0.15">
      <c r="B2558" s="1" t="str">
        <f>"138****5837"</f>
        <v>138****5837</v>
      </c>
      <c r="C2558" s="1" t="s">
        <v>23</v>
      </c>
      <c r="D2558" s="1" t="str">
        <f t="shared" ref="D2558:D2571" si="259">"89177328"</f>
        <v>89177328</v>
      </c>
      <c r="E2558" s="1" t="s">
        <v>24</v>
      </c>
      <c r="F2558" s="1" t="str">
        <f t="shared" ref="F2558:F2571" si="260">"0010"</f>
        <v>0010</v>
      </c>
      <c r="G2558" s="1" t="str">
        <f>""</f>
        <v/>
      </c>
      <c r="H2558" s="1" t="str">
        <f>"0034"</f>
        <v>0034</v>
      </c>
      <c r="I2558" s="1" t="s">
        <v>31</v>
      </c>
      <c r="J2558" s="1" t="str">
        <f>"01043977568"</f>
        <v>01043977568</v>
      </c>
      <c r="K2558" s="1" t="str">
        <f>"2017-03-20 17:52:07"</f>
        <v>2017-03-20 17:52:07</v>
      </c>
      <c r="L2558" s="1" t="str">
        <f>"2017-03-20 17:52:17"</f>
        <v>2017-03-20 17:52:17</v>
      </c>
      <c r="M2558" s="2">
        <v>1.0011574074074074E-2</v>
      </c>
      <c r="N2558" s="1" t="s">
        <v>26</v>
      </c>
      <c r="O2558" s="1" t="s">
        <v>34</v>
      </c>
      <c r="P2558" s="2">
        <v>1.0127314814814815E-2</v>
      </c>
      <c r="Q2558" s="1" t="s">
        <v>1851</v>
      </c>
      <c r="R2558" s="1">
        <v>0</v>
      </c>
      <c r="S2558" s="1" t="str">
        <f>""</f>
        <v/>
      </c>
      <c r="T2558" s="1" t="s">
        <v>29</v>
      </c>
      <c r="U2558" s="1" t="s">
        <v>30</v>
      </c>
      <c r="V2558" s="1">
        <v>0</v>
      </c>
    </row>
    <row r="2559" spans="2:22" x14ac:dyDescent="0.15">
      <c r="B2559" s="1" t="str">
        <f>"139****4201"</f>
        <v>139****4201</v>
      </c>
      <c r="C2559" s="1" t="s">
        <v>1127</v>
      </c>
      <c r="D2559" s="1" t="str">
        <f t="shared" si="259"/>
        <v>89177328</v>
      </c>
      <c r="E2559" s="1" t="s">
        <v>24</v>
      </c>
      <c r="F2559" s="1" t="str">
        <f t="shared" si="260"/>
        <v>0010</v>
      </c>
      <c r="G2559" s="1" t="str">
        <f>""</f>
        <v/>
      </c>
      <c r="H2559" s="1" t="str">
        <f>"0018"</f>
        <v>0018</v>
      </c>
      <c r="I2559" s="1" t="s">
        <v>36</v>
      </c>
      <c r="J2559" s="1" t="str">
        <f>"01043989718"</f>
        <v>01043989718</v>
      </c>
      <c r="K2559" s="1" t="str">
        <f>"2017-03-20 17:42:40"</f>
        <v>2017-03-20 17:42:40</v>
      </c>
      <c r="L2559" s="1" t="str">
        <f>"2017-03-20 17:42:47"</f>
        <v>2017-03-20 17:42:47</v>
      </c>
      <c r="M2559" s="2">
        <v>1.2638888888888889E-2</v>
      </c>
      <c r="N2559" s="1" t="s">
        <v>26</v>
      </c>
      <c r="O2559" s="1" t="s">
        <v>34</v>
      </c>
      <c r="P2559" s="2">
        <v>1.2719907407407407E-2</v>
      </c>
      <c r="Q2559" s="1" t="s">
        <v>1852</v>
      </c>
      <c r="R2559" s="1">
        <v>0</v>
      </c>
      <c r="S2559" s="1" t="str">
        <f>""</f>
        <v/>
      </c>
      <c r="T2559" s="1" t="s">
        <v>29</v>
      </c>
      <c r="U2559" s="1" t="s">
        <v>30</v>
      </c>
      <c r="V2559" s="1">
        <v>0</v>
      </c>
    </row>
    <row r="2560" spans="2:22" x14ac:dyDescent="0.15">
      <c r="B2560" s="1" t="str">
        <f>"136****6087"</f>
        <v>136****6087</v>
      </c>
      <c r="C2560" s="1" t="s">
        <v>23</v>
      </c>
      <c r="D2560" s="1" t="str">
        <f t="shared" si="259"/>
        <v>89177328</v>
      </c>
      <c r="E2560" s="1" t="s">
        <v>24</v>
      </c>
      <c r="F2560" s="1" t="str">
        <f t="shared" si="260"/>
        <v>0010</v>
      </c>
      <c r="G2560" s="1" t="str">
        <f>""</f>
        <v/>
      </c>
      <c r="H2560" s="1" t="str">
        <f>"0031"</f>
        <v>0031</v>
      </c>
      <c r="I2560" s="1" t="s">
        <v>95</v>
      </c>
      <c r="J2560" s="1" t="str">
        <f>"01043977565"</f>
        <v>01043977565</v>
      </c>
      <c r="K2560" s="1" t="str">
        <f>"2017-03-20 17:37:31"</f>
        <v>2017-03-20 17:37:31</v>
      </c>
      <c r="L2560" s="1" t="str">
        <f>"2017-03-20 17:37:36"</f>
        <v>2017-03-20 17:37:36</v>
      </c>
      <c r="M2560" s="2">
        <v>3.0092592592592595E-4</v>
      </c>
      <c r="N2560" s="1" t="s">
        <v>26</v>
      </c>
      <c r="O2560" s="1" t="s">
        <v>34</v>
      </c>
      <c r="P2560" s="2">
        <v>3.5879629629629635E-4</v>
      </c>
      <c r="Q2560" s="1" t="s">
        <v>1853</v>
      </c>
      <c r="R2560" s="1">
        <v>0</v>
      </c>
      <c r="S2560" s="1" t="str">
        <f>""</f>
        <v/>
      </c>
      <c r="T2560" s="1" t="s">
        <v>29</v>
      </c>
      <c r="U2560" s="1" t="s">
        <v>30</v>
      </c>
      <c r="V2560" s="1">
        <v>0</v>
      </c>
    </row>
    <row r="2561" spans="2:22" x14ac:dyDescent="0.15">
      <c r="B2561" s="1" t="str">
        <f>"136****2727"</f>
        <v>136****2727</v>
      </c>
      <c r="C2561" s="1" t="s">
        <v>126</v>
      </c>
      <c r="D2561" s="1" t="str">
        <f t="shared" si="259"/>
        <v>89177328</v>
      </c>
      <c r="E2561" s="1" t="s">
        <v>24</v>
      </c>
      <c r="F2561" s="1" t="str">
        <f t="shared" si="260"/>
        <v>0010</v>
      </c>
      <c r="G2561" s="1" t="str">
        <f>""</f>
        <v/>
      </c>
      <c r="H2561" s="1" t="str">
        <f>"0034"</f>
        <v>0034</v>
      </c>
      <c r="I2561" s="1" t="s">
        <v>31</v>
      </c>
      <c r="J2561" s="1" t="str">
        <f>"01043977568"</f>
        <v>01043977568</v>
      </c>
      <c r="K2561" s="1" t="str">
        <f>"2017-03-20 17:35:04"</f>
        <v>2017-03-20 17:35:04</v>
      </c>
      <c r="L2561" s="1" t="str">
        <f>"2017-03-20 17:35:13"</f>
        <v>2017-03-20 17:35:13</v>
      </c>
      <c r="M2561" s="2">
        <v>5.4629629629629637E-3</v>
      </c>
      <c r="N2561" s="1" t="s">
        <v>26</v>
      </c>
      <c r="O2561" s="1" t="s">
        <v>34</v>
      </c>
      <c r="P2561" s="2">
        <v>5.5671296296296302E-3</v>
      </c>
      <c r="Q2561" s="1" t="s">
        <v>1854</v>
      </c>
      <c r="R2561" s="1">
        <v>0</v>
      </c>
      <c r="S2561" s="1" t="str">
        <f>""</f>
        <v/>
      </c>
      <c r="T2561" s="1" t="s">
        <v>29</v>
      </c>
      <c r="U2561" s="1" t="s">
        <v>30</v>
      </c>
      <c r="V2561" s="1">
        <v>0</v>
      </c>
    </row>
    <row r="2562" spans="2:22" x14ac:dyDescent="0.15">
      <c r="B2562" s="1" t="str">
        <f>"136****8092"</f>
        <v>136****8092</v>
      </c>
      <c r="C2562" s="1" t="s">
        <v>23</v>
      </c>
      <c r="D2562" s="1" t="str">
        <f t="shared" si="259"/>
        <v>89177328</v>
      </c>
      <c r="E2562" s="1" t="s">
        <v>24</v>
      </c>
      <c r="F2562" s="1" t="str">
        <f t="shared" si="260"/>
        <v>0010</v>
      </c>
      <c r="G2562" s="1" t="str">
        <f>""</f>
        <v/>
      </c>
      <c r="H2562" s="1" t="str">
        <f>"0032"</f>
        <v>0032</v>
      </c>
      <c r="I2562" s="1" t="s">
        <v>119</v>
      </c>
      <c r="J2562" s="1" t="str">
        <f>"01043977566"</f>
        <v>01043977566</v>
      </c>
      <c r="K2562" s="1" t="str">
        <f>"2017-03-20 17:26:49"</f>
        <v>2017-03-20 17:26:49</v>
      </c>
      <c r="L2562" s="1" t="str">
        <f>"2017-03-20 17:27:00"</f>
        <v>2017-03-20 17:27:00</v>
      </c>
      <c r="M2562" s="2">
        <v>2.3495370370370371E-3</v>
      </c>
      <c r="N2562" s="1" t="s">
        <v>26</v>
      </c>
      <c r="O2562" s="1" t="s">
        <v>34</v>
      </c>
      <c r="P2562" s="2">
        <v>2.4768518518518516E-3</v>
      </c>
      <c r="Q2562" s="1" t="s">
        <v>1855</v>
      </c>
      <c r="R2562" s="1">
        <v>0</v>
      </c>
      <c r="S2562" s="1" t="str">
        <f>""</f>
        <v/>
      </c>
      <c r="T2562" s="1" t="s">
        <v>29</v>
      </c>
      <c r="U2562" s="1" t="s">
        <v>30</v>
      </c>
      <c r="V2562" s="1">
        <v>0</v>
      </c>
    </row>
    <row r="2563" spans="2:22" x14ac:dyDescent="0.15">
      <c r="B2563" s="1" t="str">
        <f>"0335017633157897"</f>
        <v>0335017633157897</v>
      </c>
      <c r="C2563" s="1" t="s">
        <v>188</v>
      </c>
      <c r="D2563" s="1" t="str">
        <f t="shared" si="259"/>
        <v>89177328</v>
      </c>
      <c r="E2563" s="1" t="s">
        <v>24</v>
      </c>
      <c r="F2563" s="1" t="str">
        <f t="shared" si="260"/>
        <v>0010</v>
      </c>
      <c r="G2563" s="1" t="str">
        <f>""</f>
        <v/>
      </c>
      <c r="H2563" s="1" t="str">
        <f>"0031"</f>
        <v>0031</v>
      </c>
      <c r="I2563" s="1" t="s">
        <v>95</v>
      </c>
      <c r="J2563" s="1" t="str">
        <f>"01043977565"</f>
        <v>01043977565</v>
      </c>
      <c r="K2563" s="1" t="str">
        <f>"2017-03-20 17:23:15"</f>
        <v>2017-03-20 17:23:15</v>
      </c>
      <c r="L2563" s="1" t="str">
        <f>"2017-03-20 17:23:21"</f>
        <v>2017-03-20 17:23:21</v>
      </c>
      <c r="M2563" s="2">
        <v>4.3287037037037035E-3</v>
      </c>
      <c r="N2563" s="1" t="s">
        <v>26</v>
      </c>
      <c r="O2563" s="1" t="s">
        <v>27</v>
      </c>
      <c r="P2563" s="2">
        <v>4.3981481481481484E-3</v>
      </c>
      <c r="Q2563" s="1" t="s">
        <v>1856</v>
      </c>
      <c r="R2563" s="1">
        <v>0</v>
      </c>
      <c r="S2563" s="1" t="str">
        <f>""</f>
        <v/>
      </c>
      <c r="T2563" s="1" t="s">
        <v>29</v>
      </c>
      <c r="U2563" s="1" t="s">
        <v>30</v>
      </c>
      <c r="V2563" s="1">
        <v>0</v>
      </c>
    </row>
    <row r="2564" spans="2:22" x14ac:dyDescent="0.15">
      <c r="B2564" s="1" t="str">
        <f>"010****8765"</f>
        <v>010****8765</v>
      </c>
      <c r="C2564" s="1" t="s">
        <v>23</v>
      </c>
      <c r="D2564" s="1" t="str">
        <f t="shared" si="259"/>
        <v>89177328</v>
      </c>
      <c r="E2564" s="1" t="s">
        <v>24</v>
      </c>
      <c r="F2564" s="1" t="str">
        <f t="shared" si="260"/>
        <v>0010</v>
      </c>
      <c r="G2564" s="1" t="str">
        <f>""</f>
        <v/>
      </c>
      <c r="H2564" s="1" t="str">
        <f>"0033"</f>
        <v>0033</v>
      </c>
      <c r="I2564" s="1" t="s">
        <v>106</v>
      </c>
      <c r="J2564" s="1" t="str">
        <f>"01043977567"</f>
        <v>01043977567</v>
      </c>
      <c r="K2564" s="1" t="str">
        <f>"2017-03-20 17:23:13"</f>
        <v>2017-03-20 17:23:13</v>
      </c>
      <c r="L2564" s="1" t="str">
        <f>"2017-03-20 17:23:19"</f>
        <v>2017-03-20 17:23:19</v>
      </c>
      <c r="M2564" s="2">
        <v>3.5416666666666665E-3</v>
      </c>
      <c r="N2564" s="1" t="s">
        <v>26</v>
      </c>
      <c r="O2564" s="1" t="s">
        <v>27</v>
      </c>
      <c r="P2564" s="2">
        <v>3.6111111111111114E-3</v>
      </c>
      <c r="Q2564" s="1" t="s">
        <v>1857</v>
      </c>
      <c r="R2564" s="1">
        <v>0</v>
      </c>
      <c r="S2564" s="1" t="str">
        <f>""</f>
        <v/>
      </c>
      <c r="T2564" s="1" t="s">
        <v>29</v>
      </c>
      <c r="U2564" s="1" t="s">
        <v>30</v>
      </c>
      <c r="V2564" s="1">
        <v>0</v>
      </c>
    </row>
    <row r="2565" spans="2:22" x14ac:dyDescent="0.15">
      <c r="B2565" s="1" t="str">
        <f>"139****2687"</f>
        <v>139****2687</v>
      </c>
      <c r="C2565" s="1" t="s">
        <v>23</v>
      </c>
      <c r="D2565" s="1" t="str">
        <f t="shared" si="259"/>
        <v>89177328</v>
      </c>
      <c r="E2565" s="1" t="s">
        <v>24</v>
      </c>
      <c r="F2565" s="1" t="str">
        <f t="shared" si="260"/>
        <v>0010</v>
      </c>
      <c r="G2565" s="1" t="str">
        <f>""</f>
        <v/>
      </c>
      <c r="H2565" s="1" t="str">
        <f>"0018"</f>
        <v>0018</v>
      </c>
      <c r="I2565" s="1" t="s">
        <v>36</v>
      </c>
      <c r="J2565" s="1" t="str">
        <f>"01043989718"</f>
        <v>01043989718</v>
      </c>
      <c r="K2565" s="1" t="str">
        <f>"2017-03-20 17:19:49"</f>
        <v>2017-03-20 17:19:49</v>
      </c>
      <c r="L2565" s="1" t="str">
        <f>"2017-03-20 17:19:59"</f>
        <v>2017-03-20 17:19:59</v>
      </c>
      <c r="M2565" s="2">
        <v>8.3796296296296292E-3</v>
      </c>
      <c r="N2565" s="1" t="s">
        <v>26</v>
      </c>
      <c r="O2565" s="1" t="s">
        <v>34</v>
      </c>
      <c r="P2565" s="2">
        <v>8.4953703703703701E-3</v>
      </c>
      <c r="Q2565" s="1" t="s">
        <v>1858</v>
      </c>
      <c r="R2565" s="1">
        <v>0</v>
      </c>
      <c r="S2565" s="1" t="str">
        <f>""</f>
        <v/>
      </c>
      <c r="T2565" s="1" t="s">
        <v>29</v>
      </c>
      <c r="U2565" s="1" t="s">
        <v>30</v>
      </c>
      <c r="V2565" s="1">
        <v>0</v>
      </c>
    </row>
    <row r="2566" spans="2:22" x14ac:dyDescent="0.15">
      <c r="B2566" s="1" t="str">
        <f>"139****2687"</f>
        <v>139****2687</v>
      </c>
      <c r="C2566" s="1" t="s">
        <v>23</v>
      </c>
      <c r="D2566" s="1" t="str">
        <f t="shared" si="259"/>
        <v>89177328</v>
      </c>
      <c r="E2566" s="1" t="s">
        <v>24</v>
      </c>
      <c r="F2566" s="1" t="str">
        <f t="shared" si="260"/>
        <v>0010</v>
      </c>
      <c r="G2566" s="1" t="str">
        <f>""</f>
        <v/>
      </c>
      <c r="H2566" s="1" t="str">
        <f>"0018"</f>
        <v>0018</v>
      </c>
      <c r="I2566" s="1" t="s">
        <v>36</v>
      </c>
      <c r="J2566" s="1" t="str">
        <f>"01043989718"</f>
        <v>01043989718</v>
      </c>
      <c r="K2566" s="1" t="str">
        <f>"2017-03-20 17:18:04"</f>
        <v>2017-03-20 17:18:04</v>
      </c>
      <c r="L2566" s="1" t="str">
        <f>"-"</f>
        <v>-</v>
      </c>
      <c r="M2566" s="2">
        <v>0</v>
      </c>
      <c r="N2566" s="1" t="s">
        <v>33</v>
      </c>
      <c r="O2566" s="1" t="s">
        <v>34</v>
      </c>
      <c r="P2566" s="2">
        <v>2.3148148148148147E-5</v>
      </c>
      <c r="Q2566" s="1" t="str">
        <f>""</f>
        <v/>
      </c>
      <c r="R2566" s="1">
        <v>0</v>
      </c>
      <c r="S2566" s="1" t="str">
        <f>""</f>
        <v/>
      </c>
      <c r="T2566" s="1" t="s">
        <v>29</v>
      </c>
      <c r="U2566" s="1" t="s">
        <v>30</v>
      </c>
      <c r="V2566" s="1">
        <v>0</v>
      </c>
    </row>
    <row r="2567" spans="2:22" x14ac:dyDescent="0.15">
      <c r="B2567" s="1" t="str">
        <f>"139****0323"</f>
        <v>139****0323</v>
      </c>
      <c r="C2567" s="1" t="s">
        <v>23</v>
      </c>
      <c r="D2567" s="1" t="str">
        <f t="shared" si="259"/>
        <v>89177328</v>
      </c>
      <c r="E2567" s="1" t="s">
        <v>24</v>
      </c>
      <c r="F2567" s="1" t="str">
        <f t="shared" si="260"/>
        <v>0010</v>
      </c>
      <c r="G2567" s="1" t="str">
        <f>""</f>
        <v/>
      </c>
      <c r="H2567" s="1" t="str">
        <f>"0033"</f>
        <v>0033</v>
      </c>
      <c r="I2567" s="1" t="s">
        <v>106</v>
      </c>
      <c r="J2567" s="1" t="str">
        <f>"01043977567"</f>
        <v>01043977567</v>
      </c>
      <c r="K2567" s="1" t="str">
        <f>"2017-03-20 17:16:55"</f>
        <v>2017-03-20 17:16:55</v>
      </c>
      <c r="L2567" s="1" t="str">
        <f>"2017-03-20 17:17:03"</f>
        <v>2017-03-20 17:17:03</v>
      </c>
      <c r="M2567" s="2">
        <v>4.155092592592593E-3</v>
      </c>
      <c r="N2567" s="1" t="s">
        <v>26</v>
      </c>
      <c r="O2567" s="1" t="s">
        <v>27</v>
      </c>
      <c r="P2567" s="2">
        <v>4.2476851851851851E-3</v>
      </c>
      <c r="Q2567" s="1" t="s">
        <v>1859</v>
      </c>
      <c r="R2567" s="1">
        <v>0</v>
      </c>
      <c r="S2567" s="1" t="str">
        <f>""</f>
        <v/>
      </c>
      <c r="T2567" s="1" t="s">
        <v>29</v>
      </c>
      <c r="U2567" s="1" t="s">
        <v>30</v>
      </c>
      <c r="V2567" s="1">
        <v>0</v>
      </c>
    </row>
    <row r="2568" spans="2:22" x14ac:dyDescent="0.15">
      <c r="B2568" s="1" t="str">
        <f>"010****3658"</f>
        <v>010****3658</v>
      </c>
      <c r="C2568" s="1" t="s">
        <v>23</v>
      </c>
      <c r="D2568" s="1" t="str">
        <f t="shared" si="259"/>
        <v>89177328</v>
      </c>
      <c r="E2568" s="1" t="s">
        <v>24</v>
      </c>
      <c r="F2568" s="1" t="str">
        <f t="shared" si="260"/>
        <v>0010</v>
      </c>
      <c r="G2568" s="1" t="str">
        <f>""</f>
        <v/>
      </c>
      <c r="H2568" s="1" t="str">
        <f>"0034"</f>
        <v>0034</v>
      </c>
      <c r="I2568" s="1" t="s">
        <v>31</v>
      </c>
      <c r="J2568" s="1" t="str">
        <f>"01043977568"</f>
        <v>01043977568</v>
      </c>
      <c r="K2568" s="1" t="str">
        <f>"2017-03-20 17:02:22"</f>
        <v>2017-03-20 17:02:22</v>
      </c>
      <c r="L2568" s="1" t="str">
        <f>"2017-03-20 17:02:31"</f>
        <v>2017-03-20 17:02:31</v>
      </c>
      <c r="M2568" s="2">
        <v>9.1898148148148139E-3</v>
      </c>
      <c r="N2568" s="1" t="s">
        <v>26</v>
      </c>
      <c r="O2568" s="1" t="s">
        <v>27</v>
      </c>
      <c r="P2568" s="2">
        <v>9.2939814814814812E-3</v>
      </c>
      <c r="Q2568" s="1" t="s">
        <v>1860</v>
      </c>
      <c r="R2568" s="1">
        <v>0</v>
      </c>
      <c r="S2568" s="1" t="str">
        <f>""</f>
        <v/>
      </c>
      <c r="T2568" s="1" t="s">
        <v>29</v>
      </c>
      <c r="U2568" s="1" t="s">
        <v>30</v>
      </c>
      <c r="V2568" s="1">
        <v>0</v>
      </c>
    </row>
    <row r="2569" spans="2:22" x14ac:dyDescent="0.15">
      <c r="B2569" s="1" t="str">
        <f>"138****9612"</f>
        <v>138****9612</v>
      </c>
      <c r="C2569" s="1" t="s">
        <v>23</v>
      </c>
      <c r="D2569" s="1" t="str">
        <f t="shared" si="259"/>
        <v>89177328</v>
      </c>
      <c r="E2569" s="1" t="s">
        <v>24</v>
      </c>
      <c r="F2569" s="1" t="str">
        <f t="shared" si="260"/>
        <v>0010</v>
      </c>
      <c r="G2569" s="1" t="str">
        <f>""</f>
        <v/>
      </c>
      <c r="H2569" s="1" t="str">
        <f>"0034"</f>
        <v>0034</v>
      </c>
      <c r="I2569" s="1" t="s">
        <v>31</v>
      </c>
      <c r="J2569" s="1" t="str">
        <f>"01043977568"</f>
        <v>01043977568</v>
      </c>
      <c r="K2569" s="1" t="str">
        <f>"2017-03-20 17:01:07"</f>
        <v>2017-03-20 17:01:07</v>
      </c>
      <c r="L2569" s="1" t="str">
        <f>"2017-03-20 17:01:16"</f>
        <v>2017-03-20 17:01:16</v>
      </c>
      <c r="M2569" s="2">
        <v>1.1574074074074073E-5</v>
      </c>
      <c r="N2569" s="1" t="s">
        <v>26</v>
      </c>
      <c r="O2569" s="1" t="s">
        <v>34</v>
      </c>
      <c r="P2569" s="2">
        <v>1.1574074074074073E-4</v>
      </c>
      <c r="Q2569" s="1" t="str">
        <f>""</f>
        <v/>
      </c>
      <c r="R2569" s="1">
        <v>0</v>
      </c>
      <c r="S2569" s="1" t="str">
        <f>""</f>
        <v/>
      </c>
      <c r="T2569" s="1" t="s">
        <v>29</v>
      </c>
      <c r="U2569" s="1" t="s">
        <v>30</v>
      </c>
      <c r="V2569" s="1">
        <v>0</v>
      </c>
    </row>
    <row r="2570" spans="2:22" x14ac:dyDescent="0.15">
      <c r="B2570" s="1" t="str">
        <f>"150****2007"</f>
        <v>150****2007</v>
      </c>
      <c r="C2570" s="1" t="s">
        <v>23</v>
      </c>
      <c r="D2570" s="1" t="str">
        <f t="shared" si="259"/>
        <v>89177328</v>
      </c>
      <c r="E2570" s="1" t="s">
        <v>24</v>
      </c>
      <c r="F2570" s="1" t="str">
        <f t="shared" si="260"/>
        <v>0010</v>
      </c>
      <c r="G2570" s="1" t="str">
        <f>""</f>
        <v/>
      </c>
      <c r="H2570" s="1" t="str">
        <f>"0012"</f>
        <v>0012</v>
      </c>
      <c r="I2570" s="1" t="s">
        <v>612</v>
      </c>
      <c r="J2570" s="1" t="str">
        <f>"01043989720"</f>
        <v>01043989720</v>
      </c>
      <c r="K2570" s="1" t="str">
        <f>"2017-03-20 17:00:21"</f>
        <v>2017-03-20 17:00:21</v>
      </c>
      <c r="L2570" s="1" t="str">
        <f>"2017-03-20 17:00:34"</f>
        <v>2017-03-20 17:00:34</v>
      </c>
      <c r="M2570" s="2">
        <v>3.8194444444444443E-3</v>
      </c>
      <c r="N2570" s="1" t="s">
        <v>26</v>
      </c>
      <c r="O2570" s="1" t="s">
        <v>34</v>
      </c>
      <c r="P2570" s="2">
        <v>3.9699074074074072E-3</v>
      </c>
      <c r="Q2570" s="1" t="s">
        <v>1861</v>
      </c>
      <c r="R2570" s="1">
        <v>0</v>
      </c>
      <c r="S2570" s="1" t="str">
        <f>""</f>
        <v/>
      </c>
      <c r="T2570" s="1" t="s">
        <v>29</v>
      </c>
      <c r="U2570" s="1" t="s">
        <v>30</v>
      </c>
      <c r="V2570" s="1">
        <v>0</v>
      </c>
    </row>
    <row r="2571" spans="2:22" x14ac:dyDescent="0.15">
      <c r="B2571" s="1" t="str">
        <f>"153****2627"</f>
        <v>153****2627</v>
      </c>
      <c r="C2571" s="1" t="s">
        <v>35</v>
      </c>
      <c r="D2571" s="1" t="str">
        <f t="shared" si="259"/>
        <v>89177328</v>
      </c>
      <c r="E2571" s="1" t="s">
        <v>24</v>
      </c>
      <c r="F2571" s="1" t="str">
        <f t="shared" si="260"/>
        <v>0010</v>
      </c>
      <c r="G2571" s="1" t="str">
        <f>""</f>
        <v/>
      </c>
      <c r="H2571" s="1" t="str">
        <f>"0031"</f>
        <v>0031</v>
      </c>
      <c r="I2571" s="1" t="s">
        <v>95</v>
      </c>
      <c r="J2571" s="1" t="str">
        <f>"01043977565"</f>
        <v>01043977565</v>
      </c>
      <c r="K2571" s="1" t="str">
        <f>"2017-03-20 16:56:49"</f>
        <v>2017-03-20 16:56:49</v>
      </c>
      <c r="L2571" s="1" t="str">
        <f>"2017-03-20 16:56:57"</f>
        <v>2017-03-20 16:56:57</v>
      </c>
      <c r="M2571" s="2">
        <v>1.019675925925926E-2</v>
      </c>
      <c r="N2571" s="1" t="s">
        <v>26</v>
      </c>
      <c r="O2571" s="1" t="s">
        <v>27</v>
      </c>
      <c r="P2571" s="2">
        <v>1.0289351851851852E-2</v>
      </c>
      <c r="Q2571" s="1" t="s">
        <v>1862</v>
      </c>
      <c r="R2571" s="1">
        <v>0</v>
      </c>
      <c r="S2571" s="1" t="str">
        <f>""</f>
        <v/>
      </c>
      <c r="T2571" s="1" t="s">
        <v>29</v>
      </c>
      <c r="U2571" s="1" t="s">
        <v>30</v>
      </c>
      <c r="V2571" s="1">
        <v>0</v>
      </c>
    </row>
    <row r="2572" spans="2:22" x14ac:dyDescent="0.15">
      <c r="B2572" s="1" t="str">
        <f>"021****2423"</f>
        <v>021****2423</v>
      </c>
      <c r="C2572" s="1" t="s">
        <v>241</v>
      </c>
      <c r="D2572" s="1" t="str">
        <f>"4000108333"</f>
        <v>4000108333</v>
      </c>
      <c r="E2572" s="1" t="s">
        <v>53</v>
      </c>
      <c r="F2572" s="1" t="str">
        <f>"0000"</f>
        <v>0000</v>
      </c>
      <c r="G2572" s="1" t="str">
        <f>""</f>
        <v/>
      </c>
      <c r="H2572" s="1" t="str">
        <f>"0034"</f>
        <v>0034</v>
      </c>
      <c r="I2572" s="1" t="s">
        <v>31</v>
      </c>
      <c r="J2572" s="1" t="str">
        <f>"01043977568"</f>
        <v>01043977568</v>
      </c>
      <c r="K2572" s="1" t="str">
        <f>"2017-03-20 16:56:14"</f>
        <v>2017-03-20 16:56:14</v>
      </c>
      <c r="L2572" s="1" t="str">
        <f>"2017-03-20 16:56:44"</f>
        <v>2017-03-20 16:56:44</v>
      </c>
      <c r="M2572" s="2">
        <v>8.449074074074075E-4</v>
      </c>
      <c r="N2572" s="1" t="s">
        <v>26</v>
      </c>
      <c r="O2572" s="1" t="s">
        <v>27</v>
      </c>
      <c r="P2572" s="2">
        <v>1.1921296296296296E-3</v>
      </c>
      <c r="Q2572" s="1" t="s">
        <v>1863</v>
      </c>
      <c r="R2572" s="1">
        <v>0.24</v>
      </c>
      <c r="S2572" s="1" t="str">
        <f>""</f>
        <v/>
      </c>
      <c r="T2572" s="1" t="s">
        <v>29</v>
      </c>
      <c r="U2572" s="1" t="s">
        <v>30</v>
      </c>
      <c r="V2572" s="1">
        <v>0</v>
      </c>
    </row>
    <row r="2573" spans="2:22" x14ac:dyDescent="0.15">
      <c r="B2573" s="1" t="str">
        <f>"150****2007"</f>
        <v>150****2007</v>
      </c>
      <c r="C2573" s="1" t="s">
        <v>23</v>
      </c>
      <c r="D2573" s="1" t="str">
        <f t="shared" ref="D2573:D2630" si="261">"89177328"</f>
        <v>89177328</v>
      </c>
      <c r="E2573" s="1" t="s">
        <v>24</v>
      </c>
      <c r="F2573" s="1" t="str">
        <f t="shared" ref="F2573:F2630" si="262">"0010"</f>
        <v>0010</v>
      </c>
      <c r="G2573" s="1" t="str">
        <f>""</f>
        <v/>
      </c>
      <c r="H2573" s="1" t="str">
        <f>"0033"</f>
        <v>0033</v>
      </c>
      <c r="I2573" s="1" t="s">
        <v>106</v>
      </c>
      <c r="J2573" s="1" t="str">
        <f>"01043977567"</f>
        <v>01043977567</v>
      </c>
      <c r="K2573" s="1" t="str">
        <f>"2017-03-20 16:50:23"</f>
        <v>2017-03-20 16:50:23</v>
      </c>
      <c r="L2573" s="1" t="str">
        <f>"2017-03-20 16:50:30"</f>
        <v>2017-03-20 16:50:30</v>
      </c>
      <c r="M2573" s="2">
        <v>5.0925925925925921E-3</v>
      </c>
      <c r="N2573" s="1" t="s">
        <v>26</v>
      </c>
      <c r="O2573" s="1" t="s">
        <v>34</v>
      </c>
      <c r="P2573" s="2">
        <v>5.1736111111111115E-3</v>
      </c>
      <c r="Q2573" s="1" t="s">
        <v>1864</v>
      </c>
      <c r="R2573" s="1">
        <v>0</v>
      </c>
      <c r="S2573" s="1" t="str">
        <f>""</f>
        <v/>
      </c>
      <c r="T2573" s="1" t="s">
        <v>29</v>
      </c>
      <c r="U2573" s="1" t="s">
        <v>30</v>
      </c>
      <c r="V2573" s="1">
        <v>0</v>
      </c>
    </row>
    <row r="2574" spans="2:22" x14ac:dyDescent="0.15">
      <c r="B2574" s="1" t="str">
        <f>"187****1999"</f>
        <v>187****1999</v>
      </c>
      <c r="C2574" s="1" t="s">
        <v>1090</v>
      </c>
      <c r="D2574" s="1" t="str">
        <f t="shared" si="261"/>
        <v>89177328</v>
      </c>
      <c r="E2574" s="1" t="s">
        <v>24</v>
      </c>
      <c r="F2574" s="1" t="str">
        <f t="shared" si="262"/>
        <v>0010</v>
      </c>
      <c r="G2574" s="1" t="str">
        <f>""</f>
        <v/>
      </c>
      <c r="H2574" s="1" t="str">
        <f>"0032"</f>
        <v>0032</v>
      </c>
      <c r="I2574" s="1" t="s">
        <v>119</v>
      </c>
      <c r="J2574" s="1" t="str">
        <f>"01043977566"</f>
        <v>01043977566</v>
      </c>
      <c r="K2574" s="1" t="str">
        <f>"2017-03-20 16:46:40"</f>
        <v>2017-03-20 16:46:40</v>
      </c>
      <c r="L2574" s="1" t="str">
        <f>"2017-03-20 16:46:52"</f>
        <v>2017-03-20 16:46:52</v>
      </c>
      <c r="M2574" s="2">
        <v>2.3958333333333336E-3</v>
      </c>
      <c r="N2574" s="1" t="s">
        <v>26</v>
      </c>
      <c r="O2574" s="1" t="s">
        <v>34</v>
      </c>
      <c r="P2574" s="2">
        <v>2.5347222222222221E-3</v>
      </c>
      <c r="Q2574" s="1" t="s">
        <v>1865</v>
      </c>
      <c r="R2574" s="1">
        <v>0</v>
      </c>
      <c r="S2574" s="1" t="str">
        <f>""</f>
        <v/>
      </c>
      <c r="T2574" s="1" t="s">
        <v>29</v>
      </c>
      <c r="U2574" s="1" t="s">
        <v>30</v>
      </c>
      <c r="V2574" s="1">
        <v>0</v>
      </c>
    </row>
    <row r="2575" spans="2:22" x14ac:dyDescent="0.15">
      <c r="B2575" s="1" t="str">
        <f>"157****4678"</f>
        <v>157****4678</v>
      </c>
      <c r="C2575" s="1" t="s">
        <v>23</v>
      </c>
      <c r="D2575" s="1" t="str">
        <f t="shared" si="261"/>
        <v>89177328</v>
      </c>
      <c r="E2575" s="1" t="s">
        <v>24</v>
      </c>
      <c r="F2575" s="1" t="str">
        <f t="shared" si="262"/>
        <v>0010</v>
      </c>
      <c r="G2575" s="1" t="str">
        <f>""</f>
        <v/>
      </c>
      <c r="H2575" s="1" t="str">
        <f>"0035"</f>
        <v>0035</v>
      </c>
      <c r="I2575" s="1" t="s">
        <v>25</v>
      </c>
      <c r="J2575" s="1" t="str">
        <f>"01043977569"</f>
        <v>01043977569</v>
      </c>
      <c r="K2575" s="1" t="str">
        <f>"2017-03-20 16:46:37"</f>
        <v>2017-03-20 16:46:37</v>
      </c>
      <c r="L2575" s="1" t="str">
        <f>"-"</f>
        <v>-</v>
      </c>
      <c r="M2575" s="2">
        <v>0</v>
      </c>
      <c r="N2575" s="1" t="s">
        <v>33</v>
      </c>
      <c r="O2575" s="1" t="s">
        <v>34</v>
      </c>
      <c r="P2575" s="2">
        <v>1.0416666666666667E-4</v>
      </c>
      <c r="Q2575" s="1" t="str">
        <f>""</f>
        <v/>
      </c>
      <c r="R2575" s="1">
        <v>0</v>
      </c>
      <c r="S2575" s="1" t="str">
        <f>""</f>
        <v/>
      </c>
      <c r="T2575" s="1" t="s">
        <v>29</v>
      </c>
      <c r="U2575" s="1" t="s">
        <v>30</v>
      </c>
      <c r="V2575" s="1">
        <v>0</v>
      </c>
    </row>
    <row r="2576" spans="2:22" x14ac:dyDescent="0.15">
      <c r="B2576" s="1" t="str">
        <f>"139****6953"</f>
        <v>139****6953</v>
      </c>
      <c r="C2576" s="1" t="s">
        <v>44</v>
      </c>
      <c r="D2576" s="1" t="str">
        <f t="shared" si="261"/>
        <v>89177328</v>
      </c>
      <c r="E2576" s="1" t="s">
        <v>24</v>
      </c>
      <c r="F2576" s="1" t="str">
        <f t="shared" si="262"/>
        <v>0010</v>
      </c>
      <c r="G2576" s="1" t="str">
        <f>""</f>
        <v/>
      </c>
      <c r="H2576" s="1" t="str">
        <f>"0017"</f>
        <v>0017</v>
      </c>
      <c r="I2576" s="1" t="s">
        <v>135</v>
      </c>
      <c r="J2576" s="1" t="str">
        <f>"01043989717"</f>
        <v>01043989717</v>
      </c>
      <c r="K2576" s="1" t="str">
        <f>"2017-03-20 16:45:07"</f>
        <v>2017-03-20 16:45:07</v>
      </c>
      <c r="L2576" s="1" t="str">
        <f>"2017-03-20 16:45:17"</f>
        <v>2017-03-20 16:45:17</v>
      </c>
      <c r="M2576" s="2">
        <v>4.9189814814814816E-3</v>
      </c>
      <c r="N2576" s="1" t="s">
        <v>26</v>
      </c>
      <c r="O2576" s="1" t="s">
        <v>27</v>
      </c>
      <c r="P2576" s="2">
        <v>5.0347222222222225E-3</v>
      </c>
      <c r="Q2576" s="1" t="s">
        <v>1866</v>
      </c>
      <c r="R2576" s="1">
        <v>0</v>
      </c>
      <c r="S2576" s="1" t="str">
        <f>""</f>
        <v/>
      </c>
      <c r="T2576" s="1" t="s">
        <v>29</v>
      </c>
      <c r="U2576" s="1" t="s">
        <v>30</v>
      </c>
      <c r="V2576" s="1">
        <v>0</v>
      </c>
    </row>
    <row r="2577" spans="2:22" x14ac:dyDescent="0.15">
      <c r="B2577" s="1" t="str">
        <f>"186****5799"</f>
        <v>186****5799</v>
      </c>
      <c r="C2577" s="1" t="s">
        <v>1867</v>
      </c>
      <c r="D2577" s="1" t="str">
        <f t="shared" si="261"/>
        <v>89177328</v>
      </c>
      <c r="E2577" s="1" t="s">
        <v>24</v>
      </c>
      <c r="F2577" s="1" t="str">
        <f t="shared" si="262"/>
        <v>0010</v>
      </c>
      <c r="G2577" s="1" t="str">
        <f>""</f>
        <v/>
      </c>
      <c r="H2577" s="1" t="str">
        <f>"0012"</f>
        <v>0012</v>
      </c>
      <c r="I2577" s="1" t="s">
        <v>612</v>
      </c>
      <c r="J2577" s="1" t="str">
        <f>"01043989720"</f>
        <v>01043989720</v>
      </c>
      <c r="K2577" s="1" t="str">
        <f>"2017-03-20 16:44:25"</f>
        <v>2017-03-20 16:44:25</v>
      </c>
      <c r="L2577" s="1" t="str">
        <f>"2017-03-20 16:44:36"</f>
        <v>2017-03-20 16:44:36</v>
      </c>
      <c r="M2577" s="2">
        <v>8.7384259259259255E-3</v>
      </c>
      <c r="N2577" s="1" t="s">
        <v>26</v>
      </c>
      <c r="O2577" s="1" t="s">
        <v>27</v>
      </c>
      <c r="P2577" s="2">
        <v>8.8657407407407417E-3</v>
      </c>
      <c r="Q2577" s="1" t="s">
        <v>1868</v>
      </c>
      <c r="R2577" s="1">
        <v>0</v>
      </c>
      <c r="S2577" s="1" t="str">
        <f>""</f>
        <v/>
      </c>
      <c r="T2577" s="1" t="s">
        <v>29</v>
      </c>
      <c r="U2577" s="1" t="s">
        <v>30</v>
      </c>
      <c r="V2577" s="1">
        <v>0</v>
      </c>
    </row>
    <row r="2578" spans="2:22" x14ac:dyDescent="0.15">
      <c r="B2578" s="1" t="str">
        <f>"187****9169"</f>
        <v>187****9169</v>
      </c>
      <c r="C2578" s="1" t="s">
        <v>23</v>
      </c>
      <c r="D2578" s="1" t="str">
        <f t="shared" si="261"/>
        <v>89177328</v>
      </c>
      <c r="E2578" s="1" t="s">
        <v>24</v>
      </c>
      <c r="F2578" s="1" t="str">
        <f t="shared" si="262"/>
        <v>0010</v>
      </c>
      <c r="G2578" s="1" t="str">
        <f>""</f>
        <v/>
      </c>
      <c r="H2578" s="1" t="str">
        <f>"0032"</f>
        <v>0032</v>
      </c>
      <c r="I2578" s="1" t="s">
        <v>119</v>
      </c>
      <c r="J2578" s="1" t="str">
        <f>"01043977566"</f>
        <v>01043977566</v>
      </c>
      <c r="K2578" s="1" t="str">
        <f>"2017-03-20 16:42:21"</f>
        <v>2017-03-20 16:42:21</v>
      </c>
      <c r="L2578" s="1" t="str">
        <f t="shared" ref="L2578:L2587" si="263">"-"</f>
        <v>-</v>
      </c>
      <c r="M2578" s="2">
        <v>0</v>
      </c>
      <c r="N2578" s="1" t="s">
        <v>33</v>
      </c>
      <c r="O2578" s="1" t="s">
        <v>34</v>
      </c>
      <c r="P2578" s="2">
        <v>1.1574074074074073E-5</v>
      </c>
      <c r="Q2578" s="1" t="str">
        <f>""</f>
        <v/>
      </c>
      <c r="R2578" s="1">
        <v>0</v>
      </c>
      <c r="S2578" s="1" t="str">
        <f>""</f>
        <v/>
      </c>
      <c r="T2578" s="1" t="s">
        <v>29</v>
      </c>
      <c r="U2578" s="1" t="s">
        <v>30</v>
      </c>
      <c r="V2578" s="1">
        <v>0</v>
      </c>
    </row>
    <row r="2579" spans="2:22" x14ac:dyDescent="0.15">
      <c r="B2579" s="1" t="str">
        <f>"130****5656"</f>
        <v>130****5656</v>
      </c>
      <c r="C2579" s="1" t="s">
        <v>112</v>
      </c>
      <c r="D2579" s="1" t="str">
        <f t="shared" si="261"/>
        <v>89177328</v>
      </c>
      <c r="E2579" s="1" t="s">
        <v>24</v>
      </c>
      <c r="F2579" s="1" t="str">
        <f t="shared" si="262"/>
        <v>0010</v>
      </c>
      <c r="G2579" s="1" t="str">
        <f>""</f>
        <v/>
      </c>
      <c r="H2579" s="1" t="str">
        <f>"0012"</f>
        <v>0012</v>
      </c>
      <c r="I2579" s="1" t="s">
        <v>612</v>
      </c>
      <c r="J2579" s="1" t="str">
        <f>"01043989720"</f>
        <v>01043989720</v>
      </c>
      <c r="K2579" s="1" t="str">
        <f>"2017-03-20 16:42:20"</f>
        <v>2017-03-20 16:42:20</v>
      </c>
      <c r="L2579" s="1" t="str">
        <f t="shared" si="263"/>
        <v>-</v>
      </c>
      <c r="M2579" s="2">
        <v>0</v>
      </c>
      <c r="N2579" s="1" t="s">
        <v>33</v>
      </c>
      <c r="O2579" s="1" t="s">
        <v>34</v>
      </c>
      <c r="P2579" s="2">
        <v>6.9444444444444444E-5</v>
      </c>
      <c r="Q2579" s="1" t="str">
        <f>""</f>
        <v/>
      </c>
      <c r="R2579" s="1">
        <v>0</v>
      </c>
      <c r="S2579" s="1" t="str">
        <f>""</f>
        <v/>
      </c>
      <c r="T2579" s="1" t="s">
        <v>29</v>
      </c>
      <c r="U2579" s="1" t="s">
        <v>30</v>
      </c>
      <c r="V2579" s="1">
        <v>0</v>
      </c>
    </row>
    <row r="2580" spans="2:22" x14ac:dyDescent="0.15">
      <c r="B2580" s="1" t="str">
        <f>"157****4678"</f>
        <v>157****4678</v>
      </c>
      <c r="C2580" s="1" t="s">
        <v>23</v>
      </c>
      <c r="D2580" s="1" t="str">
        <f t="shared" si="261"/>
        <v>89177328</v>
      </c>
      <c r="E2580" s="1" t="s">
        <v>24</v>
      </c>
      <c r="F2580" s="1" t="str">
        <f t="shared" si="262"/>
        <v>0010</v>
      </c>
      <c r="G2580" s="1" t="str">
        <f>""</f>
        <v/>
      </c>
      <c r="H2580" s="1" t="str">
        <f>"0034"</f>
        <v>0034</v>
      </c>
      <c r="I2580" s="1" t="s">
        <v>31</v>
      </c>
      <c r="J2580" s="1" t="str">
        <f>"01043977568"</f>
        <v>01043977568</v>
      </c>
      <c r="K2580" s="1" t="str">
        <f>"2017-03-20 16:40:26"</f>
        <v>2017-03-20 16:40:26</v>
      </c>
      <c r="L2580" s="1" t="str">
        <f t="shared" si="263"/>
        <v>-</v>
      </c>
      <c r="M2580" s="2">
        <v>0</v>
      </c>
      <c r="N2580" s="1" t="s">
        <v>33</v>
      </c>
      <c r="O2580" s="1" t="s">
        <v>34</v>
      </c>
      <c r="P2580" s="2">
        <v>5.7870370370370366E-5</v>
      </c>
      <c r="Q2580" s="1" t="str">
        <f>""</f>
        <v/>
      </c>
      <c r="R2580" s="1">
        <v>0</v>
      </c>
      <c r="S2580" s="1" t="str">
        <f>""</f>
        <v/>
      </c>
      <c r="T2580" s="1" t="s">
        <v>29</v>
      </c>
      <c r="U2580" s="1" t="s">
        <v>30</v>
      </c>
      <c r="V2580" s="1">
        <v>0</v>
      </c>
    </row>
    <row r="2581" spans="2:22" x14ac:dyDescent="0.15">
      <c r="B2581" s="1" t="str">
        <f>"183****4280"</f>
        <v>183****4280</v>
      </c>
      <c r="C2581" s="1" t="s">
        <v>23</v>
      </c>
      <c r="D2581" s="1" t="str">
        <f t="shared" si="261"/>
        <v>89177328</v>
      </c>
      <c r="E2581" s="1" t="s">
        <v>24</v>
      </c>
      <c r="F2581" s="1" t="str">
        <f t="shared" si="262"/>
        <v>0010</v>
      </c>
      <c r="G2581" s="1" t="str">
        <f>""</f>
        <v/>
      </c>
      <c r="H2581" s="1" t="str">
        <f>"0012"</f>
        <v>0012</v>
      </c>
      <c r="I2581" s="1" t="s">
        <v>612</v>
      </c>
      <c r="J2581" s="1" t="str">
        <f>"01043989720"</f>
        <v>01043989720</v>
      </c>
      <c r="K2581" s="1" t="str">
        <f>"2017-03-20 16:38:42"</f>
        <v>2017-03-20 16:38:42</v>
      </c>
      <c r="L2581" s="1" t="str">
        <f t="shared" si="263"/>
        <v>-</v>
      </c>
      <c r="M2581" s="2">
        <v>0</v>
      </c>
      <c r="N2581" s="1" t="s">
        <v>33</v>
      </c>
      <c r="O2581" s="1" t="s">
        <v>34</v>
      </c>
      <c r="P2581" s="2">
        <v>3.4722222222222222E-5</v>
      </c>
      <c r="Q2581" s="1" t="str">
        <f>""</f>
        <v/>
      </c>
      <c r="R2581" s="1">
        <v>0</v>
      </c>
      <c r="S2581" s="1" t="str">
        <f>""</f>
        <v/>
      </c>
      <c r="T2581" s="1" t="s">
        <v>29</v>
      </c>
      <c r="U2581" s="1" t="s">
        <v>30</v>
      </c>
      <c r="V2581" s="1">
        <v>0</v>
      </c>
    </row>
    <row r="2582" spans="2:22" x14ac:dyDescent="0.15">
      <c r="B2582" s="1" t="str">
        <f>"130****5656"</f>
        <v>130****5656</v>
      </c>
      <c r="C2582" s="1" t="s">
        <v>112</v>
      </c>
      <c r="D2582" s="1" t="str">
        <f t="shared" si="261"/>
        <v>89177328</v>
      </c>
      <c r="E2582" s="1" t="s">
        <v>24</v>
      </c>
      <c r="F2582" s="1" t="str">
        <f t="shared" si="262"/>
        <v>0010</v>
      </c>
      <c r="G2582" s="1" t="str">
        <f>""</f>
        <v/>
      </c>
      <c r="H2582" s="1" t="str">
        <f>"0034"</f>
        <v>0034</v>
      </c>
      <c r="I2582" s="1" t="s">
        <v>31</v>
      </c>
      <c r="J2582" s="1" t="str">
        <f>"01043977568"</f>
        <v>01043977568</v>
      </c>
      <c r="K2582" s="1" t="str">
        <f>"2017-03-20 16:35:55"</f>
        <v>2017-03-20 16:35:55</v>
      </c>
      <c r="L2582" s="1" t="str">
        <f t="shared" si="263"/>
        <v>-</v>
      </c>
      <c r="M2582" s="2">
        <v>0</v>
      </c>
      <c r="N2582" s="1" t="s">
        <v>33</v>
      </c>
      <c r="O2582" s="1" t="s">
        <v>34</v>
      </c>
      <c r="P2582" s="2">
        <v>6.9444444444444444E-5</v>
      </c>
      <c r="Q2582" s="1" t="str">
        <f>""</f>
        <v/>
      </c>
      <c r="R2582" s="1">
        <v>0</v>
      </c>
      <c r="S2582" s="1" t="str">
        <f>""</f>
        <v/>
      </c>
      <c r="T2582" s="1" t="s">
        <v>29</v>
      </c>
      <c r="U2582" s="1" t="s">
        <v>30</v>
      </c>
      <c r="V2582" s="1">
        <v>0</v>
      </c>
    </row>
    <row r="2583" spans="2:22" x14ac:dyDescent="0.15">
      <c r="B2583" s="1" t="str">
        <f>"183****4280"</f>
        <v>183****4280</v>
      </c>
      <c r="C2583" s="1" t="s">
        <v>23</v>
      </c>
      <c r="D2583" s="1" t="str">
        <f t="shared" si="261"/>
        <v>89177328</v>
      </c>
      <c r="E2583" s="1" t="s">
        <v>24</v>
      </c>
      <c r="F2583" s="1" t="str">
        <f t="shared" si="262"/>
        <v>0010</v>
      </c>
      <c r="G2583" s="1" t="str">
        <f>""</f>
        <v/>
      </c>
      <c r="H2583" s="1" t="str">
        <f>"0034"</f>
        <v>0034</v>
      </c>
      <c r="I2583" s="1" t="s">
        <v>31</v>
      </c>
      <c r="J2583" s="1" t="str">
        <f>"01043977568"</f>
        <v>01043977568</v>
      </c>
      <c r="K2583" s="1" t="str">
        <f>"2017-03-20 16:35:41"</f>
        <v>2017-03-20 16:35:41</v>
      </c>
      <c r="L2583" s="1" t="str">
        <f t="shared" si="263"/>
        <v>-</v>
      </c>
      <c r="M2583" s="2">
        <v>0</v>
      </c>
      <c r="N2583" s="1" t="s">
        <v>33</v>
      </c>
      <c r="O2583" s="1" t="s">
        <v>34</v>
      </c>
      <c r="P2583" s="2">
        <v>4.6296296296296294E-5</v>
      </c>
      <c r="Q2583" s="1" t="str">
        <f>""</f>
        <v/>
      </c>
      <c r="R2583" s="1">
        <v>0</v>
      </c>
      <c r="S2583" s="1" t="str">
        <f>""</f>
        <v/>
      </c>
      <c r="T2583" s="1" t="s">
        <v>29</v>
      </c>
      <c r="U2583" s="1" t="s">
        <v>30</v>
      </c>
      <c r="V2583" s="1">
        <v>0</v>
      </c>
    </row>
    <row r="2584" spans="2:22" x14ac:dyDescent="0.15">
      <c r="B2584" s="1" t="str">
        <f>"188****7867"</f>
        <v>188****7867</v>
      </c>
      <c r="C2584" s="1" t="s">
        <v>23</v>
      </c>
      <c r="D2584" s="1" t="str">
        <f t="shared" si="261"/>
        <v>89177328</v>
      </c>
      <c r="E2584" s="1" t="s">
        <v>24</v>
      </c>
      <c r="F2584" s="1" t="str">
        <f t="shared" si="262"/>
        <v>0010</v>
      </c>
      <c r="G2584" s="1" t="str">
        <f>""</f>
        <v/>
      </c>
      <c r="H2584" s="1" t="str">
        <f>"0034"</f>
        <v>0034</v>
      </c>
      <c r="I2584" s="1" t="s">
        <v>31</v>
      </c>
      <c r="J2584" s="1" t="str">
        <f>"01043977568"</f>
        <v>01043977568</v>
      </c>
      <c r="K2584" s="1" t="str">
        <f>"2017-03-20 16:33:24"</f>
        <v>2017-03-20 16:33:24</v>
      </c>
      <c r="L2584" s="1" t="str">
        <f t="shared" si="263"/>
        <v>-</v>
      </c>
      <c r="M2584" s="2">
        <v>0</v>
      </c>
      <c r="N2584" s="1" t="s">
        <v>33</v>
      </c>
      <c r="O2584" s="1" t="s">
        <v>34</v>
      </c>
      <c r="P2584" s="2">
        <v>1.1574074074074073E-4</v>
      </c>
      <c r="Q2584" s="1" t="str">
        <f>""</f>
        <v/>
      </c>
      <c r="R2584" s="1">
        <v>0</v>
      </c>
      <c r="S2584" s="1" t="str">
        <f>""</f>
        <v/>
      </c>
      <c r="T2584" s="1" t="s">
        <v>29</v>
      </c>
      <c r="U2584" s="1" t="s">
        <v>30</v>
      </c>
      <c r="V2584" s="1">
        <v>0</v>
      </c>
    </row>
    <row r="2585" spans="2:22" x14ac:dyDescent="0.15">
      <c r="B2585" s="1" t="str">
        <f>"183****4280"</f>
        <v>183****4280</v>
      </c>
      <c r="C2585" s="1" t="s">
        <v>23</v>
      </c>
      <c r="D2585" s="1" t="str">
        <f t="shared" si="261"/>
        <v>89177328</v>
      </c>
      <c r="E2585" s="1" t="s">
        <v>24</v>
      </c>
      <c r="F2585" s="1" t="str">
        <f t="shared" si="262"/>
        <v>0010</v>
      </c>
      <c r="G2585" s="1" t="str">
        <f>""</f>
        <v/>
      </c>
      <c r="H2585" s="1" t="str">
        <f t="shared" ref="H2585:H2591" si="264">"0031"</f>
        <v>0031</v>
      </c>
      <c r="I2585" s="1" t="s">
        <v>95</v>
      </c>
      <c r="J2585" s="1" t="str">
        <f t="shared" ref="J2585:J2591" si="265">"01043977565"</f>
        <v>01043977565</v>
      </c>
      <c r="K2585" s="1" t="str">
        <f>"2017-03-20 16:32:40"</f>
        <v>2017-03-20 16:32:40</v>
      </c>
      <c r="L2585" s="1" t="str">
        <f t="shared" si="263"/>
        <v>-</v>
      </c>
      <c r="M2585" s="2">
        <v>0</v>
      </c>
      <c r="N2585" s="1" t="s">
        <v>33</v>
      </c>
      <c r="O2585" s="1" t="s">
        <v>34</v>
      </c>
      <c r="P2585" s="2">
        <v>3.4722222222222222E-5</v>
      </c>
      <c r="Q2585" s="1" t="str">
        <f>""</f>
        <v/>
      </c>
      <c r="R2585" s="1">
        <v>0</v>
      </c>
      <c r="S2585" s="1" t="str">
        <f>""</f>
        <v/>
      </c>
      <c r="T2585" s="1" t="s">
        <v>29</v>
      </c>
      <c r="U2585" s="1" t="s">
        <v>30</v>
      </c>
      <c r="V2585" s="1">
        <v>0</v>
      </c>
    </row>
    <row r="2586" spans="2:22" x14ac:dyDescent="0.15">
      <c r="B2586" s="1" t="str">
        <f>"186****0604"</f>
        <v>186****0604</v>
      </c>
      <c r="C2586" s="1" t="s">
        <v>23</v>
      </c>
      <c r="D2586" s="1" t="str">
        <f t="shared" si="261"/>
        <v>89177328</v>
      </c>
      <c r="E2586" s="1" t="s">
        <v>24</v>
      </c>
      <c r="F2586" s="1" t="str">
        <f t="shared" si="262"/>
        <v>0010</v>
      </c>
      <c r="G2586" s="1" t="str">
        <f>""</f>
        <v/>
      </c>
      <c r="H2586" s="1" t="str">
        <f t="shared" si="264"/>
        <v>0031</v>
      </c>
      <c r="I2586" s="1" t="s">
        <v>95</v>
      </c>
      <c r="J2586" s="1" t="str">
        <f t="shared" si="265"/>
        <v>01043977565</v>
      </c>
      <c r="K2586" s="1" t="str">
        <f>"2017-03-20 16:32:20"</f>
        <v>2017-03-20 16:32:20</v>
      </c>
      <c r="L2586" s="1" t="str">
        <f t="shared" si="263"/>
        <v>-</v>
      </c>
      <c r="M2586" s="2">
        <v>0</v>
      </c>
      <c r="N2586" s="1" t="s">
        <v>33</v>
      </c>
      <c r="O2586" s="1" t="s">
        <v>34</v>
      </c>
      <c r="P2586" s="2">
        <v>9.2592592592592588E-5</v>
      </c>
      <c r="Q2586" s="1" t="str">
        <f>""</f>
        <v/>
      </c>
      <c r="R2586" s="1">
        <v>0</v>
      </c>
      <c r="S2586" s="1" t="str">
        <f>""</f>
        <v/>
      </c>
      <c r="T2586" s="1" t="s">
        <v>29</v>
      </c>
      <c r="U2586" s="1" t="s">
        <v>30</v>
      </c>
      <c r="V2586" s="1">
        <v>0</v>
      </c>
    </row>
    <row r="2587" spans="2:22" x14ac:dyDescent="0.15">
      <c r="B2587" s="1" t="str">
        <f>"157****4678"</f>
        <v>157****4678</v>
      </c>
      <c r="C2587" s="1" t="s">
        <v>23</v>
      </c>
      <c r="D2587" s="1" t="str">
        <f t="shared" si="261"/>
        <v>89177328</v>
      </c>
      <c r="E2587" s="1" t="s">
        <v>24</v>
      </c>
      <c r="F2587" s="1" t="str">
        <f t="shared" si="262"/>
        <v>0010</v>
      </c>
      <c r="G2587" s="1" t="str">
        <f>""</f>
        <v/>
      </c>
      <c r="H2587" s="1" t="str">
        <f t="shared" si="264"/>
        <v>0031</v>
      </c>
      <c r="I2587" s="1" t="s">
        <v>95</v>
      </c>
      <c r="J2587" s="1" t="str">
        <f t="shared" si="265"/>
        <v>01043977565</v>
      </c>
      <c r="K2587" s="1" t="str">
        <f>"2017-03-20 16:31:44"</f>
        <v>2017-03-20 16:31:44</v>
      </c>
      <c r="L2587" s="1" t="str">
        <f t="shared" si="263"/>
        <v>-</v>
      </c>
      <c r="M2587" s="2">
        <v>0</v>
      </c>
      <c r="N2587" s="1" t="s">
        <v>33</v>
      </c>
      <c r="O2587" s="1" t="s">
        <v>34</v>
      </c>
      <c r="P2587" s="2">
        <v>8.1018518518518516E-5</v>
      </c>
      <c r="Q2587" s="1" t="str">
        <f>""</f>
        <v/>
      </c>
      <c r="R2587" s="1">
        <v>0</v>
      </c>
      <c r="S2587" s="1" t="str">
        <f>""</f>
        <v/>
      </c>
      <c r="T2587" s="1" t="s">
        <v>29</v>
      </c>
      <c r="U2587" s="1" t="s">
        <v>30</v>
      </c>
      <c r="V2587" s="1">
        <v>0</v>
      </c>
    </row>
    <row r="2588" spans="2:22" x14ac:dyDescent="0.15">
      <c r="B2588" s="1" t="str">
        <f>"185****1235"</f>
        <v>185****1235</v>
      </c>
      <c r="C2588" s="1" t="s">
        <v>23</v>
      </c>
      <c r="D2588" s="1" t="str">
        <f t="shared" si="261"/>
        <v>89177328</v>
      </c>
      <c r="E2588" s="1" t="s">
        <v>24</v>
      </c>
      <c r="F2588" s="1" t="str">
        <f t="shared" si="262"/>
        <v>0010</v>
      </c>
      <c r="G2588" s="1" t="str">
        <f>""</f>
        <v/>
      </c>
      <c r="H2588" s="1" t="str">
        <f t="shared" si="264"/>
        <v>0031</v>
      </c>
      <c r="I2588" s="1" t="s">
        <v>95</v>
      </c>
      <c r="J2588" s="1" t="str">
        <f t="shared" si="265"/>
        <v>01043977565</v>
      </c>
      <c r="K2588" s="1" t="str">
        <f>"2017-03-20 16:30:16"</f>
        <v>2017-03-20 16:30:16</v>
      </c>
      <c r="L2588" s="1" t="str">
        <f>"2017-03-20 16:30:20"</f>
        <v>2017-03-20 16:30:20</v>
      </c>
      <c r="M2588" s="2">
        <v>0</v>
      </c>
      <c r="N2588" s="1" t="s">
        <v>26</v>
      </c>
      <c r="O2588" s="1" t="s">
        <v>27</v>
      </c>
      <c r="P2588" s="2">
        <v>4.6296296296296294E-5</v>
      </c>
      <c r="Q2588" s="1" t="str">
        <f>""</f>
        <v/>
      </c>
      <c r="R2588" s="1">
        <v>0</v>
      </c>
      <c r="S2588" s="1" t="str">
        <f>""</f>
        <v/>
      </c>
      <c r="T2588" s="1" t="s">
        <v>29</v>
      </c>
      <c r="U2588" s="1" t="s">
        <v>30</v>
      </c>
      <c r="V2588" s="1">
        <v>0</v>
      </c>
    </row>
    <row r="2589" spans="2:22" x14ac:dyDescent="0.15">
      <c r="B2589" s="1" t="str">
        <f>"188****7867"</f>
        <v>188****7867</v>
      </c>
      <c r="C2589" s="1" t="s">
        <v>23</v>
      </c>
      <c r="D2589" s="1" t="str">
        <f t="shared" si="261"/>
        <v>89177328</v>
      </c>
      <c r="E2589" s="1" t="s">
        <v>24</v>
      </c>
      <c r="F2589" s="1" t="str">
        <f t="shared" si="262"/>
        <v>0010</v>
      </c>
      <c r="G2589" s="1" t="str">
        <f>""</f>
        <v/>
      </c>
      <c r="H2589" s="1" t="str">
        <f t="shared" si="264"/>
        <v>0031</v>
      </c>
      <c r="I2589" s="1" t="s">
        <v>95</v>
      </c>
      <c r="J2589" s="1" t="str">
        <f t="shared" si="265"/>
        <v>01043977565</v>
      </c>
      <c r="K2589" s="1" t="str">
        <f>"2017-03-20 16:29:43"</f>
        <v>2017-03-20 16:29:43</v>
      </c>
      <c r="L2589" s="1" t="str">
        <f>"-"</f>
        <v>-</v>
      </c>
      <c r="M2589" s="2">
        <v>0</v>
      </c>
      <c r="N2589" s="1" t="s">
        <v>33</v>
      </c>
      <c r="O2589" s="1" t="s">
        <v>34</v>
      </c>
      <c r="P2589" s="2">
        <v>5.7870370370370366E-5</v>
      </c>
      <c r="Q2589" s="1" t="str">
        <f>""</f>
        <v/>
      </c>
      <c r="R2589" s="1">
        <v>0</v>
      </c>
      <c r="S2589" s="1" t="str">
        <f>""</f>
        <v/>
      </c>
      <c r="T2589" s="1" t="s">
        <v>29</v>
      </c>
      <c r="U2589" s="1" t="s">
        <v>30</v>
      </c>
      <c r="V2589" s="1">
        <v>0</v>
      </c>
    </row>
    <row r="2590" spans="2:22" x14ac:dyDescent="0.15">
      <c r="B2590" s="1" t="str">
        <f>"157****4678"</f>
        <v>157****4678</v>
      </c>
      <c r="C2590" s="1" t="s">
        <v>23</v>
      </c>
      <c r="D2590" s="1" t="str">
        <f t="shared" si="261"/>
        <v>89177328</v>
      </c>
      <c r="E2590" s="1" t="s">
        <v>24</v>
      </c>
      <c r="F2590" s="1" t="str">
        <f t="shared" si="262"/>
        <v>0010</v>
      </c>
      <c r="G2590" s="1" t="str">
        <f>""</f>
        <v/>
      </c>
      <c r="H2590" s="1" t="str">
        <f t="shared" si="264"/>
        <v>0031</v>
      </c>
      <c r="I2590" s="1" t="s">
        <v>95</v>
      </c>
      <c r="J2590" s="1" t="str">
        <f t="shared" si="265"/>
        <v>01043977565</v>
      </c>
      <c r="K2590" s="1" t="str">
        <f>"2017-03-20 16:27:42"</f>
        <v>2017-03-20 16:27:42</v>
      </c>
      <c r="L2590" s="1" t="str">
        <f>"-"</f>
        <v>-</v>
      </c>
      <c r="M2590" s="2">
        <v>0</v>
      </c>
      <c r="N2590" s="1" t="s">
        <v>33</v>
      </c>
      <c r="O2590" s="1" t="s">
        <v>34</v>
      </c>
      <c r="P2590" s="2">
        <v>8.1018518518518516E-5</v>
      </c>
      <c r="Q2590" s="1" t="str">
        <f>""</f>
        <v/>
      </c>
      <c r="R2590" s="1">
        <v>0</v>
      </c>
      <c r="S2590" s="1" t="str">
        <f>""</f>
        <v/>
      </c>
      <c r="T2590" s="1" t="s">
        <v>29</v>
      </c>
      <c r="U2590" s="1" t="s">
        <v>30</v>
      </c>
      <c r="V2590" s="1">
        <v>0</v>
      </c>
    </row>
    <row r="2591" spans="2:22" x14ac:dyDescent="0.15">
      <c r="B2591" s="1" t="str">
        <f>"186****0604"</f>
        <v>186****0604</v>
      </c>
      <c r="C2591" s="1" t="s">
        <v>23</v>
      </c>
      <c r="D2591" s="1" t="str">
        <f t="shared" si="261"/>
        <v>89177328</v>
      </c>
      <c r="E2591" s="1" t="s">
        <v>24</v>
      </c>
      <c r="F2591" s="1" t="str">
        <f t="shared" si="262"/>
        <v>0010</v>
      </c>
      <c r="G2591" s="1" t="str">
        <f>""</f>
        <v/>
      </c>
      <c r="H2591" s="1" t="str">
        <f t="shared" si="264"/>
        <v>0031</v>
      </c>
      <c r="I2591" s="1" t="s">
        <v>95</v>
      </c>
      <c r="J2591" s="1" t="str">
        <f t="shared" si="265"/>
        <v>01043977565</v>
      </c>
      <c r="K2591" s="1" t="str">
        <f>"2017-03-20 16:27:13"</f>
        <v>2017-03-20 16:27:13</v>
      </c>
      <c r="L2591" s="1" t="str">
        <f>"-"</f>
        <v>-</v>
      </c>
      <c r="M2591" s="2">
        <v>0</v>
      </c>
      <c r="N2591" s="1" t="s">
        <v>33</v>
      </c>
      <c r="O2591" s="1" t="s">
        <v>34</v>
      </c>
      <c r="P2591" s="2">
        <v>8.1018518518518516E-5</v>
      </c>
      <c r="Q2591" s="1" t="str">
        <f>""</f>
        <v/>
      </c>
      <c r="R2591" s="1">
        <v>0</v>
      </c>
      <c r="S2591" s="1" t="str">
        <f>""</f>
        <v/>
      </c>
      <c r="T2591" s="1" t="s">
        <v>29</v>
      </c>
      <c r="U2591" s="1" t="s">
        <v>30</v>
      </c>
      <c r="V2591" s="1">
        <v>0</v>
      </c>
    </row>
    <row r="2592" spans="2:22" x14ac:dyDescent="0.15">
      <c r="B2592" s="1" t="str">
        <f>"185****1235"</f>
        <v>185****1235</v>
      </c>
      <c r="C2592" s="1" t="s">
        <v>23</v>
      </c>
      <c r="D2592" s="1" t="str">
        <f t="shared" si="261"/>
        <v>89177328</v>
      </c>
      <c r="E2592" s="1" t="s">
        <v>24</v>
      </c>
      <c r="F2592" s="1" t="str">
        <f t="shared" si="262"/>
        <v>0010</v>
      </c>
      <c r="G2592" s="1" t="str">
        <f>""</f>
        <v/>
      </c>
      <c r="H2592" s="1" t="str">
        <f>"0032"</f>
        <v>0032</v>
      </c>
      <c r="I2592" s="1" t="s">
        <v>119</v>
      </c>
      <c r="J2592" s="1" t="str">
        <f>"01043977566"</f>
        <v>01043977566</v>
      </c>
      <c r="K2592" s="1" t="str">
        <f>"2017-03-20 16:26:32"</f>
        <v>2017-03-20 16:26:32</v>
      </c>
      <c r="L2592" s="1" t="str">
        <f>"-"</f>
        <v>-</v>
      </c>
      <c r="M2592" s="2">
        <v>0</v>
      </c>
      <c r="N2592" s="1" t="s">
        <v>33</v>
      </c>
      <c r="O2592" s="1" t="s">
        <v>34</v>
      </c>
      <c r="P2592" s="2">
        <v>1.5046296296296297E-4</v>
      </c>
      <c r="Q2592" s="1" t="str">
        <f>""</f>
        <v/>
      </c>
      <c r="R2592" s="1">
        <v>0</v>
      </c>
      <c r="S2592" s="1" t="str">
        <f>""</f>
        <v/>
      </c>
      <c r="T2592" s="1" t="s">
        <v>29</v>
      </c>
      <c r="U2592" s="1" t="s">
        <v>30</v>
      </c>
      <c r="V2592" s="1">
        <v>0</v>
      </c>
    </row>
    <row r="2593" spans="2:22" x14ac:dyDescent="0.15">
      <c r="B2593" s="1" t="str">
        <f>"188****7867"</f>
        <v>188****7867</v>
      </c>
      <c r="C2593" s="1" t="s">
        <v>23</v>
      </c>
      <c r="D2593" s="1" t="str">
        <f t="shared" si="261"/>
        <v>89177328</v>
      </c>
      <c r="E2593" s="1" t="s">
        <v>24</v>
      </c>
      <c r="F2593" s="1" t="str">
        <f t="shared" si="262"/>
        <v>0010</v>
      </c>
      <c r="G2593" s="1" t="str">
        <f>""</f>
        <v/>
      </c>
      <c r="H2593" s="1" t="str">
        <f>"0031"</f>
        <v>0031</v>
      </c>
      <c r="I2593" s="1" t="s">
        <v>95</v>
      </c>
      <c r="J2593" s="1" t="str">
        <f>"01043977565"</f>
        <v>01043977565</v>
      </c>
      <c r="K2593" s="1" t="str">
        <f>"2017-03-20 16:26:25"</f>
        <v>2017-03-20 16:26:25</v>
      </c>
      <c r="L2593" s="1" t="str">
        <f>"2017-03-20 16:26:40"</f>
        <v>2017-03-20 16:26:40</v>
      </c>
      <c r="M2593" s="2">
        <v>8.1018518518518516E-5</v>
      </c>
      <c r="N2593" s="1" t="s">
        <v>26</v>
      </c>
      <c r="O2593" s="1" t="s">
        <v>27</v>
      </c>
      <c r="P2593" s="2">
        <v>2.5462962962962961E-4</v>
      </c>
      <c r="Q2593" s="1" t="s">
        <v>1869</v>
      </c>
      <c r="R2593" s="1">
        <v>0</v>
      </c>
      <c r="S2593" s="1" t="str">
        <f>""</f>
        <v/>
      </c>
      <c r="T2593" s="1" t="s">
        <v>29</v>
      </c>
      <c r="U2593" s="1" t="s">
        <v>30</v>
      </c>
      <c r="V2593" s="1">
        <v>0</v>
      </c>
    </row>
    <row r="2594" spans="2:22" x14ac:dyDescent="0.15">
      <c r="B2594" s="1" t="str">
        <f>"010****9381"</f>
        <v>010****9381</v>
      </c>
      <c r="C2594" s="1" t="s">
        <v>23</v>
      </c>
      <c r="D2594" s="1" t="str">
        <f t="shared" si="261"/>
        <v>89177328</v>
      </c>
      <c r="E2594" s="1" t="s">
        <v>24</v>
      </c>
      <c r="F2594" s="1" t="str">
        <f t="shared" si="262"/>
        <v>0010</v>
      </c>
      <c r="G2594" s="1" t="str">
        <f>""</f>
        <v/>
      </c>
      <c r="H2594" s="1" t="str">
        <f>"0012"</f>
        <v>0012</v>
      </c>
      <c r="I2594" s="1" t="s">
        <v>612</v>
      </c>
      <c r="J2594" s="1" t="str">
        <f>"01043989720"</f>
        <v>01043989720</v>
      </c>
      <c r="K2594" s="1" t="str">
        <f>"2017-03-20 16:26:20"</f>
        <v>2017-03-20 16:26:20</v>
      </c>
      <c r="L2594" s="1" t="str">
        <f>"2017-03-20 16:26:33"</f>
        <v>2017-03-20 16:26:33</v>
      </c>
      <c r="M2594" s="2">
        <v>8.217592592592594E-3</v>
      </c>
      <c r="N2594" s="1" t="s">
        <v>26</v>
      </c>
      <c r="O2594" s="1" t="s">
        <v>34</v>
      </c>
      <c r="P2594" s="2">
        <v>8.3680555555555557E-3</v>
      </c>
      <c r="Q2594" s="1" t="s">
        <v>1870</v>
      </c>
      <c r="R2594" s="1">
        <v>0</v>
      </c>
      <c r="S2594" s="1" t="str">
        <f>""</f>
        <v/>
      </c>
      <c r="T2594" s="1" t="s">
        <v>29</v>
      </c>
      <c r="U2594" s="1" t="s">
        <v>30</v>
      </c>
      <c r="V2594" s="1">
        <v>0</v>
      </c>
    </row>
    <row r="2595" spans="2:22" x14ac:dyDescent="0.15">
      <c r="B2595" s="1" t="str">
        <f>"188****7867"</f>
        <v>188****7867</v>
      </c>
      <c r="C2595" s="1" t="s">
        <v>23</v>
      </c>
      <c r="D2595" s="1" t="str">
        <f t="shared" si="261"/>
        <v>89177328</v>
      </c>
      <c r="E2595" s="1" t="s">
        <v>24</v>
      </c>
      <c r="F2595" s="1" t="str">
        <f t="shared" si="262"/>
        <v>0010</v>
      </c>
      <c r="G2595" s="1" t="str">
        <f>""</f>
        <v/>
      </c>
      <c r="H2595" s="1" t="str">
        <f>"0031"</f>
        <v>0031</v>
      </c>
      <c r="I2595" s="1" t="s">
        <v>95</v>
      </c>
      <c r="J2595" s="1" t="str">
        <f>"01043977565"</f>
        <v>01043977565</v>
      </c>
      <c r="K2595" s="1" t="str">
        <f>"2017-03-20 16:23:53"</f>
        <v>2017-03-20 16:23:53</v>
      </c>
      <c r="L2595" s="1" t="str">
        <f>"2017-03-20 16:23:59"</f>
        <v>2017-03-20 16:23:59</v>
      </c>
      <c r="M2595" s="2">
        <v>2.199074074074074E-4</v>
      </c>
      <c r="N2595" s="1" t="s">
        <v>26</v>
      </c>
      <c r="O2595" s="1" t="s">
        <v>27</v>
      </c>
      <c r="P2595" s="2">
        <v>2.8935185185185189E-4</v>
      </c>
      <c r="Q2595" s="1" t="s">
        <v>1871</v>
      </c>
      <c r="R2595" s="1">
        <v>0</v>
      </c>
      <c r="S2595" s="1" t="str">
        <f>""</f>
        <v/>
      </c>
      <c r="T2595" s="1" t="s">
        <v>29</v>
      </c>
      <c r="U2595" s="1" t="s">
        <v>30</v>
      </c>
      <c r="V2595" s="1">
        <v>0</v>
      </c>
    </row>
    <row r="2596" spans="2:22" x14ac:dyDescent="0.15">
      <c r="B2596" s="1" t="str">
        <f>"186****0604"</f>
        <v>186****0604</v>
      </c>
      <c r="C2596" s="1" t="s">
        <v>23</v>
      </c>
      <c r="D2596" s="1" t="str">
        <f t="shared" si="261"/>
        <v>89177328</v>
      </c>
      <c r="E2596" s="1" t="s">
        <v>24</v>
      </c>
      <c r="F2596" s="1" t="str">
        <f t="shared" si="262"/>
        <v>0010</v>
      </c>
      <c r="G2596" s="1" t="str">
        <f>""</f>
        <v/>
      </c>
      <c r="H2596" s="1" t="str">
        <f>"0031"</f>
        <v>0031</v>
      </c>
      <c r="I2596" s="1" t="s">
        <v>95</v>
      </c>
      <c r="J2596" s="1" t="str">
        <f>"01043977565"</f>
        <v>01043977565</v>
      </c>
      <c r="K2596" s="1" t="str">
        <f>"2017-03-20 16:23:47"</f>
        <v>2017-03-20 16:23:47</v>
      </c>
      <c r="L2596" s="1" t="str">
        <f>"-"</f>
        <v>-</v>
      </c>
      <c r="M2596" s="2">
        <v>0</v>
      </c>
      <c r="N2596" s="1" t="s">
        <v>33</v>
      </c>
      <c r="O2596" s="1" t="s">
        <v>34</v>
      </c>
      <c r="P2596" s="2">
        <v>8.1018518518518516E-5</v>
      </c>
      <c r="Q2596" s="1" t="str">
        <f>""</f>
        <v/>
      </c>
      <c r="R2596" s="1">
        <v>0</v>
      </c>
      <c r="S2596" s="1" t="str">
        <f>""</f>
        <v/>
      </c>
      <c r="T2596" s="1" t="s">
        <v>29</v>
      </c>
      <c r="U2596" s="1" t="s">
        <v>30</v>
      </c>
      <c r="V2596" s="1">
        <v>0</v>
      </c>
    </row>
    <row r="2597" spans="2:22" x14ac:dyDescent="0.15">
      <c r="B2597" s="1" t="str">
        <f>"185****1235"</f>
        <v>185****1235</v>
      </c>
      <c r="C2597" s="1" t="s">
        <v>23</v>
      </c>
      <c r="D2597" s="1" t="str">
        <f t="shared" si="261"/>
        <v>89177328</v>
      </c>
      <c r="E2597" s="1" t="s">
        <v>24</v>
      </c>
      <c r="F2597" s="1" t="str">
        <f t="shared" si="262"/>
        <v>0010</v>
      </c>
      <c r="G2597" s="1" t="str">
        <f>""</f>
        <v/>
      </c>
      <c r="H2597" s="1" t="str">
        <f>"0031"</f>
        <v>0031</v>
      </c>
      <c r="I2597" s="1" t="s">
        <v>95</v>
      </c>
      <c r="J2597" s="1" t="str">
        <f>"01043977565"</f>
        <v>01043977565</v>
      </c>
      <c r="K2597" s="1" t="str">
        <f>"2017-03-20 16:22:57"</f>
        <v>2017-03-20 16:22:57</v>
      </c>
      <c r="L2597" s="1" t="str">
        <f>"-"</f>
        <v>-</v>
      </c>
      <c r="M2597" s="2">
        <v>0</v>
      </c>
      <c r="N2597" s="1" t="s">
        <v>33</v>
      </c>
      <c r="O2597" s="1" t="s">
        <v>34</v>
      </c>
      <c r="P2597" s="2">
        <v>5.7870370370370366E-5</v>
      </c>
      <c r="Q2597" s="1" t="str">
        <f>""</f>
        <v/>
      </c>
      <c r="R2597" s="1">
        <v>0</v>
      </c>
      <c r="S2597" s="1" t="str">
        <f>""</f>
        <v/>
      </c>
      <c r="T2597" s="1" t="s">
        <v>29</v>
      </c>
      <c r="U2597" s="1" t="s">
        <v>30</v>
      </c>
      <c r="V2597" s="1">
        <v>0</v>
      </c>
    </row>
    <row r="2598" spans="2:22" x14ac:dyDescent="0.15">
      <c r="B2598" s="1" t="str">
        <f>"187****0389"</f>
        <v>187****0389</v>
      </c>
      <c r="C2598" s="1" t="s">
        <v>872</v>
      </c>
      <c r="D2598" s="1" t="str">
        <f t="shared" si="261"/>
        <v>89177328</v>
      </c>
      <c r="E2598" s="1" t="s">
        <v>24</v>
      </c>
      <c r="F2598" s="1" t="str">
        <f t="shared" si="262"/>
        <v>0010</v>
      </c>
      <c r="G2598" s="1" t="str">
        <f>""</f>
        <v/>
      </c>
      <c r="H2598" s="1" t="str">
        <f>"0034"</f>
        <v>0034</v>
      </c>
      <c r="I2598" s="1" t="s">
        <v>31</v>
      </c>
      <c r="J2598" s="1" t="str">
        <f>"01043977568"</f>
        <v>01043977568</v>
      </c>
      <c r="K2598" s="1" t="str">
        <f>"2017-03-20 16:21:31"</f>
        <v>2017-03-20 16:21:31</v>
      </c>
      <c r="L2598" s="1" t="str">
        <f>"2017-03-20 16:21:44"</f>
        <v>2017-03-20 16:21:44</v>
      </c>
      <c r="M2598" s="2">
        <v>7.6273148148148151E-3</v>
      </c>
      <c r="N2598" s="1" t="s">
        <v>26</v>
      </c>
      <c r="O2598" s="1" t="s">
        <v>27</v>
      </c>
      <c r="P2598" s="2">
        <v>7.7777777777777767E-3</v>
      </c>
      <c r="Q2598" s="1" t="s">
        <v>1872</v>
      </c>
      <c r="R2598" s="1">
        <v>0</v>
      </c>
      <c r="S2598" s="1" t="str">
        <f>""</f>
        <v/>
      </c>
      <c r="T2598" s="1" t="s">
        <v>29</v>
      </c>
      <c r="U2598" s="1" t="s">
        <v>30</v>
      </c>
      <c r="V2598" s="1">
        <v>0</v>
      </c>
    </row>
    <row r="2599" spans="2:22" x14ac:dyDescent="0.15">
      <c r="B2599" s="1" t="str">
        <f>"186****0604"</f>
        <v>186****0604</v>
      </c>
      <c r="C2599" s="1" t="s">
        <v>23</v>
      </c>
      <c r="D2599" s="1" t="str">
        <f t="shared" si="261"/>
        <v>89177328</v>
      </c>
      <c r="E2599" s="1" t="s">
        <v>24</v>
      </c>
      <c r="F2599" s="1" t="str">
        <f t="shared" si="262"/>
        <v>0010</v>
      </c>
      <c r="G2599" s="1" t="str">
        <f>""</f>
        <v/>
      </c>
      <c r="H2599" s="1" t="str">
        <f>"0034"</f>
        <v>0034</v>
      </c>
      <c r="I2599" s="1" t="s">
        <v>31</v>
      </c>
      <c r="J2599" s="1" t="str">
        <f>"01043977568"</f>
        <v>01043977568</v>
      </c>
      <c r="K2599" s="1" t="str">
        <f>"2017-03-20 16:21:05"</f>
        <v>2017-03-20 16:21:05</v>
      </c>
      <c r="L2599" s="1" t="str">
        <f t="shared" ref="L2599:L2605" si="266">"-"</f>
        <v>-</v>
      </c>
      <c r="M2599" s="2">
        <v>0</v>
      </c>
      <c r="N2599" s="1" t="s">
        <v>33</v>
      </c>
      <c r="O2599" s="1" t="s">
        <v>34</v>
      </c>
      <c r="P2599" s="2">
        <v>1.0416666666666667E-4</v>
      </c>
      <c r="Q2599" s="1" t="str">
        <f>""</f>
        <v/>
      </c>
      <c r="R2599" s="1">
        <v>0</v>
      </c>
      <c r="S2599" s="1" t="str">
        <f>""</f>
        <v/>
      </c>
      <c r="T2599" s="1" t="s">
        <v>29</v>
      </c>
      <c r="U2599" s="1" t="s">
        <v>30</v>
      </c>
      <c r="V2599" s="1">
        <v>0</v>
      </c>
    </row>
    <row r="2600" spans="2:22" x14ac:dyDescent="0.15">
      <c r="B2600" s="1" t="str">
        <f>"183****4280"</f>
        <v>183****4280</v>
      </c>
      <c r="C2600" s="1" t="s">
        <v>23</v>
      </c>
      <c r="D2600" s="1" t="str">
        <f t="shared" si="261"/>
        <v>89177328</v>
      </c>
      <c r="E2600" s="1" t="s">
        <v>24</v>
      </c>
      <c r="F2600" s="1" t="str">
        <f t="shared" si="262"/>
        <v>0010</v>
      </c>
      <c r="G2600" s="1" t="str">
        <f>""</f>
        <v/>
      </c>
      <c r="H2600" s="1" t="str">
        <f>"0034"</f>
        <v>0034</v>
      </c>
      <c r="I2600" s="1" t="s">
        <v>31</v>
      </c>
      <c r="J2600" s="1" t="str">
        <f>"01043977568"</f>
        <v>01043977568</v>
      </c>
      <c r="K2600" s="1" t="str">
        <f>"2017-03-20 16:20:37"</f>
        <v>2017-03-20 16:20:37</v>
      </c>
      <c r="L2600" s="1" t="str">
        <f t="shared" si="266"/>
        <v>-</v>
      </c>
      <c r="M2600" s="2">
        <v>0</v>
      </c>
      <c r="N2600" s="1" t="s">
        <v>33</v>
      </c>
      <c r="O2600" s="1" t="s">
        <v>34</v>
      </c>
      <c r="P2600" s="2">
        <v>4.6296296296296294E-5</v>
      </c>
      <c r="Q2600" s="1" t="str">
        <f>""</f>
        <v/>
      </c>
      <c r="R2600" s="1">
        <v>0</v>
      </c>
      <c r="S2600" s="1" t="str">
        <f>""</f>
        <v/>
      </c>
      <c r="T2600" s="1" t="s">
        <v>29</v>
      </c>
      <c r="U2600" s="1" t="s">
        <v>30</v>
      </c>
      <c r="V2600" s="1">
        <v>0</v>
      </c>
    </row>
    <row r="2601" spans="2:22" x14ac:dyDescent="0.15">
      <c r="B2601" s="1" t="str">
        <f>"185****1235"</f>
        <v>185****1235</v>
      </c>
      <c r="C2601" s="1" t="s">
        <v>23</v>
      </c>
      <c r="D2601" s="1" t="str">
        <f t="shared" si="261"/>
        <v>89177328</v>
      </c>
      <c r="E2601" s="1" t="s">
        <v>24</v>
      </c>
      <c r="F2601" s="1" t="str">
        <f t="shared" si="262"/>
        <v>0010</v>
      </c>
      <c r="G2601" s="1" t="str">
        <f>""</f>
        <v/>
      </c>
      <c r="H2601" s="1" t="str">
        <f>"0034"</f>
        <v>0034</v>
      </c>
      <c r="I2601" s="1" t="s">
        <v>31</v>
      </c>
      <c r="J2601" s="1" t="str">
        <f>"01043977568"</f>
        <v>01043977568</v>
      </c>
      <c r="K2601" s="1" t="str">
        <f>"2017-03-20 16:20:03"</f>
        <v>2017-03-20 16:20:03</v>
      </c>
      <c r="L2601" s="1" t="str">
        <f t="shared" si="266"/>
        <v>-</v>
      </c>
      <c r="M2601" s="2">
        <v>0</v>
      </c>
      <c r="N2601" s="1" t="s">
        <v>33</v>
      </c>
      <c r="O2601" s="1" t="s">
        <v>34</v>
      </c>
      <c r="P2601" s="2">
        <v>4.6296296296296294E-5</v>
      </c>
      <c r="Q2601" s="1" t="str">
        <f>""</f>
        <v/>
      </c>
      <c r="R2601" s="1">
        <v>0</v>
      </c>
      <c r="S2601" s="1" t="str">
        <f>""</f>
        <v/>
      </c>
      <c r="T2601" s="1" t="s">
        <v>29</v>
      </c>
      <c r="U2601" s="1" t="s">
        <v>30</v>
      </c>
      <c r="V2601" s="1">
        <v>0</v>
      </c>
    </row>
    <row r="2602" spans="2:22" x14ac:dyDescent="0.15">
      <c r="B2602" s="1" t="str">
        <f>"186****0604"</f>
        <v>186****0604</v>
      </c>
      <c r="C2602" s="1" t="s">
        <v>23</v>
      </c>
      <c r="D2602" s="1" t="str">
        <f t="shared" si="261"/>
        <v>89177328</v>
      </c>
      <c r="E2602" s="1" t="s">
        <v>24</v>
      </c>
      <c r="F2602" s="1" t="str">
        <f t="shared" si="262"/>
        <v>0010</v>
      </c>
      <c r="G2602" s="1" t="str">
        <f>""</f>
        <v/>
      </c>
      <c r="H2602" s="1" t="str">
        <f>"0034"</f>
        <v>0034</v>
      </c>
      <c r="I2602" s="1" t="s">
        <v>31</v>
      </c>
      <c r="J2602" s="1" t="str">
        <f>"01043977568"</f>
        <v>01043977568</v>
      </c>
      <c r="K2602" s="1" t="str">
        <f>"2017-03-20 16:18:02"</f>
        <v>2017-03-20 16:18:02</v>
      </c>
      <c r="L2602" s="1" t="str">
        <f t="shared" si="266"/>
        <v>-</v>
      </c>
      <c r="M2602" s="2">
        <v>0</v>
      </c>
      <c r="N2602" s="1" t="s">
        <v>33</v>
      </c>
      <c r="O2602" s="1" t="s">
        <v>34</v>
      </c>
      <c r="P2602" s="2">
        <v>1.273148148148148E-4</v>
      </c>
      <c r="Q2602" s="1" t="str">
        <f>""</f>
        <v/>
      </c>
      <c r="R2602" s="1">
        <v>0</v>
      </c>
      <c r="S2602" s="1" t="str">
        <f>""</f>
        <v/>
      </c>
      <c r="T2602" s="1" t="s">
        <v>29</v>
      </c>
      <c r="U2602" s="1" t="s">
        <v>30</v>
      </c>
      <c r="V2602" s="1">
        <v>0</v>
      </c>
    </row>
    <row r="2603" spans="2:22" x14ac:dyDescent="0.15">
      <c r="B2603" s="1" t="str">
        <f>"177****0206"</f>
        <v>177****0206</v>
      </c>
      <c r="C2603" s="1" t="s">
        <v>23</v>
      </c>
      <c r="D2603" s="1" t="str">
        <f t="shared" si="261"/>
        <v>89177328</v>
      </c>
      <c r="E2603" s="1" t="s">
        <v>24</v>
      </c>
      <c r="F2603" s="1" t="str">
        <f t="shared" si="262"/>
        <v>0010</v>
      </c>
      <c r="G2603" s="1" t="str">
        <f>""</f>
        <v/>
      </c>
      <c r="H2603" s="1" t="str">
        <f>"0031"</f>
        <v>0031</v>
      </c>
      <c r="I2603" s="1" t="s">
        <v>95</v>
      </c>
      <c r="J2603" s="1" t="str">
        <f>"01043977565"</f>
        <v>01043977565</v>
      </c>
      <c r="K2603" s="1" t="str">
        <f>"2017-03-20 16:16:16"</f>
        <v>2017-03-20 16:16:16</v>
      </c>
      <c r="L2603" s="1" t="str">
        <f t="shared" si="266"/>
        <v>-</v>
      </c>
      <c r="M2603" s="2">
        <v>0</v>
      </c>
      <c r="N2603" s="1" t="s">
        <v>33</v>
      </c>
      <c r="O2603" s="1" t="s">
        <v>34</v>
      </c>
      <c r="P2603" s="2">
        <v>9.2592592592592588E-5</v>
      </c>
      <c r="Q2603" s="1" t="str">
        <f>""</f>
        <v/>
      </c>
      <c r="R2603" s="1">
        <v>0</v>
      </c>
      <c r="S2603" s="1" t="str">
        <f>""</f>
        <v/>
      </c>
      <c r="T2603" s="1" t="s">
        <v>29</v>
      </c>
      <c r="U2603" s="1" t="s">
        <v>30</v>
      </c>
      <c r="V2603" s="1">
        <v>0</v>
      </c>
    </row>
    <row r="2604" spans="2:22" x14ac:dyDescent="0.15">
      <c r="B2604" s="1" t="str">
        <f>"150****5079"</f>
        <v>150****5079</v>
      </c>
      <c r="C2604" s="1" t="s">
        <v>69</v>
      </c>
      <c r="D2604" s="1" t="str">
        <f t="shared" si="261"/>
        <v>89177328</v>
      </c>
      <c r="E2604" s="1" t="s">
        <v>24</v>
      </c>
      <c r="F2604" s="1" t="str">
        <f t="shared" si="262"/>
        <v>0010</v>
      </c>
      <c r="G2604" s="1" t="str">
        <f>""</f>
        <v/>
      </c>
      <c r="H2604" s="1" t="str">
        <f>"0031"</f>
        <v>0031</v>
      </c>
      <c r="I2604" s="1" t="s">
        <v>95</v>
      </c>
      <c r="J2604" s="1" t="str">
        <f>"01043977565"</f>
        <v>01043977565</v>
      </c>
      <c r="K2604" s="1" t="str">
        <f>"2017-03-20 16:15:27"</f>
        <v>2017-03-20 16:15:27</v>
      </c>
      <c r="L2604" s="1" t="str">
        <f t="shared" si="266"/>
        <v>-</v>
      </c>
      <c r="M2604" s="2">
        <v>0</v>
      </c>
      <c r="N2604" s="1" t="s">
        <v>33</v>
      </c>
      <c r="O2604" s="1" t="s">
        <v>34</v>
      </c>
      <c r="P2604" s="2">
        <v>2.3148148148148147E-5</v>
      </c>
      <c r="Q2604" s="1" t="str">
        <f>""</f>
        <v/>
      </c>
      <c r="R2604" s="1">
        <v>0</v>
      </c>
      <c r="S2604" s="1" t="str">
        <f>""</f>
        <v/>
      </c>
      <c r="T2604" s="1" t="s">
        <v>29</v>
      </c>
      <c r="U2604" s="1" t="s">
        <v>30</v>
      </c>
      <c r="V2604" s="1">
        <v>0</v>
      </c>
    </row>
    <row r="2605" spans="2:22" x14ac:dyDescent="0.15">
      <c r="B2605" s="1" t="str">
        <f>"185****1235"</f>
        <v>185****1235</v>
      </c>
      <c r="C2605" s="1" t="s">
        <v>23</v>
      </c>
      <c r="D2605" s="1" t="str">
        <f t="shared" si="261"/>
        <v>89177328</v>
      </c>
      <c r="E2605" s="1" t="s">
        <v>24</v>
      </c>
      <c r="F2605" s="1" t="str">
        <f t="shared" si="262"/>
        <v>0010</v>
      </c>
      <c r="G2605" s="1" t="str">
        <f>""</f>
        <v/>
      </c>
      <c r="H2605" s="1" t="str">
        <f>"0031"</f>
        <v>0031</v>
      </c>
      <c r="I2605" s="1" t="s">
        <v>95</v>
      </c>
      <c r="J2605" s="1" t="str">
        <f>"01043977565"</f>
        <v>01043977565</v>
      </c>
      <c r="K2605" s="1" t="str">
        <f>"2017-03-20 16:15:00"</f>
        <v>2017-03-20 16:15:00</v>
      </c>
      <c r="L2605" s="1" t="str">
        <f t="shared" si="266"/>
        <v>-</v>
      </c>
      <c r="M2605" s="2">
        <v>0</v>
      </c>
      <c r="N2605" s="1" t="s">
        <v>33</v>
      </c>
      <c r="O2605" s="1" t="s">
        <v>34</v>
      </c>
      <c r="P2605" s="2">
        <v>4.6296296296296294E-5</v>
      </c>
      <c r="Q2605" s="1" t="str">
        <f>""</f>
        <v/>
      </c>
      <c r="R2605" s="1">
        <v>0</v>
      </c>
      <c r="S2605" s="1" t="str">
        <f>""</f>
        <v/>
      </c>
      <c r="T2605" s="1" t="s">
        <v>29</v>
      </c>
      <c r="U2605" s="1" t="s">
        <v>30</v>
      </c>
      <c r="V2605" s="1">
        <v>0</v>
      </c>
    </row>
    <row r="2606" spans="2:22" x14ac:dyDescent="0.15">
      <c r="B2606" s="1" t="str">
        <f>"177****3885"</f>
        <v>177****3885</v>
      </c>
      <c r="C2606" s="1" t="s">
        <v>205</v>
      </c>
      <c r="D2606" s="1" t="str">
        <f t="shared" si="261"/>
        <v>89177328</v>
      </c>
      <c r="E2606" s="1" t="s">
        <v>24</v>
      </c>
      <c r="F2606" s="1" t="str">
        <f t="shared" si="262"/>
        <v>0010</v>
      </c>
      <c r="G2606" s="1" t="str">
        <f>""</f>
        <v/>
      </c>
      <c r="H2606" s="1" t="str">
        <f t="shared" ref="H2606:H2615" si="267">"0034"</f>
        <v>0034</v>
      </c>
      <c r="I2606" s="1" t="s">
        <v>31</v>
      </c>
      <c r="J2606" s="1" t="str">
        <f t="shared" ref="J2606:J2615" si="268">"01043977568"</f>
        <v>01043977568</v>
      </c>
      <c r="K2606" s="1" t="str">
        <f>"2017-03-20 16:14:18"</f>
        <v>2017-03-20 16:14:18</v>
      </c>
      <c r="L2606" s="1" t="str">
        <f>"2017-03-20 16:14:30"</f>
        <v>2017-03-20 16:14:30</v>
      </c>
      <c r="M2606" s="2">
        <v>2.0254629629629629E-3</v>
      </c>
      <c r="N2606" s="1" t="s">
        <v>26</v>
      </c>
      <c r="O2606" s="1" t="s">
        <v>27</v>
      </c>
      <c r="P2606" s="2">
        <v>2.1643518518518518E-3</v>
      </c>
      <c r="Q2606" s="1" t="s">
        <v>1873</v>
      </c>
      <c r="R2606" s="1">
        <v>0</v>
      </c>
      <c r="S2606" s="1" t="str">
        <f>""</f>
        <v/>
      </c>
      <c r="T2606" s="1" t="s">
        <v>29</v>
      </c>
      <c r="U2606" s="1" t="s">
        <v>30</v>
      </c>
      <c r="V2606" s="1">
        <v>0</v>
      </c>
    </row>
    <row r="2607" spans="2:22" x14ac:dyDescent="0.15">
      <c r="B2607" s="1" t="str">
        <f>"188****7867"</f>
        <v>188****7867</v>
      </c>
      <c r="C2607" s="1" t="s">
        <v>23</v>
      </c>
      <c r="D2607" s="1" t="str">
        <f t="shared" si="261"/>
        <v>89177328</v>
      </c>
      <c r="E2607" s="1" t="s">
        <v>24</v>
      </c>
      <c r="F2607" s="1" t="str">
        <f t="shared" si="262"/>
        <v>0010</v>
      </c>
      <c r="G2607" s="1" t="str">
        <f>""</f>
        <v/>
      </c>
      <c r="H2607" s="1" t="str">
        <f t="shared" si="267"/>
        <v>0034</v>
      </c>
      <c r="I2607" s="1" t="s">
        <v>31</v>
      </c>
      <c r="J2607" s="1" t="str">
        <f t="shared" si="268"/>
        <v>01043977568</v>
      </c>
      <c r="K2607" s="1" t="str">
        <f>"2017-03-20 16:14:11"</f>
        <v>2017-03-20 16:14:11</v>
      </c>
      <c r="L2607" s="1" t="str">
        <f t="shared" ref="L2607:L2615" si="269">"-"</f>
        <v>-</v>
      </c>
      <c r="M2607" s="2">
        <v>0</v>
      </c>
      <c r="N2607" s="1" t="s">
        <v>33</v>
      </c>
      <c r="O2607" s="1" t="s">
        <v>34</v>
      </c>
      <c r="P2607" s="2">
        <v>8.1018518518518516E-5</v>
      </c>
      <c r="Q2607" s="1" t="str">
        <f>""</f>
        <v/>
      </c>
      <c r="R2607" s="1">
        <v>0</v>
      </c>
      <c r="S2607" s="1" t="str">
        <f>""</f>
        <v/>
      </c>
      <c r="T2607" s="1" t="s">
        <v>29</v>
      </c>
      <c r="U2607" s="1" t="s">
        <v>30</v>
      </c>
      <c r="V2607" s="1">
        <v>0</v>
      </c>
    </row>
    <row r="2608" spans="2:22" x14ac:dyDescent="0.15">
      <c r="B2608" s="1" t="str">
        <f>"183****4280"</f>
        <v>183****4280</v>
      </c>
      <c r="C2608" s="1" t="s">
        <v>23</v>
      </c>
      <c r="D2608" s="1" t="str">
        <f t="shared" si="261"/>
        <v>89177328</v>
      </c>
      <c r="E2608" s="1" t="s">
        <v>24</v>
      </c>
      <c r="F2608" s="1" t="str">
        <f t="shared" si="262"/>
        <v>0010</v>
      </c>
      <c r="G2608" s="1" t="str">
        <f>""</f>
        <v/>
      </c>
      <c r="H2608" s="1" t="str">
        <f t="shared" si="267"/>
        <v>0034</v>
      </c>
      <c r="I2608" s="1" t="s">
        <v>31</v>
      </c>
      <c r="J2608" s="1" t="str">
        <f t="shared" si="268"/>
        <v>01043977568</v>
      </c>
      <c r="K2608" s="1" t="str">
        <f>"2017-03-20 16:13:33"</f>
        <v>2017-03-20 16:13:33</v>
      </c>
      <c r="L2608" s="1" t="str">
        <f t="shared" si="269"/>
        <v>-</v>
      </c>
      <c r="M2608" s="2">
        <v>0</v>
      </c>
      <c r="N2608" s="1" t="s">
        <v>33</v>
      </c>
      <c r="O2608" s="1" t="s">
        <v>34</v>
      </c>
      <c r="P2608" s="2">
        <v>4.6296296296296294E-5</v>
      </c>
      <c r="Q2608" s="1" t="str">
        <f>""</f>
        <v/>
      </c>
      <c r="R2608" s="1">
        <v>0</v>
      </c>
      <c r="S2608" s="1" t="str">
        <f>""</f>
        <v/>
      </c>
      <c r="T2608" s="1" t="s">
        <v>29</v>
      </c>
      <c r="U2608" s="1" t="s">
        <v>30</v>
      </c>
      <c r="V2608" s="1">
        <v>0</v>
      </c>
    </row>
    <row r="2609" spans="2:22" x14ac:dyDescent="0.15">
      <c r="B2609" s="1" t="str">
        <f>"185****1235"</f>
        <v>185****1235</v>
      </c>
      <c r="C2609" s="1" t="s">
        <v>23</v>
      </c>
      <c r="D2609" s="1" t="str">
        <f t="shared" si="261"/>
        <v>89177328</v>
      </c>
      <c r="E2609" s="1" t="s">
        <v>24</v>
      </c>
      <c r="F2609" s="1" t="str">
        <f t="shared" si="262"/>
        <v>0010</v>
      </c>
      <c r="G2609" s="1" t="str">
        <f>""</f>
        <v/>
      </c>
      <c r="H2609" s="1" t="str">
        <f t="shared" si="267"/>
        <v>0034</v>
      </c>
      <c r="I2609" s="1" t="s">
        <v>31</v>
      </c>
      <c r="J2609" s="1" t="str">
        <f t="shared" si="268"/>
        <v>01043977568</v>
      </c>
      <c r="K2609" s="1" t="str">
        <f>"2017-03-20 16:12:54"</f>
        <v>2017-03-20 16:12:54</v>
      </c>
      <c r="L2609" s="1" t="str">
        <f t="shared" si="269"/>
        <v>-</v>
      </c>
      <c r="M2609" s="2">
        <v>0</v>
      </c>
      <c r="N2609" s="1" t="s">
        <v>33</v>
      </c>
      <c r="O2609" s="1" t="s">
        <v>34</v>
      </c>
      <c r="P2609" s="2">
        <v>5.7870370370370366E-5</v>
      </c>
      <c r="Q2609" s="1" t="str">
        <f>""</f>
        <v/>
      </c>
      <c r="R2609" s="1">
        <v>0</v>
      </c>
      <c r="S2609" s="1" t="str">
        <f>""</f>
        <v/>
      </c>
      <c r="T2609" s="1" t="s">
        <v>29</v>
      </c>
      <c r="U2609" s="1" t="s">
        <v>30</v>
      </c>
      <c r="V2609" s="1">
        <v>0</v>
      </c>
    </row>
    <row r="2610" spans="2:22" x14ac:dyDescent="0.15">
      <c r="B2610" s="1" t="str">
        <f>"186****0604"</f>
        <v>186****0604</v>
      </c>
      <c r="C2610" s="1" t="s">
        <v>23</v>
      </c>
      <c r="D2610" s="1" t="str">
        <f t="shared" si="261"/>
        <v>89177328</v>
      </c>
      <c r="E2610" s="1" t="s">
        <v>24</v>
      </c>
      <c r="F2610" s="1" t="str">
        <f t="shared" si="262"/>
        <v>0010</v>
      </c>
      <c r="G2610" s="1" t="str">
        <f>""</f>
        <v/>
      </c>
      <c r="H2610" s="1" t="str">
        <f t="shared" si="267"/>
        <v>0034</v>
      </c>
      <c r="I2610" s="1" t="s">
        <v>31</v>
      </c>
      <c r="J2610" s="1" t="str">
        <f t="shared" si="268"/>
        <v>01043977568</v>
      </c>
      <c r="K2610" s="1" t="str">
        <f>"2017-03-20 16:11:25"</f>
        <v>2017-03-20 16:11:25</v>
      </c>
      <c r="L2610" s="1" t="str">
        <f t="shared" si="269"/>
        <v>-</v>
      </c>
      <c r="M2610" s="2">
        <v>0</v>
      </c>
      <c r="N2610" s="1" t="s">
        <v>33</v>
      </c>
      <c r="O2610" s="1" t="s">
        <v>34</v>
      </c>
      <c r="P2610" s="2">
        <v>2.0833333333333335E-4</v>
      </c>
      <c r="Q2610" s="1" t="str">
        <f>""</f>
        <v/>
      </c>
      <c r="R2610" s="1">
        <v>0</v>
      </c>
      <c r="S2610" s="1" t="str">
        <f>""</f>
        <v/>
      </c>
      <c r="T2610" s="1" t="s">
        <v>29</v>
      </c>
      <c r="U2610" s="1" t="s">
        <v>30</v>
      </c>
      <c r="V2610" s="1">
        <v>0</v>
      </c>
    </row>
    <row r="2611" spans="2:22" x14ac:dyDescent="0.15">
      <c r="B2611" s="1" t="str">
        <f>"188****7867"</f>
        <v>188****7867</v>
      </c>
      <c r="C2611" s="1" t="s">
        <v>23</v>
      </c>
      <c r="D2611" s="1" t="str">
        <f t="shared" si="261"/>
        <v>89177328</v>
      </c>
      <c r="E2611" s="1" t="s">
        <v>24</v>
      </c>
      <c r="F2611" s="1" t="str">
        <f t="shared" si="262"/>
        <v>0010</v>
      </c>
      <c r="G2611" s="1" t="str">
        <f>""</f>
        <v/>
      </c>
      <c r="H2611" s="1" t="str">
        <f t="shared" si="267"/>
        <v>0034</v>
      </c>
      <c r="I2611" s="1" t="s">
        <v>31</v>
      </c>
      <c r="J2611" s="1" t="str">
        <f t="shared" si="268"/>
        <v>01043977568</v>
      </c>
      <c r="K2611" s="1" t="str">
        <f>"2017-03-20 16:11:14"</f>
        <v>2017-03-20 16:11:14</v>
      </c>
      <c r="L2611" s="1" t="str">
        <f t="shared" si="269"/>
        <v>-</v>
      </c>
      <c r="M2611" s="2">
        <v>0</v>
      </c>
      <c r="N2611" s="1" t="s">
        <v>33</v>
      </c>
      <c r="O2611" s="1" t="s">
        <v>34</v>
      </c>
      <c r="P2611" s="2">
        <v>8.1018518518518516E-5</v>
      </c>
      <c r="Q2611" s="1" t="str">
        <f>""</f>
        <v/>
      </c>
      <c r="R2611" s="1">
        <v>0</v>
      </c>
      <c r="S2611" s="1" t="str">
        <f>""</f>
        <v/>
      </c>
      <c r="T2611" s="1" t="s">
        <v>29</v>
      </c>
      <c r="U2611" s="1" t="s">
        <v>30</v>
      </c>
      <c r="V2611" s="1">
        <v>0</v>
      </c>
    </row>
    <row r="2612" spans="2:22" x14ac:dyDescent="0.15">
      <c r="B2612" s="1" t="str">
        <f>"177****0206"</f>
        <v>177****0206</v>
      </c>
      <c r="C2612" s="1" t="s">
        <v>23</v>
      </c>
      <c r="D2612" s="1" t="str">
        <f t="shared" si="261"/>
        <v>89177328</v>
      </c>
      <c r="E2612" s="1" t="s">
        <v>24</v>
      </c>
      <c r="F2612" s="1" t="str">
        <f t="shared" si="262"/>
        <v>0010</v>
      </c>
      <c r="G2612" s="1" t="str">
        <f>""</f>
        <v/>
      </c>
      <c r="H2612" s="1" t="str">
        <f t="shared" si="267"/>
        <v>0034</v>
      </c>
      <c r="I2612" s="1" t="s">
        <v>31</v>
      </c>
      <c r="J2612" s="1" t="str">
        <f t="shared" si="268"/>
        <v>01043977568</v>
      </c>
      <c r="K2612" s="1" t="str">
        <f>"2017-03-20 16:09:25"</f>
        <v>2017-03-20 16:09:25</v>
      </c>
      <c r="L2612" s="1" t="str">
        <f t="shared" si="269"/>
        <v>-</v>
      </c>
      <c r="M2612" s="2">
        <v>0</v>
      </c>
      <c r="N2612" s="1" t="s">
        <v>33</v>
      </c>
      <c r="O2612" s="1" t="s">
        <v>34</v>
      </c>
      <c r="P2612" s="2">
        <v>6.9444444444444444E-5</v>
      </c>
      <c r="Q2612" s="1" t="str">
        <f>""</f>
        <v/>
      </c>
      <c r="R2612" s="1">
        <v>0</v>
      </c>
      <c r="S2612" s="1" t="str">
        <f>""</f>
        <v/>
      </c>
      <c r="T2612" s="1" t="s">
        <v>29</v>
      </c>
      <c r="U2612" s="1" t="s">
        <v>30</v>
      </c>
      <c r="V2612" s="1">
        <v>0</v>
      </c>
    </row>
    <row r="2613" spans="2:22" x14ac:dyDescent="0.15">
      <c r="B2613" s="1" t="str">
        <f>"183****4280"</f>
        <v>183****4280</v>
      </c>
      <c r="C2613" s="1" t="s">
        <v>23</v>
      </c>
      <c r="D2613" s="1" t="str">
        <f t="shared" si="261"/>
        <v>89177328</v>
      </c>
      <c r="E2613" s="1" t="s">
        <v>24</v>
      </c>
      <c r="F2613" s="1" t="str">
        <f t="shared" si="262"/>
        <v>0010</v>
      </c>
      <c r="G2613" s="1" t="str">
        <f>""</f>
        <v/>
      </c>
      <c r="H2613" s="1" t="str">
        <f t="shared" si="267"/>
        <v>0034</v>
      </c>
      <c r="I2613" s="1" t="s">
        <v>31</v>
      </c>
      <c r="J2613" s="1" t="str">
        <f t="shared" si="268"/>
        <v>01043977568</v>
      </c>
      <c r="K2613" s="1" t="str">
        <f>"2017-03-20 16:07:29"</f>
        <v>2017-03-20 16:07:29</v>
      </c>
      <c r="L2613" s="1" t="str">
        <f t="shared" si="269"/>
        <v>-</v>
      </c>
      <c r="M2613" s="2">
        <v>0</v>
      </c>
      <c r="N2613" s="1" t="s">
        <v>33</v>
      </c>
      <c r="O2613" s="1" t="s">
        <v>34</v>
      </c>
      <c r="P2613" s="2">
        <v>2.3148148148148147E-5</v>
      </c>
      <c r="Q2613" s="1" t="str">
        <f>""</f>
        <v/>
      </c>
      <c r="R2613" s="1">
        <v>0</v>
      </c>
      <c r="S2613" s="1" t="str">
        <f>""</f>
        <v/>
      </c>
      <c r="T2613" s="1" t="s">
        <v>29</v>
      </c>
      <c r="U2613" s="1" t="s">
        <v>30</v>
      </c>
      <c r="V2613" s="1">
        <v>0</v>
      </c>
    </row>
    <row r="2614" spans="2:22" x14ac:dyDescent="0.15">
      <c r="B2614" s="1" t="str">
        <f>"177****0206"</f>
        <v>177****0206</v>
      </c>
      <c r="C2614" s="1" t="s">
        <v>23</v>
      </c>
      <c r="D2614" s="1" t="str">
        <f t="shared" si="261"/>
        <v>89177328</v>
      </c>
      <c r="E2614" s="1" t="s">
        <v>24</v>
      </c>
      <c r="F2614" s="1" t="str">
        <f t="shared" si="262"/>
        <v>0010</v>
      </c>
      <c r="G2614" s="1" t="str">
        <f>""</f>
        <v/>
      </c>
      <c r="H2614" s="1" t="str">
        <f t="shared" si="267"/>
        <v>0034</v>
      </c>
      <c r="I2614" s="1" t="s">
        <v>31</v>
      </c>
      <c r="J2614" s="1" t="str">
        <f t="shared" si="268"/>
        <v>01043977568</v>
      </c>
      <c r="K2614" s="1" t="str">
        <f>"2017-03-20 16:05:47"</f>
        <v>2017-03-20 16:05:47</v>
      </c>
      <c r="L2614" s="1" t="str">
        <f t="shared" si="269"/>
        <v>-</v>
      </c>
      <c r="M2614" s="2">
        <v>0</v>
      </c>
      <c r="N2614" s="1" t="s">
        <v>33</v>
      </c>
      <c r="O2614" s="1" t="s">
        <v>34</v>
      </c>
      <c r="P2614" s="2">
        <v>6.9444444444444444E-5</v>
      </c>
      <c r="Q2614" s="1" t="str">
        <f>""</f>
        <v/>
      </c>
      <c r="R2614" s="1">
        <v>0</v>
      </c>
      <c r="S2614" s="1" t="str">
        <f>""</f>
        <v/>
      </c>
      <c r="T2614" s="1" t="s">
        <v>29</v>
      </c>
      <c r="U2614" s="1" t="s">
        <v>30</v>
      </c>
      <c r="V2614" s="1">
        <v>0</v>
      </c>
    </row>
    <row r="2615" spans="2:22" x14ac:dyDescent="0.15">
      <c r="B2615" s="1" t="str">
        <f>"185****1235"</f>
        <v>185****1235</v>
      </c>
      <c r="C2615" s="1" t="s">
        <v>23</v>
      </c>
      <c r="D2615" s="1" t="str">
        <f t="shared" si="261"/>
        <v>89177328</v>
      </c>
      <c r="E2615" s="1" t="s">
        <v>24</v>
      </c>
      <c r="F2615" s="1" t="str">
        <f t="shared" si="262"/>
        <v>0010</v>
      </c>
      <c r="G2615" s="1" t="str">
        <f>""</f>
        <v/>
      </c>
      <c r="H2615" s="1" t="str">
        <f t="shared" si="267"/>
        <v>0034</v>
      </c>
      <c r="I2615" s="1" t="s">
        <v>31</v>
      </c>
      <c r="J2615" s="1" t="str">
        <f t="shared" si="268"/>
        <v>01043977568</v>
      </c>
      <c r="K2615" s="1" t="str">
        <f>"2017-03-20 16:05:34"</f>
        <v>2017-03-20 16:05:34</v>
      </c>
      <c r="L2615" s="1" t="str">
        <f t="shared" si="269"/>
        <v>-</v>
      </c>
      <c r="M2615" s="2">
        <v>0</v>
      </c>
      <c r="N2615" s="1" t="s">
        <v>33</v>
      </c>
      <c r="O2615" s="1" t="s">
        <v>34</v>
      </c>
      <c r="P2615" s="2">
        <v>6.9444444444444444E-5</v>
      </c>
      <c r="Q2615" s="1" t="str">
        <f>""</f>
        <v/>
      </c>
      <c r="R2615" s="1">
        <v>0</v>
      </c>
      <c r="S2615" s="1" t="str">
        <f>""</f>
        <v/>
      </c>
      <c r="T2615" s="1" t="s">
        <v>29</v>
      </c>
      <c r="U2615" s="1" t="s">
        <v>30</v>
      </c>
      <c r="V2615" s="1">
        <v>0</v>
      </c>
    </row>
    <row r="2616" spans="2:22" x14ac:dyDescent="0.15">
      <c r="B2616" s="1" t="str">
        <f>"186****0604"</f>
        <v>186****0604</v>
      </c>
      <c r="C2616" s="1" t="s">
        <v>23</v>
      </c>
      <c r="D2616" s="1" t="str">
        <f t="shared" si="261"/>
        <v>89177328</v>
      </c>
      <c r="E2616" s="1" t="s">
        <v>24</v>
      </c>
      <c r="F2616" s="1" t="str">
        <f t="shared" si="262"/>
        <v>0010</v>
      </c>
      <c r="G2616" s="1" t="str">
        <f>""</f>
        <v/>
      </c>
      <c r="H2616" s="1" t="str">
        <f>"0033"</f>
        <v>0033</v>
      </c>
      <c r="I2616" s="1" t="s">
        <v>106</v>
      </c>
      <c r="J2616" s="1" t="str">
        <f>"01043977567"</f>
        <v>01043977567</v>
      </c>
      <c r="K2616" s="1" t="str">
        <f>"2017-03-20 16:05:31"</f>
        <v>2017-03-20 16:05:31</v>
      </c>
      <c r="L2616" s="1" t="str">
        <f>"2017-03-20 16:05:36"</f>
        <v>2017-03-20 16:05:36</v>
      </c>
      <c r="M2616" s="2">
        <v>2.3148148148148147E-5</v>
      </c>
      <c r="N2616" s="1" t="s">
        <v>26</v>
      </c>
      <c r="O2616" s="1" t="s">
        <v>27</v>
      </c>
      <c r="P2616" s="2">
        <v>8.1018518518518516E-5</v>
      </c>
      <c r="Q2616" s="1" t="str">
        <f>""</f>
        <v/>
      </c>
      <c r="R2616" s="1">
        <v>0</v>
      </c>
      <c r="S2616" s="1" t="str">
        <f>""</f>
        <v/>
      </c>
      <c r="T2616" s="1" t="s">
        <v>29</v>
      </c>
      <c r="U2616" s="1" t="s">
        <v>30</v>
      </c>
      <c r="V2616" s="1">
        <v>0</v>
      </c>
    </row>
    <row r="2617" spans="2:22" x14ac:dyDescent="0.15">
      <c r="B2617" s="1" t="str">
        <f>"177****0206"</f>
        <v>177****0206</v>
      </c>
      <c r="C2617" s="1" t="s">
        <v>23</v>
      </c>
      <c r="D2617" s="1" t="str">
        <f t="shared" si="261"/>
        <v>89177328</v>
      </c>
      <c r="E2617" s="1" t="s">
        <v>24</v>
      </c>
      <c r="F2617" s="1" t="str">
        <f t="shared" si="262"/>
        <v>0010</v>
      </c>
      <c r="G2617" s="1" t="str">
        <f>""</f>
        <v/>
      </c>
      <c r="H2617" s="1" t="str">
        <f>"0033"</f>
        <v>0033</v>
      </c>
      <c r="I2617" s="1" t="s">
        <v>106</v>
      </c>
      <c r="J2617" s="1" t="str">
        <f>"01043977567"</f>
        <v>01043977567</v>
      </c>
      <c r="K2617" s="1" t="str">
        <f>"2017-03-20 16:03:39"</f>
        <v>2017-03-20 16:03:39</v>
      </c>
      <c r="L2617" s="1" t="str">
        <f>"2017-03-20 16:03:47"</f>
        <v>2017-03-20 16:03:47</v>
      </c>
      <c r="M2617" s="2">
        <v>1.1574074074074073E-5</v>
      </c>
      <c r="N2617" s="1" t="s">
        <v>26</v>
      </c>
      <c r="O2617" s="1" t="s">
        <v>27</v>
      </c>
      <c r="P2617" s="2">
        <v>1.0416666666666667E-4</v>
      </c>
      <c r="Q2617" s="1" t="str">
        <f>""</f>
        <v/>
      </c>
      <c r="R2617" s="1">
        <v>0</v>
      </c>
      <c r="S2617" s="1" t="str">
        <f>""</f>
        <v/>
      </c>
      <c r="T2617" s="1" t="s">
        <v>29</v>
      </c>
      <c r="U2617" s="1" t="s">
        <v>30</v>
      </c>
      <c r="V2617" s="1">
        <v>0</v>
      </c>
    </row>
    <row r="2618" spans="2:22" x14ac:dyDescent="0.15">
      <c r="B2618" s="1" t="str">
        <f>"177****0206"</f>
        <v>177****0206</v>
      </c>
      <c r="C2618" s="1" t="s">
        <v>23</v>
      </c>
      <c r="D2618" s="1" t="str">
        <f t="shared" si="261"/>
        <v>89177328</v>
      </c>
      <c r="E2618" s="1" t="s">
        <v>24</v>
      </c>
      <c r="F2618" s="1" t="str">
        <f t="shared" si="262"/>
        <v>0010</v>
      </c>
      <c r="G2618" s="1" t="str">
        <f>""</f>
        <v/>
      </c>
      <c r="H2618" s="1" t="str">
        <f>"0034"</f>
        <v>0034</v>
      </c>
      <c r="I2618" s="1" t="s">
        <v>31</v>
      </c>
      <c r="J2618" s="1" t="str">
        <f>"01043977568"</f>
        <v>01043977568</v>
      </c>
      <c r="K2618" s="1" t="str">
        <f>"2017-03-20 16:00:45"</f>
        <v>2017-03-20 16:00:45</v>
      </c>
      <c r="L2618" s="1" t="str">
        <f>"-"</f>
        <v>-</v>
      </c>
      <c r="M2618" s="2">
        <v>0</v>
      </c>
      <c r="N2618" s="1" t="s">
        <v>33</v>
      </c>
      <c r="O2618" s="1" t="s">
        <v>34</v>
      </c>
      <c r="P2618" s="2">
        <v>8.1018518518518516E-5</v>
      </c>
      <c r="Q2618" s="1" t="str">
        <f>""</f>
        <v/>
      </c>
      <c r="R2618" s="1">
        <v>0</v>
      </c>
      <c r="S2618" s="1" t="str">
        <f>""</f>
        <v/>
      </c>
      <c r="T2618" s="1" t="s">
        <v>29</v>
      </c>
      <c r="U2618" s="1" t="s">
        <v>30</v>
      </c>
      <c r="V2618" s="1">
        <v>0</v>
      </c>
    </row>
    <row r="2619" spans="2:22" x14ac:dyDescent="0.15">
      <c r="B2619" s="1" t="str">
        <f>"135****7064"</f>
        <v>135****7064</v>
      </c>
      <c r="C2619" s="1" t="s">
        <v>23</v>
      </c>
      <c r="D2619" s="1" t="str">
        <f t="shared" si="261"/>
        <v>89177328</v>
      </c>
      <c r="E2619" s="1" t="s">
        <v>24</v>
      </c>
      <c r="F2619" s="1" t="str">
        <f t="shared" si="262"/>
        <v>0010</v>
      </c>
      <c r="G2619" s="1" t="str">
        <f>""</f>
        <v/>
      </c>
      <c r="H2619" s="1" t="str">
        <f>"0017"</f>
        <v>0017</v>
      </c>
      <c r="I2619" s="1" t="s">
        <v>135</v>
      </c>
      <c r="J2619" s="1" t="str">
        <f>"01043989717"</f>
        <v>01043989717</v>
      </c>
      <c r="K2619" s="1" t="str">
        <f>"2017-03-20 15:58:13"</f>
        <v>2017-03-20 15:58:13</v>
      </c>
      <c r="L2619" s="1" t="str">
        <f>"2017-03-20 15:58:22"</f>
        <v>2017-03-20 15:58:22</v>
      </c>
      <c r="M2619" s="2">
        <v>1.1851851851851851E-2</v>
      </c>
      <c r="N2619" s="1" t="s">
        <v>26</v>
      </c>
      <c r="O2619" s="1" t="s">
        <v>27</v>
      </c>
      <c r="P2619" s="2">
        <v>1.1956018518518517E-2</v>
      </c>
      <c r="Q2619" s="1" t="s">
        <v>1874</v>
      </c>
      <c r="R2619" s="1">
        <v>0</v>
      </c>
      <c r="S2619" s="1" t="str">
        <f>""</f>
        <v/>
      </c>
      <c r="T2619" s="1" t="s">
        <v>29</v>
      </c>
      <c r="U2619" s="1" t="s">
        <v>30</v>
      </c>
      <c r="V2619" s="1">
        <v>0</v>
      </c>
    </row>
    <row r="2620" spans="2:22" x14ac:dyDescent="0.15">
      <c r="B2620" s="1" t="str">
        <f>"130****5656"</f>
        <v>130****5656</v>
      </c>
      <c r="C2620" s="1" t="s">
        <v>112</v>
      </c>
      <c r="D2620" s="1" t="str">
        <f t="shared" si="261"/>
        <v>89177328</v>
      </c>
      <c r="E2620" s="1" t="s">
        <v>24</v>
      </c>
      <c r="F2620" s="1" t="str">
        <f t="shared" si="262"/>
        <v>0010</v>
      </c>
      <c r="G2620" s="1" t="str">
        <f>""</f>
        <v/>
      </c>
      <c r="H2620" s="1" t="str">
        <f>"0031"</f>
        <v>0031</v>
      </c>
      <c r="I2620" s="1" t="s">
        <v>95</v>
      </c>
      <c r="J2620" s="1" t="str">
        <f>"01043977565"</f>
        <v>01043977565</v>
      </c>
      <c r="K2620" s="1" t="str">
        <f>"2017-03-20 15:58:01"</f>
        <v>2017-03-20 15:58:01</v>
      </c>
      <c r="L2620" s="1" t="str">
        <f>"2017-03-20 15:58:07"</f>
        <v>2017-03-20 15:58:07</v>
      </c>
      <c r="M2620" s="2">
        <v>9.2592592592592588E-5</v>
      </c>
      <c r="N2620" s="1" t="s">
        <v>26</v>
      </c>
      <c r="O2620" s="1" t="s">
        <v>27</v>
      </c>
      <c r="P2620" s="2">
        <v>1.6203703703703703E-4</v>
      </c>
      <c r="Q2620" s="1" t="s">
        <v>1875</v>
      </c>
      <c r="R2620" s="1">
        <v>0</v>
      </c>
      <c r="S2620" s="1" t="str">
        <f>""</f>
        <v/>
      </c>
      <c r="T2620" s="1" t="s">
        <v>29</v>
      </c>
      <c r="U2620" s="1" t="s">
        <v>30</v>
      </c>
      <c r="V2620" s="1">
        <v>0</v>
      </c>
    </row>
    <row r="2621" spans="2:22" x14ac:dyDescent="0.15">
      <c r="B2621" s="1" t="str">
        <f>"010****4816"</f>
        <v>010****4816</v>
      </c>
      <c r="C2621" s="1" t="s">
        <v>23</v>
      </c>
      <c r="D2621" s="1" t="str">
        <f t="shared" si="261"/>
        <v>89177328</v>
      </c>
      <c r="E2621" s="1" t="s">
        <v>24</v>
      </c>
      <c r="F2621" s="1" t="str">
        <f t="shared" si="262"/>
        <v>0010</v>
      </c>
      <c r="G2621" s="1" t="str">
        <f>""</f>
        <v/>
      </c>
      <c r="H2621" s="1" t="str">
        <f>"0033"</f>
        <v>0033</v>
      </c>
      <c r="I2621" s="1" t="s">
        <v>106</v>
      </c>
      <c r="J2621" s="1" t="str">
        <f>"01043977567"</f>
        <v>01043977567</v>
      </c>
      <c r="K2621" s="1" t="str">
        <f>"2017-03-20 15:57:22"</f>
        <v>2017-03-20 15:57:22</v>
      </c>
      <c r="L2621" s="1" t="str">
        <f>"2017-03-20 15:57:31"</f>
        <v>2017-03-20 15:57:31</v>
      </c>
      <c r="M2621" s="2">
        <v>1.9791666666666668E-3</v>
      </c>
      <c r="N2621" s="1" t="s">
        <v>26</v>
      </c>
      <c r="O2621" s="1" t="s">
        <v>27</v>
      </c>
      <c r="P2621" s="2">
        <v>2.0833333333333333E-3</v>
      </c>
      <c r="Q2621" s="1" t="s">
        <v>1876</v>
      </c>
      <c r="R2621" s="1">
        <v>0</v>
      </c>
      <c r="S2621" s="1" t="str">
        <f>""</f>
        <v/>
      </c>
      <c r="T2621" s="1" t="s">
        <v>29</v>
      </c>
      <c r="U2621" s="1" t="s">
        <v>30</v>
      </c>
      <c r="V2621" s="1">
        <v>0</v>
      </c>
    </row>
    <row r="2622" spans="2:22" x14ac:dyDescent="0.15">
      <c r="B2622" s="1" t="str">
        <f>"150****3418"</f>
        <v>150****3418</v>
      </c>
      <c r="C2622" s="1" t="s">
        <v>23</v>
      </c>
      <c r="D2622" s="1" t="str">
        <f t="shared" si="261"/>
        <v>89177328</v>
      </c>
      <c r="E2622" s="1" t="s">
        <v>24</v>
      </c>
      <c r="F2622" s="1" t="str">
        <f t="shared" si="262"/>
        <v>0010</v>
      </c>
      <c r="G2622" s="1" t="str">
        <f>""</f>
        <v/>
      </c>
      <c r="H2622" s="1" t="str">
        <f>"0033"</f>
        <v>0033</v>
      </c>
      <c r="I2622" s="1" t="s">
        <v>106</v>
      </c>
      <c r="J2622" s="1" t="str">
        <f>"01043977567"</f>
        <v>01043977567</v>
      </c>
      <c r="K2622" s="1" t="str">
        <f>"2017-03-20 15:48:46"</f>
        <v>2017-03-20 15:48:46</v>
      </c>
      <c r="L2622" s="1" t="str">
        <f>"2017-03-20 15:48:54"</f>
        <v>2017-03-20 15:48:54</v>
      </c>
      <c r="M2622" s="2">
        <v>3.3564814814814812E-4</v>
      </c>
      <c r="N2622" s="1" t="s">
        <v>26</v>
      </c>
      <c r="O2622" s="1" t="s">
        <v>27</v>
      </c>
      <c r="P2622" s="2">
        <v>4.2824074074074075E-4</v>
      </c>
      <c r="Q2622" s="1" t="s">
        <v>1877</v>
      </c>
      <c r="R2622" s="1">
        <v>0</v>
      </c>
      <c r="S2622" s="1" t="str">
        <f>""</f>
        <v/>
      </c>
      <c r="T2622" s="1" t="s">
        <v>29</v>
      </c>
      <c r="U2622" s="1" t="s">
        <v>30</v>
      </c>
      <c r="V2622" s="1">
        <v>0</v>
      </c>
    </row>
    <row r="2623" spans="2:22" x14ac:dyDescent="0.15">
      <c r="B2623" s="1" t="str">
        <f>"186****6572"</f>
        <v>186****6572</v>
      </c>
      <c r="C2623" s="1" t="s">
        <v>23</v>
      </c>
      <c r="D2623" s="1" t="str">
        <f t="shared" si="261"/>
        <v>89177328</v>
      </c>
      <c r="E2623" s="1" t="s">
        <v>24</v>
      </c>
      <c r="F2623" s="1" t="str">
        <f t="shared" si="262"/>
        <v>0010</v>
      </c>
      <c r="G2623" s="1" t="str">
        <f>""</f>
        <v/>
      </c>
      <c r="H2623" s="1" t="str">
        <f>"0034"</f>
        <v>0034</v>
      </c>
      <c r="I2623" s="1" t="s">
        <v>31</v>
      </c>
      <c r="J2623" s="1" t="str">
        <f>"01043977568"</f>
        <v>01043977568</v>
      </c>
      <c r="K2623" s="1" t="str">
        <f>"2017-03-20 15:41:43"</f>
        <v>2017-03-20 15:41:43</v>
      </c>
      <c r="L2623" s="1" t="str">
        <f>"2017-03-20 15:41:52"</f>
        <v>2017-03-20 15:41:52</v>
      </c>
      <c r="M2623" s="2">
        <v>1.5856481481481479E-3</v>
      </c>
      <c r="N2623" s="1" t="s">
        <v>26</v>
      </c>
      <c r="O2623" s="1" t="s">
        <v>34</v>
      </c>
      <c r="P2623" s="2">
        <v>1.689814814814815E-3</v>
      </c>
      <c r="Q2623" s="1" t="s">
        <v>1878</v>
      </c>
      <c r="R2623" s="1">
        <v>0</v>
      </c>
      <c r="S2623" s="1" t="str">
        <f>""</f>
        <v/>
      </c>
      <c r="T2623" s="1" t="s">
        <v>29</v>
      </c>
      <c r="U2623" s="1" t="s">
        <v>30</v>
      </c>
      <c r="V2623" s="1">
        <v>0</v>
      </c>
    </row>
    <row r="2624" spans="2:22" x14ac:dyDescent="0.15">
      <c r="B2624" s="1" t="str">
        <f>"158****9344"</f>
        <v>158****9344</v>
      </c>
      <c r="C2624" s="1" t="s">
        <v>23</v>
      </c>
      <c r="D2624" s="1" t="str">
        <f t="shared" si="261"/>
        <v>89177328</v>
      </c>
      <c r="E2624" s="1" t="s">
        <v>24</v>
      </c>
      <c r="F2624" s="1" t="str">
        <f t="shared" si="262"/>
        <v>0010</v>
      </c>
      <c r="G2624" s="1" t="str">
        <f>""</f>
        <v/>
      </c>
      <c r="H2624" s="1" t="str">
        <f>"0032"</f>
        <v>0032</v>
      </c>
      <c r="I2624" s="1" t="s">
        <v>119</v>
      </c>
      <c r="J2624" s="1" t="str">
        <f>"01043977566"</f>
        <v>01043977566</v>
      </c>
      <c r="K2624" s="1" t="str">
        <f>"2017-03-20 15:24:53"</f>
        <v>2017-03-20 15:24:53</v>
      </c>
      <c r="L2624" s="1" t="str">
        <f>"2017-03-20 15:25:04"</f>
        <v>2017-03-20 15:25:04</v>
      </c>
      <c r="M2624" s="2">
        <v>7.407407407407407E-4</v>
      </c>
      <c r="N2624" s="1" t="s">
        <v>26</v>
      </c>
      <c r="O2624" s="1" t="s">
        <v>34</v>
      </c>
      <c r="P2624" s="2">
        <v>8.6805555555555551E-4</v>
      </c>
      <c r="Q2624" s="1" t="s">
        <v>1879</v>
      </c>
      <c r="R2624" s="1">
        <v>0</v>
      </c>
      <c r="S2624" s="1" t="str">
        <f>""</f>
        <v/>
      </c>
      <c r="T2624" s="1" t="s">
        <v>29</v>
      </c>
      <c r="U2624" s="1" t="s">
        <v>30</v>
      </c>
      <c r="V2624" s="1">
        <v>0</v>
      </c>
    </row>
    <row r="2625" spans="2:22" x14ac:dyDescent="0.15">
      <c r="B2625" s="1" t="str">
        <f>"177****5117"</f>
        <v>177****5117</v>
      </c>
      <c r="C2625" s="1" t="s">
        <v>23</v>
      </c>
      <c r="D2625" s="1" t="str">
        <f t="shared" si="261"/>
        <v>89177328</v>
      </c>
      <c r="E2625" s="1" t="s">
        <v>24</v>
      </c>
      <c r="F2625" s="1" t="str">
        <f t="shared" si="262"/>
        <v>0010</v>
      </c>
      <c r="G2625" s="1" t="str">
        <f>""</f>
        <v/>
      </c>
      <c r="H2625" s="1" t="str">
        <f>"0035"</f>
        <v>0035</v>
      </c>
      <c r="I2625" s="1" t="s">
        <v>25</v>
      </c>
      <c r="J2625" s="1" t="str">
        <f>"01043977569"</f>
        <v>01043977569</v>
      </c>
      <c r="K2625" s="1" t="str">
        <f>"2017-03-20 15:20:13"</f>
        <v>2017-03-20 15:20:13</v>
      </c>
      <c r="L2625" s="1" t="str">
        <f>"2017-03-20 15:20:23"</f>
        <v>2017-03-20 15:20:23</v>
      </c>
      <c r="M2625" s="2">
        <v>5.138888888888889E-3</v>
      </c>
      <c r="N2625" s="1" t="s">
        <v>26</v>
      </c>
      <c r="O2625" s="1" t="s">
        <v>27</v>
      </c>
      <c r="P2625" s="2">
        <v>5.2546296296296299E-3</v>
      </c>
      <c r="Q2625" s="1" t="s">
        <v>1880</v>
      </c>
      <c r="R2625" s="1">
        <v>0</v>
      </c>
      <c r="S2625" s="1" t="str">
        <f>""</f>
        <v/>
      </c>
      <c r="T2625" s="1" t="s">
        <v>29</v>
      </c>
      <c r="U2625" s="1" t="s">
        <v>30</v>
      </c>
      <c r="V2625" s="1">
        <v>0</v>
      </c>
    </row>
    <row r="2626" spans="2:22" x14ac:dyDescent="0.15">
      <c r="B2626" s="1" t="str">
        <f>"010****0155"</f>
        <v>010****0155</v>
      </c>
      <c r="C2626" s="1" t="s">
        <v>23</v>
      </c>
      <c r="D2626" s="1" t="str">
        <f t="shared" si="261"/>
        <v>89177328</v>
      </c>
      <c r="E2626" s="1" t="s">
        <v>24</v>
      </c>
      <c r="F2626" s="1" t="str">
        <f t="shared" si="262"/>
        <v>0010</v>
      </c>
      <c r="G2626" s="1" t="str">
        <f>""</f>
        <v/>
      </c>
      <c r="H2626" s="1" t="str">
        <f>"0033"</f>
        <v>0033</v>
      </c>
      <c r="I2626" s="1" t="s">
        <v>106</v>
      </c>
      <c r="J2626" s="1" t="str">
        <f>"01043977567"</f>
        <v>01043977567</v>
      </c>
      <c r="K2626" s="1" t="str">
        <f>"2017-03-20 15:08:23"</f>
        <v>2017-03-20 15:08:23</v>
      </c>
      <c r="L2626" s="1" t="str">
        <f>"2017-03-20 15:08:31"</f>
        <v>2017-03-20 15:08:31</v>
      </c>
      <c r="M2626" s="2">
        <v>3.2523148148148151E-3</v>
      </c>
      <c r="N2626" s="1" t="s">
        <v>26</v>
      </c>
      <c r="O2626" s="1" t="s">
        <v>27</v>
      </c>
      <c r="P2626" s="2">
        <v>3.3449074074074071E-3</v>
      </c>
      <c r="Q2626" s="1" t="s">
        <v>1881</v>
      </c>
      <c r="R2626" s="1">
        <v>0</v>
      </c>
      <c r="S2626" s="1" t="str">
        <f>""</f>
        <v/>
      </c>
      <c r="T2626" s="1" t="s">
        <v>29</v>
      </c>
      <c r="U2626" s="1" t="s">
        <v>30</v>
      </c>
      <c r="V2626" s="1">
        <v>0</v>
      </c>
    </row>
    <row r="2627" spans="2:22" x14ac:dyDescent="0.15">
      <c r="B2627" s="1" t="str">
        <f>"188****3271"</f>
        <v>188****3271</v>
      </c>
      <c r="C2627" s="1" t="s">
        <v>23</v>
      </c>
      <c r="D2627" s="1" t="str">
        <f t="shared" si="261"/>
        <v>89177328</v>
      </c>
      <c r="E2627" s="1" t="s">
        <v>24</v>
      </c>
      <c r="F2627" s="1" t="str">
        <f t="shared" si="262"/>
        <v>0010</v>
      </c>
      <c r="G2627" s="1" t="str">
        <f>""</f>
        <v/>
      </c>
      <c r="H2627" s="1" t="str">
        <f>"0034"</f>
        <v>0034</v>
      </c>
      <c r="I2627" s="1" t="s">
        <v>31</v>
      </c>
      <c r="J2627" s="1" t="str">
        <f>"01043977568"</f>
        <v>01043977568</v>
      </c>
      <c r="K2627" s="1" t="str">
        <f>"2017-03-20 14:58:46"</f>
        <v>2017-03-20 14:58:46</v>
      </c>
      <c r="L2627" s="1" t="str">
        <f>"2017-03-20 14:58:54"</f>
        <v>2017-03-20 14:58:54</v>
      </c>
      <c r="M2627" s="2">
        <v>4.4675925925925933E-3</v>
      </c>
      <c r="N2627" s="1" t="s">
        <v>26</v>
      </c>
      <c r="O2627" s="1" t="s">
        <v>27</v>
      </c>
      <c r="P2627" s="2">
        <v>4.5601851851851853E-3</v>
      </c>
      <c r="Q2627" s="1" t="s">
        <v>1882</v>
      </c>
      <c r="R2627" s="1">
        <v>0</v>
      </c>
      <c r="S2627" s="1" t="str">
        <f>""</f>
        <v/>
      </c>
      <c r="T2627" s="1" t="s">
        <v>29</v>
      </c>
      <c r="U2627" s="1" t="s">
        <v>30</v>
      </c>
      <c r="V2627" s="1">
        <v>0</v>
      </c>
    </row>
    <row r="2628" spans="2:22" x14ac:dyDescent="0.15">
      <c r="B2628" s="1" t="str">
        <f>"046****1786"</f>
        <v>046****1786</v>
      </c>
      <c r="C2628" s="1" t="s">
        <v>594</v>
      </c>
      <c r="D2628" s="1" t="str">
        <f t="shared" si="261"/>
        <v>89177328</v>
      </c>
      <c r="E2628" s="1" t="s">
        <v>24</v>
      </c>
      <c r="F2628" s="1" t="str">
        <f t="shared" si="262"/>
        <v>0010</v>
      </c>
      <c r="G2628" s="1" t="str">
        <f>""</f>
        <v/>
      </c>
      <c r="H2628" s="1" t="str">
        <f>"0032"</f>
        <v>0032</v>
      </c>
      <c r="I2628" s="1" t="s">
        <v>119</v>
      </c>
      <c r="J2628" s="1" t="str">
        <f>"01043977566"</f>
        <v>01043977566</v>
      </c>
      <c r="K2628" s="1" t="str">
        <f>"2017-03-20 14:14:38"</f>
        <v>2017-03-20 14:14:38</v>
      </c>
      <c r="L2628" s="1" t="str">
        <f>"2017-03-20 14:14:50"</f>
        <v>2017-03-20 14:14:50</v>
      </c>
      <c r="M2628" s="2">
        <v>1.0879629629629629E-3</v>
      </c>
      <c r="N2628" s="1" t="s">
        <v>26</v>
      </c>
      <c r="O2628" s="1" t="s">
        <v>34</v>
      </c>
      <c r="P2628" s="2">
        <v>1.2268518518518518E-3</v>
      </c>
      <c r="Q2628" s="1" t="s">
        <v>1883</v>
      </c>
      <c r="R2628" s="1">
        <v>0</v>
      </c>
      <c r="S2628" s="1" t="str">
        <f>""</f>
        <v/>
      </c>
      <c r="T2628" s="1" t="s">
        <v>29</v>
      </c>
      <c r="U2628" s="1" t="s">
        <v>30</v>
      </c>
      <c r="V2628" s="1">
        <v>0</v>
      </c>
    </row>
    <row r="2629" spans="2:22" x14ac:dyDescent="0.15">
      <c r="B2629" s="1" t="str">
        <f>"131****6442"</f>
        <v>131****6442</v>
      </c>
      <c r="C2629" s="1" t="s">
        <v>609</v>
      </c>
      <c r="D2629" s="1" t="str">
        <f t="shared" si="261"/>
        <v>89177328</v>
      </c>
      <c r="E2629" s="1" t="s">
        <v>24</v>
      </c>
      <c r="F2629" s="1" t="str">
        <f t="shared" si="262"/>
        <v>0010</v>
      </c>
      <c r="G2629" s="1" t="str">
        <f>""</f>
        <v/>
      </c>
      <c r="H2629" s="1" t="str">
        <f>"0033"</f>
        <v>0033</v>
      </c>
      <c r="I2629" s="1" t="s">
        <v>106</v>
      </c>
      <c r="J2629" s="1" t="str">
        <f>"01043977567"</f>
        <v>01043977567</v>
      </c>
      <c r="K2629" s="1" t="str">
        <f>"2017-03-20 14:04:45"</f>
        <v>2017-03-20 14:04:45</v>
      </c>
      <c r="L2629" s="1" t="str">
        <f>"2017-03-20 14:04:54"</f>
        <v>2017-03-20 14:04:54</v>
      </c>
      <c r="M2629" s="2">
        <v>9.3634259259259261E-3</v>
      </c>
      <c r="N2629" s="1" t="s">
        <v>26</v>
      </c>
      <c r="O2629" s="1" t="s">
        <v>27</v>
      </c>
      <c r="P2629" s="2">
        <v>9.4675925925925917E-3</v>
      </c>
      <c r="Q2629" s="1" t="s">
        <v>1884</v>
      </c>
      <c r="R2629" s="1">
        <v>0</v>
      </c>
      <c r="S2629" s="1" t="str">
        <f>""</f>
        <v/>
      </c>
      <c r="T2629" s="1" t="s">
        <v>29</v>
      </c>
      <c r="U2629" s="1" t="s">
        <v>30</v>
      </c>
      <c r="V2629" s="1">
        <v>0</v>
      </c>
    </row>
    <row r="2630" spans="2:22" x14ac:dyDescent="0.15">
      <c r="B2630" s="1" t="str">
        <f>"139****7456"</f>
        <v>139****7456</v>
      </c>
      <c r="C2630" s="1" t="s">
        <v>487</v>
      </c>
      <c r="D2630" s="1" t="str">
        <f t="shared" si="261"/>
        <v>89177328</v>
      </c>
      <c r="E2630" s="1" t="s">
        <v>24</v>
      </c>
      <c r="F2630" s="1" t="str">
        <f t="shared" si="262"/>
        <v>0010</v>
      </c>
      <c r="G2630" s="1" t="str">
        <f>""</f>
        <v/>
      </c>
      <c r="H2630" s="1" t="str">
        <f>"0034"</f>
        <v>0034</v>
      </c>
      <c r="I2630" s="1" t="s">
        <v>31</v>
      </c>
      <c r="J2630" s="1" t="str">
        <f>"01043977568"</f>
        <v>01043977568</v>
      </c>
      <c r="K2630" s="1" t="str">
        <f>"2017-03-20 13:32:43"</f>
        <v>2017-03-20 13:32:43</v>
      </c>
      <c r="L2630" s="1" t="str">
        <f>"2017-03-20 13:32:53"</f>
        <v>2017-03-20 13:32:53</v>
      </c>
      <c r="M2630" s="2">
        <v>7.3842592592592597E-3</v>
      </c>
      <c r="N2630" s="1" t="s">
        <v>26</v>
      </c>
      <c r="O2630" s="1" t="s">
        <v>34</v>
      </c>
      <c r="P2630" s="2">
        <v>7.5000000000000006E-3</v>
      </c>
      <c r="Q2630" s="1" t="s">
        <v>1885</v>
      </c>
      <c r="R2630" s="1">
        <v>0</v>
      </c>
      <c r="S2630" s="1" t="str">
        <f>""</f>
        <v/>
      </c>
      <c r="T2630" s="1" t="s">
        <v>29</v>
      </c>
      <c r="U2630" s="1" t="s">
        <v>30</v>
      </c>
      <c r="V2630" s="1">
        <v>0</v>
      </c>
    </row>
    <row r="2631" spans="2:22" x14ac:dyDescent="0.15">
      <c r="B2631" s="1" t="str">
        <f>"0001901212"</f>
        <v>0001901212</v>
      </c>
      <c r="C2631" s="1" t="s">
        <v>635</v>
      </c>
      <c r="D2631" s="1" t="str">
        <f>"89178035"</f>
        <v>89178035</v>
      </c>
      <c r="E2631" s="1" t="str">
        <f>""</f>
        <v/>
      </c>
      <c r="F2631" s="1" t="str">
        <f>""</f>
        <v/>
      </c>
      <c r="G2631" s="1" t="str">
        <f>""</f>
        <v/>
      </c>
      <c r="H2631" s="1" t="str">
        <f>""</f>
        <v/>
      </c>
      <c r="I2631" s="1" t="str">
        <f>""</f>
        <v/>
      </c>
      <c r="J2631" s="1" t="str">
        <f>""</f>
        <v/>
      </c>
      <c r="K2631" s="1" t="str">
        <f>"2017-03-20 11:54:44"</f>
        <v>2017-03-20 11:54:44</v>
      </c>
      <c r="L2631" s="1" t="str">
        <f>"-"</f>
        <v>-</v>
      </c>
      <c r="M2631" s="2">
        <v>0</v>
      </c>
      <c r="N2631" s="1" t="s">
        <v>55</v>
      </c>
      <c r="O2631" s="1" t="s">
        <v>27</v>
      </c>
      <c r="P2631" s="2">
        <v>1.1574074074074073E-5</v>
      </c>
      <c r="Q2631" s="1" t="str">
        <f>""</f>
        <v/>
      </c>
      <c r="R2631" s="1">
        <v>0</v>
      </c>
      <c r="S2631" s="1" t="str">
        <f>""</f>
        <v/>
      </c>
      <c r="T2631" s="1" t="s">
        <v>29</v>
      </c>
      <c r="U2631" s="1" t="s">
        <v>30</v>
      </c>
      <c r="V2631" s="1">
        <v>0</v>
      </c>
    </row>
    <row r="2632" spans="2:22" x14ac:dyDescent="0.15">
      <c r="B2632" s="1" t="str">
        <f>"136****7737"</f>
        <v>136****7737</v>
      </c>
      <c r="C2632" s="1" t="s">
        <v>23</v>
      </c>
      <c r="D2632" s="1" t="str">
        <f t="shared" ref="D2632:D2663" si="270">"89177328"</f>
        <v>89177328</v>
      </c>
      <c r="E2632" s="1" t="s">
        <v>24</v>
      </c>
      <c r="F2632" s="1" t="str">
        <f>"0010"</f>
        <v>0010</v>
      </c>
      <c r="G2632" s="1" t="str">
        <f>""</f>
        <v/>
      </c>
      <c r="H2632" s="1" t="str">
        <f>"0034"</f>
        <v>0034</v>
      </c>
      <c r="I2632" s="1" t="s">
        <v>31</v>
      </c>
      <c r="J2632" s="1" t="str">
        <f>"01043977568"</f>
        <v>01043977568</v>
      </c>
      <c r="K2632" s="1" t="str">
        <f>"2017-03-20 11:09:21"</f>
        <v>2017-03-20 11:09:21</v>
      </c>
      <c r="L2632" s="1" t="str">
        <f>"2017-03-20 11:09:30"</f>
        <v>2017-03-20 11:09:30</v>
      </c>
      <c r="M2632" s="2">
        <v>9.4907407407407408E-4</v>
      </c>
      <c r="N2632" s="1" t="s">
        <v>26</v>
      </c>
      <c r="O2632" s="1" t="s">
        <v>34</v>
      </c>
      <c r="P2632" s="2">
        <v>1.0532407407407407E-3</v>
      </c>
      <c r="Q2632" s="1" t="s">
        <v>1886</v>
      </c>
      <c r="R2632" s="1">
        <v>0</v>
      </c>
      <c r="S2632" s="1" t="str">
        <f>""</f>
        <v/>
      </c>
      <c r="T2632" s="1" t="s">
        <v>29</v>
      </c>
      <c r="U2632" s="1" t="s">
        <v>30</v>
      </c>
      <c r="V2632" s="1">
        <v>0</v>
      </c>
    </row>
    <row r="2633" spans="2:22" x14ac:dyDescent="0.15">
      <c r="B2633" s="1" t="str">
        <f>"024****1203"</f>
        <v>024****1203</v>
      </c>
      <c r="C2633" s="1" t="s">
        <v>78</v>
      </c>
      <c r="D2633" s="1" t="str">
        <f t="shared" si="270"/>
        <v>89177328</v>
      </c>
      <c r="E2633" s="1" t="s">
        <v>24</v>
      </c>
      <c r="F2633" s="1" t="str">
        <f>"0010"</f>
        <v>0010</v>
      </c>
      <c r="G2633" s="1" t="str">
        <f>""</f>
        <v/>
      </c>
      <c r="H2633" s="1" t="str">
        <f>"0033"</f>
        <v>0033</v>
      </c>
      <c r="I2633" s="1" t="s">
        <v>106</v>
      </c>
      <c r="J2633" s="1" t="str">
        <f>"01043977567"</f>
        <v>01043977567</v>
      </c>
      <c r="K2633" s="1" t="str">
        <f>"2017-03-20 08:04:57"</f>
        <v>2017-03-20 08:04:57</v>
      </c>
      <c r="L2633" s="1" t="str">
        <f>"2017-03-20 08:05:07"</f>
        <v>2017-03-20 08:05:07</v>
      </c>
      <c r="M2633" s="2">
        <v>8.4259259259259253E-3</v>
      </c>
      <c r="N2633" s="1" t="s">
        <v>26</v>
      </c>
      <c r="O2633" s="1" t="s">
        <v>27</v>
      </c>
      <c r="P2633" s="2">
        <v>8.5416666666666679E-3</v>
      </c>
      <c r="Q2633" s="1" t="s">
        <v>1887</v>
      </c>
      <c r="R2633" s="1">
        <v>0</v>
      </c>
      <c r="S2633" s="1" t="str">
        <f>""</f>
        <v/>
      </c>
      <c r="T2633" s="1" t="s">
        <v>29</v>
      </c>
      <c r="U2633" s="1" t="s">
        <v>30</v>
      </c>
      <c r="V2633" s="1">
        <v>0</v>
      </c>
    </row>
    <row r="2634" spans="2:22" x14ac:dyDescent="0.15">
      <c r="B2634" s="1" t="str">
        <f>"010****6459"</f>
        <v>010****6459</v>
      </c>
      <c r="C2634" s="1" t="s">
        <v>23</v>
      </c>
      <c r="D2634" s="1" t="str">
        <f t="shared" si="270"/>
        <v>89177328</v>
      </c>
      <c r="E2634" s="1" t="s">
        <v>181</v>
      </c>
      <c r="F2634" s="1" t="str">
        <f>""</f>
        <v/>
      </c>
      <c r="G2634" s="1" t="str">
        <f>""</f>
        <v/>
      </c>
      <c r="H2634" s="1" t="str">
        <f>""</f>
        <v/>
      </c>
      <c r="I2634" s="1" t="str">
        <f>""</f>
        <v/>
      </c>
      <c r="J2634" s="1" t="str">
        <f>""</f>
        <v/>
      </c>
      <c r="K2634" s="1" t="str">
        <f>"2017-03-19 22:37:03"</f>
        <v>2017-03-19 22:37:03</v>
      </c>
      <c r="L2634" s="1" t="str">
        <f>"2017-03-19 22:37:14"</f>
        <v>2017-03-19 22:37:14</v>
      </c>
      <c r="M2634" s="2">
        <v>2.3148148148148147E-5</v>
      </c>
      <c r="N2634" s="1" t="s">
        <v>55</v>
      </c>
      <c r="O2634" s="1" t="s">
        <v>34</v>
      </c>
      <c r="P2634" s="2">
        <v>1.5046296296296297E-4</v>
      </c>
      <c r="Q2634" s="1" t="str">
        <f>""</f>
        <v/>
      </c>
      <c r="R2634" s="1">
        <v>0</v>
      </c>
      <c r="S2634" s="1" t="str">
        <f>""</f>
        <v/>
      </c>
      <c r="T2634" s="1" t="s">
        <v>183</v>
      </c>
      <c r="U2634" s="1" t="s">
        <v>30</v>
      </c>
      <c r="V2634" s="1">
        <v>0</v>
      </c>
    </row>
    <row r="2635" spans="2:22" x14ac:dyDescent="0.15">
      <c r="B2635" s="1" t="str">
        <f>"134****6764"</f>
        <v>134****6764</v>
      </c>
      <c r="C2635" s="1" t="s">
        <v>99</v>
      </c>
      <c r="D2635" s="1" t="str">
        <f t="shared" si="270"/>
        <v>89177328</v>
      </c>
      <c r="E2635" s="1" t="s">
        <v>24</v>
      </c>
      <c r="F2635" s="1" t="str">
        <f t="shared" ref="F2635:F2663" si="271">"0010"</f>
        <v>0010</v>
      </c>
      <c r="G2635" s="1" t="str">
        <f>""</f>
        <v/>
      </c>
      <c r="H2635" s="1" t="str">
        <f>"0018"</f>
        <v>0018</v>
      </c>
      <c r="I2635" s="1" t="s">
        <v>36</v>
      </c>
      <c r="J2635" s="1" t="str">
        <f>"01043989718"</f>
        <v>01043989718</v>
      </c>
      <c r="K2635" s="1" t="str">
        <f>"2017-03-19 20:51:20"</f>
        <v>2017-03-19 20:51:20</v>
      </c>
      <c r="L2635" s="1" t="str">
        <f>"2017-03-19 20:51:25"</f>
        <v>2017-03-19 20:51:25</v>
      </c>
      <c r="M2635" s="2">
        <v>8.1018518518518516E-5</v>
      </c>
      <c r="N2635" s="1" t="s">
        <v>26</v>
      </c>
      <c r="O2635" s="1" t="s">
        <v>34</v>
      </c>
      <c r="P2635" s="2">
        <v>1.3888888888888889E-4</v>
      </c>
      <c r="Q2635" s="1" t="s">
        <v>1888</v>
      </c>
      <c r="R2635" s="1">
        <v>0</v>
      </c>
      <c r="S2635" s="1" t="str">
        <f>""</f>
        <v/>
      </c>
      <c r="T2635" s="1" t="s">
        <v>29</v>
      </c>
      <c r="U2635" s="1" t="s">
        <v>30</v>
      </c>
      <c r="V2635" s="1">
        <v>0</v>
      </c>
    </row>
    <row r="2636" spans="2:22" x14ac:dyDescent="0.15">
      <c r="B2636" s="1" t="str">
        <f>"189****0060"</f>
        <v>189****0060</v>
      </c>
      <c r="C2636" s="1" t="s">
        <v>23</v>
      </c>
      <c r="D2636" s="1" t="str">
        <f t="shared" si="270"/>
        <v>89177328</v>
      </c>
      <c r="E2636" s="1" t="s">
        <v>24</v>
      </c>
      <c r="F2636" s="1" t="str">
        <f t="shared" si="271"/>
        <v>0010</v>
      </c>
      <c r="G2636" s="1" t="str">
        <f>""</f>
        <v/>
      </c>
      <c r="H2636" s="1" t="str">
        <f>"0017"</f>
        <v>0017</v>
      </c>
      <c r="I2636" s="1" t="s">
        <v>135</v>
      </c>
      <c r="J2636" s="1" t="str">
        <f>"01043989717"</f>
        <v>01043989717</v>
      </c>
      <c r="K2636" s="1" t="str">
        <f>"2017-03-19 20:49:15"</f>
        <v>2017-03-19 20:49:15</v>
      </c>
      <c r="L2636" s="1" t="str">
        <f>"2017-03-19 20:49:25"</f>
        <v>2017-03-19 20:49:25</v>
      </c>
      <c r="M2636" s="2">
        <v>2.1979166666666664E-2</v>
      </c>
      <c r="N2636" s="1" t="s">
        <v>26</v>
      </c>
      <c r="O2636" s="1" t="s">
        <v>27</v>
      </c>
      <c r="P2636" s="2">
        <v>2.2094907407407407E-2</v>
      </c>
      <c r="Q2636" s="1" t="s">
        <v>1889</v>
      </c>
      <c r="R2636" s="1">
        <v>0</v>
      </c>
      <c r="S2636" s="1" t="str">
        <f>""</f>
        <v/>
      </c>
      <c r="T2636" s="1" t="s">
        <v>29</v>
      </c>
      <c r="U2636" s="1" t="s">
        <v>30</v>
      </c>
      <c r="V2636" s="1">
        <v>0</v>
      </c>
    </row>
    <row r="2637" spans="2:22" x14ac:dyDescent="0.15">
      <c r="B2637" s="1" t="str">
        <f>"186****9454"</f>
        <v>186****9454</v>
      </c>
      <c r="C2637" s="1" t="s">
        <v>44</v>
      </c>
      <c r="D2637" s="1" t="str">
        <f t="shared" si="270"/>
        <v>89177328</v>
      </c>
      <c r="E2637" s="1" t="s">
        <v>24</v>
      </c>
      <c r="F2637" s="1" t="str">
        <f t="shared" si="271"/>
        <v>0010</v>
      </c>
      <c r="G2637" s="1" t="str">
        <f>""</f>
        <v/>
      </c>
      <c r="H2637" s="1" t="str">
        <f>"0018"</f>
        <v>0018</v>
      </c>
      <c r="I2637" s="1" t="s">
        <v>36</v>
      </c>
      <c r="J2637" s="1" t="str">
        <f>"01043989718"</f>
        <v>01043989718</v>
      </c>
      <c r="K2637" s="1" t="str">
        <f>"2017-03-19 20:46:02"</f>
        <v>2017-03-19 20:46:02</v>
      </c>
      <c r="L2637" s="1" t="str">
        <f>"2017-03-19 20:46:10"</f>
        <v>2017-03-19 20:46:10</v>
      </c>
      <c r="M2637" s="2">
        <v>3.1249999999999997E-3</v>
      </c>
      <c r="N2637" s="1" t="s">
        <v>26</v>
      </c>
      <c r="O2637" s="1" t="s">
        <v>34</v>
      </c>
      <c r="P2637" s="2">
        <v>3.2175925925925926E-3</v>
      </c>
      <c r="Q2637" s="1" t="s">
        <v>1890</v>
      </c>
      <c r="R2637" s="1">
        <v>0</v>
      </c>
      <c r="S2637" s="1" t="str">
        <f>""</f>
        <v/>
      </c>
      <c r="T2637" s="1" t="s">
        <v>29</v>
      </c>
      <c r="U2637" s="1" t="s">
        <v>30</v>
      </c>
      <c r="V2637" s="1">
        <v>0</v>
      </c>
    </row>
    <row r="2638" spans="2:22" x14ac:dyDescent="0.15">
      <c r="B2638" s="1" t="str">
        <f>"135****7007"</f>
        <v>135****7007</v>
      </c>
      <c r="C2638" s="1" t="s">
        <v>23</v>
      </c>
      <c r="D2638" s="1" t="str">
        <f t="shared" si="270"/>
        <v>89177328</v>
      </c>
      <c r="E2638" s="1" t="s">
        <v>24</v>
      </c>
      <c r="F2638" s="1" t="str">
        <f t="shared" si="271"/>
        <v>0010</v>
      </c>
      <c r="G2638" s="1" t="str">
        <f>""</f>
        <v/>
      </c>
      <c r="H2638" s="1" t="str">
        <f>"0017"</f>
        <v>0017</v>
      </c>
      <c r="I2638" s="1" t="s">
        <v>135</v>
      </c>
      <c r="J2638" s="1" t="str">
        <f>"01043989717"</f>
        <v>01043989717</v>
      </c>
      <c r="K2638" s="1" t="str">
        <f>"2017-03-19 20:35:13"</f>
        <v>2017-03-19 20:35:13</v>
      </c>
      <c r="L2638" s="1" t="str">
        <f>"2017-03-19 20:35:20"</f>
        <v>2017-03-19 20:35:20</v>
      </c>
      <c r="M2638" s="2">
        <v>1.5393518518518519E-3</v>
      </c>
      <c r="N2638" s="1" t="s">
        <v>26</v>
      </c>
      <c r="O2638" s="1" t="s">
        <v>27</v>
      </c>
      <c r="P2638" s="2">
        <v>1.6203703703703703E-3</v>
      </c>
      <c r="Q2638" s="1" t="s">
        <v>1891</v>
      </c>
      <c r="R2638" s="1">
        <v>0</v>
      </c>
      <c r="S2638" s="1" t="str">
        <f>""</f>
        <v/>
      </c>
      <c r="T2638" s="1" t="s">
        <v>29</v>
      </c>
      <c r="U2638" s="1" t="s">
        <v>30</v>
      </c>
      <c r="V2638" s="1">
        <v>0</v>
      </c>
    </row>
    <row r="2639" spans="2:22" x14ac:dyDescent="0.15">
      <c r="B2639" s="1" t="str">
        <f>"186****2815"</f>
        <v>186****2815</v>
      </c>
      <c r="C2639" s="1" t="s">
        <v>1892</v>
      </c>
      <c r="D2639" s="1" t="str">
        <f t="shared" si="270"/>
        <v>89177328</v>
      </c>
      <c r="E2639" s="1" t="s">
        <v>24</v>
      </c>
      <c r="F2639" s="1" t="str">
        <f t="shared" si="271"/>
        <v>0010</v>
      </c>
      <c r="G2639" s="1" t="str">
        <f>""</f>
        <v/>
      </c>
      <c r="H2639" s="1" t="str">
        <f>"0032"</f>
        <v>0032</v>
      </c>
      <c r="I2639" s="1" t="s">
        <v>119</v>
      </c>
      <c r="J2639" s="1" t="str">
        <f>"01043977566"</f>
        <v>01043977566</v>
      </c>
      <c r="K2639" s="1" t="str">
        <f>"2017-03-19 20:34:45"</f>
        <v>2017-03-19 20:34:45</v>
      </c>
      <c r="L2639" s="1" t="str">
        <f>"2017-03-19 20:34:56"</f>
        <v>2017-03-19 20:34:56</v>
      </c>
      <c r="M2639" s="2">
        <v>1.1597222222222222E-2</v>
      </c>
      <c r="N2639" s="1" t="s">
        <v>26</v>
      </c>
      <c r="O2639" s="1" t="s">
        <v>34</v>
      </c>
      <c r="P2639" s="2">
        <v>1.1724537037037035E-2</v>
      </c>
      <c r="Q2639" s="1" t="s">
        <v>1893</v>
      </c>
      <c r="R2639" s="1">
        <v>0</v>
      </c>
      <c r="S2639" s="1" t="str">
        <f>""</f>
        <v/>
      </c>
      <c r="T2639" s="1" t="s">
        <v>29</v>
      </c>
      <c r="U2639" s="1" t="s">
        <v>30</v>
      </c>
      <c r="V2639" s="1">
        <v>0</v>
      </c>
    </row>
    <row r="2640" spans="2:22" x14ac:dyDescent="0.15">
      <c r="B2640" s="1" t="str">
        <f>"176****9109"</f>
        <v>176****9109</v>
      </c>
      <c r="C2640" s="1" t="s">
        <v>78</v>
      </c>
      <c r="D2640" s="1" t="str">
        <f t="shared" si="270"/>
        <v>89177328</v>
      </c>
      <c r="E2640" s="1" t="s">
        <v>24</v>
      </c>
      <c r="F2640" s="1" t="str">
        <f t="shared" si="271"/>
        <v>0010</v>
      </c>
      <c r="G2640" s="1" t="str">
        <f>""</f>
        <v/>
      </c>
      <c r="H2640" s="1" t="str">
        <f>"0018"</f>
        <v>0018</v>
      </c>
      <c r="I2640" s="1" t="s">
        <v>36</v>
      </c>
      <c r="J2640" s="1" t="str">
        <f>"01043989718"</f>
        <v>01043989718</v>
      </c>
      <c r="K2640" s="1" t="str">
        <f>"2017-03-19 20:34:15"</f>
        <v>2017-03-19 20:34:15</v>
      </c>
      <c r="L2640" s="1" t="str">
        <f>"2017-03-19 20:34:25"</f>
        <v>2017-03-19 20:34:25</v>
      </c>
      <c r="M2640" s="2">
        <v>5.8217592592592592E-3</v>
      </c>
      <c r="N2640" s="1" t="s">
        <v>26</v>
      </c>
      <c r="O2640" s="1" t="s">
        <v>34</v>
      </c>
      <c r="P2640" s="2">
        <v>5.9375000000000009E-3</v>
      </c>
      <c r="Q2640" s="1" t="s">
        <v>1894</v>
      </c>
      <c r="R2640" s="1">
        <v>0</v>
      </c>
      <c r="S2640" s="1" t="str">
        <f>""</f>
        <v/>
      </c>
      <c r="T2640" s="1" t="s">
        <v>29</v>
      </c>
      <c r="U2640" s="1" t="s">
        <v>30</v>
      </c>
      <c r="V2640" s="1">
        <v>0</v>
      </c>
    </row>
    <row r="2641" spans="2:22" x14ac:dyDescent="0.15">
      <c r="B2641" s="1" t="str">
        <f>"138****9951"</f>
        <v>138****9951</v>
      </c>
      <c r="C2641" s="1" t="s">
        <v>23</v>
      </c>
      <c r="D2641" s="1" t="str">
        <f t="shared" si="270"/>
        <v>89177328</v>
      </c>
      <c r="E2641" s="1" t="s">
        <v>24</v>
      </c>
      <c r="F2641" s="1" t="str">
        <f t="shared" si="271"/>
        <v>0010</v>
      </c>
      <c r="G2641" s="1" t="str">
        <f>""</f>
        <v/>
      </c>
      <c r="H2641" s="1" t="str">
        <f>"0032"</f>
        <v>0032</v>
      </c>
      <c r="I2641" s="1" t="s">
        <v>119</v>
      </c>
      <c r="J2641" s="1" t="str">
        <f>"01043977566"</f>
        <v>01043977566</v>
      </c>
      <c r="K2641" s="1" t="str">
        <f>"2017-03-19 20:18:27"</f>
        <v>2017-03-19 20:18:27</v>
      </c>
      <c r="L2641" s="1" t="str">
        <f>"2017-03-19 20:18:36"</f>
        <v>2017-03-19 20:18:36</v>
      </c>
      <c r="M2641" s="2">
        <v>2.1527777777777778E-3</v>
      </c>
      <c r="N2641" s="1" t="s">
        <v>26</v>
      </c>
      <c r="O2641" s="1" t="s">
        <v>34</v>
      </c>
      <c r="P2641" s="2">
        <v>2.2569444444444447E-3</v>
      </c>
      <c r="Q2641" s="1" t="s">
        <v>1895</v>
      </c>
      <c r="R2641" s="1">
        <v>0</v>
      </c>
      <c r="S2641" s="1" t="str">
        <f>""</f>
        <v/>
      </c>
      <c r="T2641" s="1" t="s">
        <v>29</v>
      </c>
      <c r="U2641" s="1" t="s">
        <v>30</v>
      </c>
      <c r="V2641" s="1">
        <v>0</v>
      </c>
    </row>
    <row r="2642" spans="2:22" x14ac:dyDescent="0.15">
      <c r="B2642" s="1" t="str">
        <f>"188****7890"</f>
        <v>188****7890</v>
      </c>
      <c r="C2642" s="1" t="s">
        <v>23</v>
      </c>
      <c r="D2642" s="1" t="str">
        <f t="shared" si="270"/>
        <v>89177328</v>
      </c>
      <c r="E2642" s="1" t="s">
        <v>24</v>
      </c>
      <c r="F2642" s="1" t="str">
        <f t="shared" si="271"/>
        <v>0010</v>
      </c>
      <c r="G2642" s="1" t="str">
        <f>""</f>
        <v/>
      </c>
      <c r="H2642" s="1" t="str">
        <f>"0018"</f>
        <v>0018</v>
      </c>
      <c r="I2642" s="1" t="s">
        <v>36</v>
      </c>
      <c r="J2642" s="1" t="str">
        <f>"01043989718"</f>
        <v>01043989718</v>
      </c>
      <c r="K2642" s="1" t="str">
        <f>"2017-03-19 20:09:42"</f>
        <v>2017-03-19 20:09:42</v>
      </c>
      <c r="L2642" s="1" t="str">
        <f>"2017-03-19 20:09:49"</f>
        <v>2017-03-19 20:09:49</v>
      </c>
      <c r="M2642" s="2">
        <v>2.7430555555555559E-3</v>
      </c>
      <c r="N2642" s="1" t="s">
        <v>26</v>
      </c>
      <c r="O2642" s="1" t="s">
        <v>34</v>
      </c>
      <c r="P2642" s="2">
        <v>2.8240740740740739E-3</v>
      </c>
      <c r="Q2642" s="1" t="s">
        <v>1896</v>
      </c>
      <c r="R2642" s="1">
        <v>0</v>
      </c>
      <c r="S2642" s="1" t="str">
        <f>""</f>
        <v/>
      </c>
      <c r="T2642" s="1" t="s">
        <v>29</v>
      </c>
      <c r="U2642" s="1" t="s">
        <v>30</v>
      </c>
      <c r="V2642" s="1">
        <v>0</v>
      </c>
    </row>
    <row r="2643" spans="2:22" x14ac:dyDescent="0.15">
      <c r="B2643" s="1" t="str">
        <f>"138****0450"</f>
        <v>138****0450</v>
      </c>
      <c r="C2643" s="1" t="s">
        <v>23</v>
      </c>
      <c r="D2643" s="1" t="str">
        <f t="shared" si="270"/>
        <v>89177328</v>
      </c>
      <c r="E2643" s="1" t="s">
        <v>24</v>
      </c>
      <c r="F2643" s="1" t="str">
        <f t="shared" si="271"/>
        <v>0010</v>
      </c>
      <c r="G2643" s="1" t="str">
        <f>""</f>
        <v/>
      </c>
      <c r="H2643" s="1" t="str">
        <f>"0017"</f>
        <v>0017</v>
      </c>
      <c r="I2643" s="1" t="s">
        <v>135</v>
      </c>
      <c r="J2643" s="1" t="str">
        <f>"01043989717"</f>
        <v>01043989717</v>
      </c>
      <c r="K2643" s="1" t="str">
        <f>"2017-03-19 20:06:01"</f>
        <v>2017-03-19 20:06:01</v>
      </c>
      <c r="L2643" s="1" t="str">
        <f>"2017-03-19 20:06:09"</f>
        <v>2017-03-19 20:06:09</v>
      </c>
      <c r="M2643" s="2">
        <v>5.6365740740740742E-3</v>
      </c>
      <c r="N2643" s="1" t="s">
        <v>26</v>
      </c>
      <c r="O2643" s="1" t="s">
        <v>27</v>
      </c>
      <c r="P2643" s="2">
        <v>5.7291666666666671E-3</v>
      </c>
      <c r="Q2643" s="1" t="s">
        <v>1897</v>
      </c>
      <c r="R2643" s="1">
        <v>0</v>
      </c>
      <c r="S2643" s="1" t="str">
        <f>""</f>
        <v/>
      </c>
      <c r="T2643" s="1" t="s">
        <v>29</v>
      </c>
      <c r="U2643" s="1" t="s">
        <v>30</v>
      </c>
      <c r="V2643" s="1">
        <v>0</v>
      </c>
    </row>
    <row r="2644" spans="2:22" x14ac:dyDescent="0.15">
      <c r="B2644" s="1" t="str">
        <f>"138****4964"</f>
        <v>138****4964</v>
      </c>
      <c r="C2644" s="1" t="s">
        <v>23</v>
      </c>
      <c r="D2644" s="1" t="str">
        <f t="shared" si="270"/>
        <v>89177328</v>
      </c>
      <c r="E2644" s="1" t="s">
        <v>24</v>
      </c>
      <c r="F2644" s="1" t="str">
        <f t="shared" si="271"/>
        <v>0010</v>
      </c>
      <c r="G2644" s="1" t="str">
        <f>""</f>
        <v/>
      </c>
      <c r="H2644" s="1" t="str">
        <f>"0018"</f>
        <v>0018</v>
      </c>
      <c r="I2644" s="1" t="s">
        <v>36</v>
      </c>
      <c r="J2644" s="1" t="str">
        <f>"01043989718"</f>
        <v>01043989718</v>
      </c>
      <c r="K2644" s="1" t="str">
        <f>"2017-03-19 20:02:49"</f>
        <v>2017-03-19 20:02:49</v>
      </c>
      <c r="L2644" s="1" t="str">
        <f>"2017-03-19 20:02:56"</f>
        <v>2017-03-19 20:02:56</v>
      </c>
      <c r="M2644" s="2">
        <v>4.5370370370370365E-3</v>
      </c>
      <c r="N2644" s="1" t="s">
        <v>26</v>
      </c>
      <c r="O2644" s="1" t="s">
        <v>34</v>
      </c>
      <c r="P2644" s="2">
        <v>4.6180555555555558E-3</v>
      </c>
      <c r="Q2644" s="1" t="s">
        <v>1898</v>
      </c>
      <c r="R2644" s="1">
        <v>0</v>
      </c>
      <c r="S2644" s="1" t="str">
        <f>""</f>
        <v/>
      </c>
      <c r="T2644" s="1" t="s">
        <v>29</v>
      </c>
      <c r="U2644" s="1" t="s">
        <v>30</v>
      </c>
      <c r="V2644" s="1">
        <v>0</v>
      </c>
    </row>
    <row r="2645" spans="2:22" x14ac:dyDescent="0.15">
      <c r="B2645" s="1" t="str">
        <f>"138****0450"</f>
        <v>138****0450</v>
      </c>
      <c r="C2645" s="1" t="s">
        <v>23</v>
      </c>
      <c r="D2645" s="1" t="str">
        <f t="shared" si="270"/>
        <v>89177328</v>
      </c>
      <c r="E2645" s="1" t="s">
        <v>24</v>
      </c>
      <c r="F2645" s="1" t="str">
        <f t="shared" si="271"/>
        <v>0010</v>
      </c>
      <c r="G2645" s="1" t="str">
        <f>""</f>
        <v/>
      </c>
      <c r="H2645" s="1" t="str">
        <f>"0017"</f>
        <v>0017</v>
      </c>
      <c r="I2645" s="1" t="s">
        <v>135</v>
      </c>
      <c r="J2645" s="1" t="str">
        <f>"01043989717"</f>
        <v>01043989717</v>
      </c>
      <c r="K2645" s="1" t="str">
        <f>"2017-03-19 20:02:26"</f>
        <v>2017-03-19 20:02:26</v>
      </c>
      <c r="L2645" s="1" t="str">
        <f>"2017-03-19 20:02:35"</f>
        <v>2017-03-19 20:02:35</v>
      </c>
      <c r="M2645" s="2">
        <v>3.1250000000000001E-4</v>
      </c>
      <c r="N2645" s="1" t="s">
        <v>26</v>
      </c>
      <c r="O2645" s="1" t="s">
        <v>27</v>
      </c>
      <c r="P2645" s="2">
        <v>4.1666666666666669E-4</v>
      </c>
      <c r="Q2645" s="1" t="s">
        <v>1899</v>
      </c>
      <c r="R2645" s="1">
        <v>0</v>
      </c>
      <c r="S2645" s="1" t="str">
        <f>""</f>
        <v/>
      </c>
      <c r="T2645" s="1" t="s">
        <v>29</v>
      </c>
      <c r="U2645" s="1" t="s">
        <v>30</v>
      </c>
      <c r="V2645" s="1">
        <v>0</v>
      </c>
    </row>
    <row r="2646" spans="2:22" x14ac:dyDescent="0.15">
      <c r="B2646" s="1" t="str">
        <f>"136****7572"</f>
        <v>136****7572</v>
      </c>
      <c r="C2646" s="1" t="s">
        <v>23</v>
      </c>
      <c r="D2646" s="1" t="str">
        <f t="shared" si="270"/>
        <v>89177328</v>
      </c>
      <c r="E2646" s="1" t="s">
        <v>24</v>
      </c>
      <c r="F2646" s="1" t="str">
        <f t="shared" si="271"/>
        <v>0010</v>
      </c>
      <c r="G2646" s="1" t="str">
        <f>""</f>
        <v/>
      </c>
      <c r="H2646" s="1" t="str">
        <f>"0032"</f>
        <v>0032</v>
      </c>
      <c r="I2646" s="1" t="s">
        <v>119</v>
      </c>
      <c r="J2646" s="1" t="str">
        <f>"01043977566"</f>
        <v>01043977566</v>
      </c>
      <c r="K2646" s="1" t="str">
        <f>"2017-03-19 19:44:54"</f>
        <v>2017-03-19 19:44:54</v>
      </c>
      <c r="L2646" s="1" t="str">
        <f>"2017-03-19 19:45:08"</f>
        <v>2017-03-19 19:45:08</v>
      </c>
      <c r="M2646" s="2">
        <v>4.9421296296296288E-3</v>
      </c>
      <c r="N2646" s="1" t="s">
        <v>26</v>
      </c>
      <c r="O2646" s="1" t="s">
        <v>34</v>
      </c>
      <c r="P2646" s="2">
        <v>5.1041666666666666E-3</v>
      </c>
      <c r="Q2646" s="1" t="s">
        <v>1900</v>
      </c>
      <c r="R2646" s="1">
        <v>0</v>
      </c>
      <c r="S2646" s="1" t="str">
        <f>""</f>
        <v/>
      </c>
      <c r="T2646" s="1" t="s">
        <v>29</v>
      </c>
      <c r="U2646" s="1" t="s">
        <v>30</v>
      </c>
      <c r="V2646" s="1">
        <v>0</v>
      </c>
    </row>
    <row r="2647" spans="2:22" x14ac:dyDescent="0.15">
      <c r="B2647" s="1" t="str">
        <f>"186****6739"</f>
        <v>186****6739</v>
      </c>
      <c r="C2647" s="1" t="s">
        <v>23</v>
      </c>
      <c r="D2647" s="1" t="str">
        <f t="shared" si="270"/>
        <v>89177328</v>
      </c>
      <c r="E2647" s="1" t="s">
        <v>24</v>
      </c>
      <c r="F2647" s="1" t="str">
        <f t="shared" si="271"/>
        <v>0010</v>
      </c>
      <c r="G2647" s="1" t="str">
        <f>""</f>
        <v/>
      </c>
      <c r="H2647" s="1" t="str">
        <f>"0017"</f>
        <v>0017</v>
      </c>
      <c r="I2647" s="1" t="s">
        <v>135</v>
      </c>
      <c r="J2647" s="1" t="str">
        <f>"01043989717"</f>
        <v>01043989717</v>
      </c>
      <c r="K2647" s="1" t="str">
        <f>"2017-03-19 19:35:40"</f>
        <v>2017-03-19 19:35:40</v>
      </c>
      <c r="L2647" s="1" t="str">
        <f>"2017-03-19 19:35:50"</f>
        <v>2017-03-19 19:35:50</v>
      </c>
      <c r="M2647" s="2">
        <v>1.0416666666666667E-4</v>
      </c>
      <c r="N2647" s="1" t="s">
        <v>26</v>
      </c>
      <c r="O2647" s="1" t="s">
        <v>34</v>
      </c>
      <c r="P2647" s="2">
        <v>2.199074074074074E-4</v>
      </c>
      <c r="Q2647" s="1" t="s">
        <v>1901</v>
      </c>
      <c r="R2647" s="1">
        <v>0</v>
      </c>
      <c r="S2647" s="1" t="str">
        <f>""</f>
        <v/>
      </c>
      <c r="T2647" s="1" t="s">
        <v>29</v>
      </c>
      <c r="U2647" s="1" t="s">
        <v>30</v>
      </c>
      <c r="V2647" s="1">
        <v>0</v>
      </c>
    </row>
    <row r="2648" spans="2:22" x14ac:dyDescent="0.15">
      <c r="B2648" s="1" t="str">
        <f>"010****9063"</f>
        <v>010****9063</v>
      </c>
      <c r="C2648" s="1" t="s">
        <v>23</v>
      </c>
      <c r="D2648" s="1" t="str">
        <f t="shared" si="270"/>
        <v>89177328</v>
      </c>
      <c r="E2648" s="1" t="s">
        <v>24</v>
      </c>
      <c r="F2648" s="1" t="str">
        <f t="shared" si="271"/>
        <v>0010</v>
      </c>
      <c r="G2648" s="1" t="str">
        <f>""</f>
        <v/>
      </c>
      <c r="H2648" s="1" t="str">
        <f>"0018"</f>
        <v>0018</v>
      </c>
      <c r="I2648" s="1" t="s">
        <v>36</v>
      </c>
      <c r="J2648" s="1" t="str">
        <f>"01043989718"</f>
        <v>01043989718</v>
      </c>
      <c r="K2648" s="1" t="str">
        <f>"2017-03-19 19:25:37"</f>
        <v>2017-03-19 19:25:37</v>
      </c>
      <c r="L2648" s="1" t="str">
        <f>"2017-03-19 19:25:47"</f>
        <v>2017-03-19 19:25:47</v>
      </c>
      <c r="M2648" s="2">
        <v>2.673611111111111E-3</v>
      </c>
      <c r="N2648" s="1" t="s">
        <v>26</v>
      </c>
      <c r="O2648" s="1" t="s">
        <v>34</v>
      </c>
      <c r="P2648" s="2">
        <v>2.7893518518518519E-3</v>
      </c>
      <c r="Q2648" s="1" t="s">
        <v>1902</v>
      </c>
      <c r="R2648" s="1">
        <v>0</v>
      </c>
      <c r="S2648" s="1" t="str">
        <f>""</f>
        <v/>
      </c>
      <c r="T2648" s="1" t="s">
        <v>29</v>
      </c>
      <c r="U2648" s="1" t="s">
        <v>30</v>
      </c>
      <c r="V2648" s="1">
        <v>0</v>
      </c>
    </row>
    <row r="2649" spans="2:22" x14ac:dyDescent="0.15">
      <c r="B2649" s="1" t="str">
        <f>"188****8373"</f>
        <v>188****8373</v>
      </c>
      <c r="C2649" s="1" t="s">
        <v>548</v>
      </c>
      <c r="D2649" s="1" t="str">
        <f t="shared" si="270"/>
        <v>89177328</v>
      </c>
      <c r="E2649" s="1" t="s">
        <v>24</v>
      </c>
      <c r="F2649" s="1" t="str">
        <f t="shared" si="271"/>
        <v>0010</v>
      </c>
      <c r="G2649" s="1" t="str">
        <f>""</f>
        <v/>
      </c>
      <c r="H2649" s="1" t="str">
        <f>"0032"</f>
        <v>0032</v>
      </c>
      <c r="I2649" s="1" t="s">
        <v>119</v>
      </c>
      <c r="J2649" s="1" t="str">
        <f>"01043977566"</f>
        <v>01043977566</v>
      </c>
      <c r="K2649" s="1" t="str">
        <f>"2017-03-19 19:04:39"</f>
        <v>2017-03-19 19:04:39</v>
      </c>
      <c r="L2649" s="1" t="str">
        <f>"2017-03-19 19:04:52"</f>
        <v>2017-03-19 19:04:52</v>
      </c>
      <c r="M2649" s="2">
        <v>4.1666666666666666E-3</v>
      </c>
      <c r="N2649" s="1" t="s">
        <v>26</v>
      </c>
      <c r="O2649" s="1" t="s">
        <v>34</v>
      </c>
      <c r="P2649" s="2">
        <v>4.31712962962963E-3</v>
      </c>
      <c r="Q2649" s="1" t="s">
        <v>1903</v>
      </c>
      <c r="R2649" s="1">
        <v>0</v>
      </c>
      <c r="S2649" s="1" t="str">
        <f>""</f>
        <v/>
      </c>
      <c r="T2649" s="1" t="s">
        <v>29</v>
      </c>
      <c r="U2649" s="1" t="s">
        <v>30</v>
      </c>
      <c r="V2649" s="1">
        <v>0</v>
      </c>
    </row>
    <row r="2650" spans="2:22" x14ac:dyDescent="0.15">
      <c r="B2650" s="1" t="str">
        <f>"187****8122"</f>
        <v>187****8122</v>
      </c>
      <c r="C2650" s="1" t="s">
        <v>1904</v>
      </c>
      <c r="D2650" s="1" t="str">
        <f t="shared" si="270"/>
        <v>89177328</v>
      </c>
      <c r="E2650" s="1" t="s">
        <v>24</v>
      </c>
      <c r="F2650" s="1" t="str">
        <f t="shared" si="271"/>
        <v>0010</v>
      </c>
      <c r="G2650" s="1" t="str">
        <f>""</f>
        <v/>
      </c>
      <c r="H2650" s="1" t="str">
        <f>"0018"</f>
        <v>0018</v>
      </c>
      <c r="I2650" s="1" t="s">
        <v>36</v>
      </c>
      <c r="J2650" s="1" t="str">
        <f>"01043989718"</f>
        <v>01043989718</v>
      </c>
      <c r="K2650" s="1" t="str">
        <f>"2017-03-19 18:27:18"</f>
        <v>2017-03-19 18:27:18</v>
      </c>
      <c r="L2650" s="1" t="str">
        <f>"2017-03-19 18:27:28"</f>
        <v>2017-03-19 18:27:28</v>
      </c>
      <c r="M2650" s="2">
        <v>6.8171296296296287E-3</v>
      </c>
      <c r="N2650" s="1" t="s">
        <v>26</v>
      </c>
      <c r="O2650" s="1" t="s">
        <v>34</v>
      </c>
      <c r="P2650" s="2">
        <v>6.9328703703703696E-3</v>
      </c>
      <c r="Q2650" s="1" t="s">
        <v>1905</v>
      </c>
      <c r="R2650" s="1">
        <v>0</v>
      </c>
      <c r="S2650" s="1" t="str">
        <f>""</f>
        <v/>
      </c>
      <c r="T2650" s="1" t="s">
        <v>29</v>
      </c>
      <c r="U2650" s="1" t="s">
        <v>30</v>
      </c>
      <c r="V2650" s="1">
        <v>0</v>
      </c>
    </row>
    <row r="2651" spans="2:22" x14ac:dyDescent="0.15">
      <c r="B2651" s="1" t="str">
        <f>"183****4280"</f>
        <v>183****4280</v>
      </c>
      <c r="C2651" s="1" t="s">
        <v>23</v>
      </c>
      <c r="D2651" s="1" t="str">
        <f t="shared" si="270"/>
        <v>89177328</v>
      </c>
      <c r="E2651" s="1" t="s">
        <v>24</v>
      </c>
      <c r="F2651" s="1" t="str">
        <f t="shared" si="271"/>
        <v>0010</v>
      </c>
      <c r="G2651" s="1" t="str">
        <f>""</f>
        <v/>
      </c>
      <c r="H2651" s="1" t="str">
        <f>"0017"</f>
        <v>0017</v>
      </c>
      <c r="I2651" s="1" t="s">
        <v>135</v>
      </c>
      <c r="J2651" s="1" t="str">
        <f>"01043989717"</f>
        <v>01043989717</v>
      </c>
      <c r="K2651" s="1" t="str">
        <f>"2017-03-19 17:49:48"</f>
        <v>2017-03-19 17:49:48</v>
      </c>
      <c r="L2651" s="1" t="str">
        <f>"-"</f>
        <v>-</v>
      </c>
      <c r="M2651" s="2">
        <v>0</v>
      </c>
      <c r="N2651" s="1" t="s">
        <v>33</v>
      </c>
      <c r="O2651" s="1" t="s">
        <v>34</v>
      </c>
      <c r="P2651" s="2">
        <v>1.6203703703703703E-4</v>
      </c>
      <c r="Q2651" s="1" t="str">
        <f>""</f>
        <v/>
      </c>
      <c r="R2651" s="1">
        <v>0</v>
      </c>
      <c r="S2651" s="1" t="str">
        <f>""</f>
        <v/>
      </c>
      <c r="T2651" s="1" t="s">
        <v>29</v>
      </c>
      <c r="U2651" s="1" t="s">
        <v>30</v>
      </c>
      <c r="V2651" s="1">
        <v>0</v>
      </c>
    </row>
    <row r="2652" spans="2:22" x14ac:dyDescent="0.15">
      <c r="B2652" s="1" t="str">
        <f>"130****5656"</f>
        <v>130****5656</v>
      </c>
      <c r="C2652" s="1" t="s">
        <v>112</v>
      </c>
      <c r="D2652" s="1" t="str">
        <f t="shared" si="270"/>
        <v>89177328</v>
      </c>
      <c r="E2652" s="1" t="s">
        <v>24</v>
      </c>
      <c r="F2652" s="1" t="str">
        <f t="shared" si="271"/>
        <v>0010</v>
      </c>
      <c r="G2652" s="1" t="str">
        <f>""</f>
        <v/>
      </c>
      <c r="H2652" s="1" t="str">
        <f>"0032"</f>
        <v>0032</v>
      </c>
      <c r="I2652" s="1" t="s">
        <v>119</v>
      </c>
      <c r="J2652" s="1" t="str">
        <f>"01043977566"</f>
        <v>01043977566</v>
      </c>
      <c r="K2652" s="1" t="str">
        <f>"2017-03-19 17:42:45"</f>
        <v>2017-03-19 17:42:45</v>
      </c>
      <c r="L2652" s="1" t="str">
        <f>"-"</f>
        <v>-</v>
      </c>
      <c r="M2652" s="2">
        <v>0</v>
      </c>
      <c r="N2652" s="1" t="s">
        <v>33</v>
      </c>
      <c r="O2652" s="1" t="s">
        <v>34</v>
      </c>
      <c r="P2652" s="2">
        <v>8.1018518518518516E-5</v>
      </c>
      <c r="Q2652" s="1" t="str">
        <f>""</f>
        <v/>
      </c>
      <c r="R2652" s="1">
        <v>0</v>
      </c>
      <c r="S2652" s="1" t="str">
        <f>""</f>
        <v/>
      </c>
      <c r="T2652" s="1" t="s">
        <v>29</v>
      </c>
      <c r="U2652" s="1" t="s">
        <v>30</v>
      </c>
      <c r="V2652" s="1">
        <v>0</v>
      </c>
    </row>
    <row r="2653" spans="2:22" x14ac:dyDescent="0.15">
      <c r="B2653" s="1" t="str">
        <f>"010****9668"</f>
        <v>010****9668</v>
      </c>
      <c r="C2653" s="1" t="s">
        <v>23</v>
      </c>
      <c r="D2653" s="1" t="str">
        <f t="shared" si="270"/>
        <v>89177328</v>
      </c>
      <c r="E2653" s="1" t="s">
        <v>24</v>
      </c>
      <c r="F2653" s="1" t="str">
        <f t="shared" si="271"/>
        <v>0010</v>
      </c>
      <c r="G2653" s="1" t="str">
        <f>""</f>
        <v/>
      </c>
      <c r="H2653" s="1" t="str">
        <f>"0032"</f>
        <v>0032</v>
      </c>
      <c r="I2653" s="1" t="s">
        <v>119</v>
      </c>
      <c r="J2653" s="1" t="str">
        <f>"01043977566"</f>
        <v>01043977566</v>
      </c>
      <c r="K2653" s="1" t="str">
        <f>"2017-03-19 16:42:56"</f>
        <v>2017-03-19 16:42:56</v>
      </c>
      <c r="L2653" s="1" t="str">
        <f>"2017-03-19 16:43:07"</f>
        <v>2017-03-19 16:43:07</v>
      </c>
      <c r="M2653" s="2">
        <v>2.1874999999999998E-3</v>
      </c>
      <c r="N2653" s="1" t="s">
        <v>26</v>
      </c>
      <c r="O2653" s="1" t="s">
        <v>34</v>
      </c>
      <c r="P2653" s="2">
        <v>2.3148148148148151E-3</v>
      </c>
      <c r="Q2653" s="1" t="s">
        <v>1906</v>
      </c>
      <c r="R2653" s="1">
        <v>0</v>
      </c>
      <c r="S2653" s="1" t="str">
        <f>""</f>
        <v/>
      </c>
      <c r="T2653" s="1" t="s">
        <v>29</v>
      </c>
      <c r="U2653" s="1" t="s">
        <v>30</v>
      </c>
      <c r="V2653" s="1">
        <v>0</v>
      </c>
    </row>
    <row r="2654" spans="2:22" x14ac:dyDescent="0.15">
      <c r="B2654" s="1" t="str">
        <f>"187****6771"</f>
        <v>187****6771</v>
      </c>
      <c r="C2654" s="1" t="s">
        <v>132</v>
      </c>
      <c r="D2654" s="1" t="str">
        <f t="shared" si="270"/>
        <v>89177328</v>
      </c>
      <c r="E2654" s="1" t="s">
        <v>24</v>
      </c>
      <c r="F2654" s="1" t="str">
        <f t="shared" si="271"/>
        <v>0010</v>
      </c>
      <c r="G2654" s="1" t="str">
        <f>""</f>
        <v/>
      </c>
      <c r="H2654" s="1" t="str">
        <f>"0018"</f>
        <v>0018</v>
      </c>
      <c r="I2654" s="1" t="s">
        <v>36</v>
      </c>
      <c r="J2654" s="1" t="str">
        <f>"01043989718"</f>
        <v>01043989718</v>
      </c>
      <c r="K2654" s="1" t="str">
        <f>"2017-03-19 16:36:25"</f>
        <v>2017-03-19 16:36:25</v>
      </c>
      <c r="L2654" s="1" t="str">
        <f>"2017-03-19 16:36:33"</f>
        <v>2017-03-19 16:36:33</v>
      </c>
      <c r="M2654" s="2">
        <v>6.6319444444444446E-3</v>
      </c>
      <c r="N2654" s="1" t="s">
        <v>26</v>
      </c>
      <c r="O2654" s="1" t="s">
        <v>34</v>
      </c>
      <c r="P2654" s="2">
        <v>6.7245370370370367E-3</v>
      </c>
      <c r="Q2654" s="1" t="s">
        <v>1907</v>
      </c>
      <c r="R2654" s="1">
        <v>0</v>
      </c>
      <c r="S2654" s="1" t="str">
        <f>""</f>
        <v/>
      </c>
      <c r="T2654" s="1" t="s">
        <v>29</v>
      </c>
      <c r="U2654" s="1" t="s">
        <v>30</v>
      </c>
      <c r="V2654" s="1">
        <v>0</v>
      </c>
    </row>
    <row r="2655" spans="2:22" x14ac:dyDescent="0.15">
      <c r="B2655" s="1" t="str">
        <f>"189****3979"</f>
        <v>189****3979</v>
      </c>
      <c r="C2655" s="1" t="s">
        <v>23</v>
      </c>
      <c r="D2655" s="1" t="str">
        <f t="shared" si="270"/>
        <v>89177328</v>
      </c>
      <c r="E2655" s="1" t="s">
        <v>24</v>
      </c>
      <c r="F2655" s="1" t="str">
        <f t="shared" si="271"/>
        <v>0010</v>
      </c>
      <c r="G2655" s="1" t="str">
        <f>""</f>
        <v/>
      </c>
      <c r="H2655" s="1" t="str">
        <f>"0035"</f>
        <v>0035</v>
      </c>
      <c r="I2655" s="1" t="s">
        <v>25</v>
      </c>
      <c r="J2655" s="1" t="str">
        <f>"01043977569"</f>
        <v>01043977569</v>
      </c>
      <c r="K2655" s="1" t="str">
        <f>"2017-03-19 15:53:13"</f>
        <v>2017-03-19 15:53:13</v>
      </c>
      <c r="L2655" s="1" t="str">
        <f>"2017-03-19 15:53:26"</f>
        <v>2017-03-19 15:53:26</v>
      </c>
      <c r="M2655" s="2">
        <v>2.1296296296296298E-3</v>
      </c>
      <c r="N2655" s="1" t="s">
        <v>26</v>
      </c>
      <c r="O2655" s="1" t="s">
        <v>27</v>
      </c>
      <c r="P2655" s="2">
        <v>2.2800925925925927E-3</v>
      </c>
      <c r="Q2655" s="1" t="s">
        <v>1908</v>
      </c>
      <c r="R2655" s="1">
        <v>0</v>
      </c>
      <c r="S2655" s="1" t="str">
        <f>""</f>
        <v/>
      </c>
      <c r="T2655" s="1" t="s">
        <v>29</v>
      </c>
      <c r="U2655" s="1" t="s">
        <v>30</v>
      </c>
      <c r="V2655" s="1">
        <v>0</v>
      </c>
    </row>
    <row r="2656" spans="2:22" x14ac:dyDescent="0.15">
      <c r="B2656" s="1" t="str">
        <f>"031411****6125"</f>
        <v>031411****6125</v>
      </c>
      <c r="C2656" s="1" t="s">
        <v>137</v>
      </c>
      <c r="D2656" s="1" t="str">
        <f t="shared" si="270"/>
        <v>89177328</v>
      </c>
      <c r="E2656" s="1" t="s">
        <v>24</v>
      </c>
      <c r="F2656" s="1" t="str">
        <f t="shared" si="271"/>
        <v>0010</v>
      </c>
      <c r="G2656" s="1" t="str">
        <f>""</f>
        <v/>
      </c>
      <c r="H2656" s="1" t="str">
        <f>"0032"</f>
        <v>0032</v>
      </c>
      <c r="I2656" s="1" t="s">
        <v>119</v>
      </c>
      <c r="J2656" s="1" t="str">
        <f>"01043977566"</f>
        <v>01043977566</v>
      </c>
      <c r="K2656" s="1" t="str">
        <f>"2017-03-19 15:42:51"</f>
        <v>2017-03-19 15:42:51</v>
      </c>
      <c r="L2656" s="1" t="str">
        <f>"2017-03-19 15:43:02"</f>
        <v>2017-03-19 15:43:02</v>
      </c>
      <c r="M2656" s="2">
        <v>1.1226851851851851E-3</v>
      </c>
      <c r="N2656" s="1" t="s">
        <v>26</v>
      </c>
      <c r="O2656" s="1" t="s">
        <v>34</v>
      </c>
      <c r="P2656" s="2">
        <v>1.25E-3</v>
      </c>
      <c r="Q2656" s="1" t="s">
        <v>1909</v>
      </c>
      <c r="R2656" s="1">
        <v>0</v>
      </c>
      <c r="S2656" s="1" t="str">
        <f>""</f>
        <v/>
      </c>
      <c r="T2656" s="1" t="s">
        <v>29</v>
      </c>
      <c r="U2656" s="1" t="s">
        <v>30</v>
      </c>
      <c r="V2656" s="1">
        <v>0</v>
      </c>
    </row>
    <row r="2657" spans="2:22" x14ac:dyDescent="0.15">
      <c r="B2657" s="1" t="str">
        <f>"150****8426"</f>
        <v>150****8426</v>
      </c>
      <c r="C2657" s="1" t="s">
        <v>23</v>
      </c>
      <c r="D2657" s="1" t="str">
        <f t="shared" si="270"/>
        <v>89177328</v>
      </c>
      <c r="E2657" s="1" t="s">
        <v>24</v>
      </c>
      <c r="F2657" s="1" t="str">
        <f t="shared" si="271"/>
        <v>0010</v>
      </c>
      <c r="G2657" s="1" t="str">
        <f>""</f>
        <v/>
      </c>
      <c r="H2657" s="1" t="str">
        <f>"0017"</f>
        <v>0017</v>
      </c>
      <c r="I2657" s="1" t="s">
        <v>135</v>
      </c>
      <c r="J2657" s="1" t="str">
        <f>"01043989717"</f>
        <v>01043989717</v>
      </c>
      <c r="K2657" s="1" t="str">
        <f>"2017-03-19 15:30:33"</f>
        <v>2017-03-19 15:30:33</v>
      </c>
      <c r="L2657" s="1" t="str">
        <f>"2017-03-19 15:30:44"</f>
        <v>2017-03-19 15:30:44</v>
      </c>
      <c r="M2657" s="2">
        <v>7.2569444444444443E-3</v>
      </c>
      <c r="N2657" s="1" t="s">
        <v>26</v>
      </c>
      <c r="O2657" s="1" t="s">
        <v>27</v>
      </c>
      <c r="P2657" s="2">
        <v>7.3842592592592597E-3</v>
      </c>
      <c r="Q2657" s="1" t="s">
        <v>1910</v>
      </c>
      <c r="R2657" s="1">
        <v>0</v>
      </c>
      <c r="S2657" s="1" t="str">
        <f>""</f>
        <v/>
      </c>
      <c r="T2657" s="1" t="s">
        <v>29</v>
      </c>
      <c r="U2657" s="1" t="s">
        <v>30</v>
      </c>
      <c r="V2657" s="1">
        <v>0</v>
      </c>
    </row>
    <row r="2658" spans="2:22" x14ac:dyDescent="0.15">
      <c r="B2658" s="1" t="str">
        <f>"135****5956"</f>
        <v>135****5956</v>
      </c>
      <c r="C2658" s="1" t="s">
        <v>23</v>
      </c>
      <c r="D2658" s="1" t="str">
        <f t="shared" si="270"/>
        <v>89177328</v>
      </c>
      <c r="E2658" s="1" t="s">
        <v>24</v>
      </c>
      <c r="F2658" s="1" t="str">
        <f t="shared" si="271"/>
        <v>0010</v>
      </c>
      <c r="G2658" s="1" t="str">
        <f>""</f>
        <v/>
      </c>
      <c r="H2658" s="1" t="str">
        <f>"0032"</f>
        <v>0032</v>
      </c>
      <c r="I2658" s="1" t="s">
        <v>119</v>
      </c>
      <c r="J2658" s="1" t="str">
        <f>"01043977566"</f>
        <v>01043977566</v>
      </c>
      <c r="K2658" s="1" t="str">
        <f>"2017-03-19 15:15:42"</f>
        <v>2017-03-19 15:15:42</v>
      </c>
      <c r="L2658" s="1" t="str">
        <f>"2017-03-19 15:15:55"</f>
        <v>2017-03-19 15:15:55</v>
      </c>
      <c r="M2658" s="2">
        <v>1.3194444444444443E-3</v>
      </c>
      <c r="N2658" s="1" t="s">
        <v>26</v>
      </c>
      <c r="O2658" s="1" t="s">
        <v>34</v>
      </c>
      <c r="P2658" s="2">
        <v>1.4699074074074074E-3</v>
      </c>
      <c r="Q2658" s="1" t="s">
        <v>1911</v>
      </c>
      <c r="R2658" s="1">
        <v>0</v>
      </c>
      <c r="S2658" s="1" t="str">
        <f>""</f>
        <v/>
      </c>
      <c r="T2658" s="1" t="s">
        <v>29</v>
      </c>
      <c r="U2658" s="1" t="s">
        <v>30</v>
      </c>
      <c r="V2658" s="1">
        <v>0</v>
      </c>
    </row>
    <row r="2659" spans="2:22" x14ac:dyDescent="0.15">
      <c r="B2659" s="1" t="str">
        <f>"136****0623"</f>
        <v>136****0623</v>
      </c>
      <c r="C2659" s="1" t="s">
        <v>959</v>
      </c>
      <c r="D2659" s="1" t="str">
        <f t="shared" si="270"/>
        <v>89177328</v>
      </c>
      <c r="E2659" s="1" t="s">
        <v>24</v>
      </c>
      <c r="F2659" s="1" t="str">
        <f t="shared" si="271"/>
        <v>0010</v>
      </c>
      <c r="G2659" s="1" t="str">
        <f>""</f>
        <v/>
      </c>
      <c r="H2659" s="1" t="str">
        <f>"0018"</f>
        <v>0018</v>
      </c>
      <c r="I2659" s="1" t="s">
        <v>36</v>
      </c>
      <c r="J2659" s="1" t="str">
        <f>"01043989718"</f>
        <v>01043989718</v>
      </c>
      <c r="K2659" s="1" t="str">
        <f>"2017-03-19 15:13:19"</f>
        <v>2017-03-19 15:13:19</v>
      </c>
      <c r="L2659" s="1" t="str">
        <f>"2017-03-19 15:13:27"</f>
        <v>2017-03-19 15:13:27</v>
      </c>
      <c r="M2659" s="2">
        <v>8.3564814814814804E-3</v>
      </c>
      <c r="N2659" s="1" t="s">
        <v>26</v>
      </c>
      <c r="O2659" s="1" t="s">
        <v>34</v>
      </c>
      <c r="P2659" s="2">
        <v>8.4490740740740741E-3</v>
      </c>
      <c r="Q2659" s="1" t="s">
        <v>1912</v>
      </c>
      <c r="R2659" s="1">
        <v>0</v>
      </c>
      <c r="S2659" s="1" t="str">
        <f>""</f>
        <v/>
      </c>
      <c r="T2659" s="1" t="s">
        <v>29</v>
      </c>
      <c r="U2659" s="1" t="s">
        <v>30</v>
      </c>
      <c r="V2659" s="1">
        <v>0</v>
      </c>
    </row>
    <row r="2660" spans="2:22" x14ac:dyDescent="0.15">
      <c r="B2660" s="1" t="str">
        <f>"131****5785"</f>
        <v>131****5785</v>
      </c>
      <c r="C2660" s="1" t="s">
        <v>23</v>
      </c>
      <c r="D2660" s="1" t="str">
        <f t="shared" si="270"/>
        <v>89177328</v>
      </c>
      <c r="E2660" s="1" t="s">
        <v>24</v>
      </c>
      <c r="F2660" s="1" t="str">
        <f t="shared" si="271"/>
        <v>0010</v>
      </c>
      <c r="G2660" s="1" t="str">
        <f>""</f>
        <v/>
      </c>
      <c r="H2660" s="1" t="str">
        <f>"0035"</f>
        <v>0035</v>
      </c>
      <c r="I2660" s="1" t="s">
        <v>25</v>
      </c>
      <c r="J2660" s="1" t="str">
        <f>"01043977569"</f>
        <v>01043977569</v>
      </c>
      <c r="K2660" s="1" t="str">
        <f>"2017-03-19 15:12:05"</f>
        <v>2017-03-19 15:12:05</v>
      </c>
      <c r="L2660" s="1" t="str">
        <f>"2017-03-19 15:12:15"</f>
        <v>2017-03-19 15:12:15</v>
      </c>
      <c r="M2660" s="2">
        <v>1.9791666666666668E-3</v>
      </c>
      <c r="N2660" s="1" t="s">
        <v>26</v>
      </c>
      <c r="O2660" s="1" t="s">
        <v>27</v>
      </c>
      <c r="P2660" s="2">
        <v>2.0949074074074073E-3</v>
      </c>
      <c r="Q2660" s="1" t="s">
        <v>1913</v>
      </c>
      <c r="R2660" s="1">
        <v>0</v>
      </c>
      <c r="S2660" s="1" t="str">
        <f>""</f>
        <v/>
      </c>
      <c r="T2660" s="1" t="s">
        <v>29</v>
      </c>
      <c r="U2660" s="1" t="s">
        <v>30</v>
      </c>
      <c r="V2660" s="1">
        <v>0</v>
      </c>
    </row>
    <row r="2661" spans="2:22" x14ac:dyDescent="0.15">
      <c r="B2661" s="1" t="str">
        <f>"183****0928"</f>
        <v>183****0928</v>
      </c>
      <c r="C2661" s="1" t="s">
        <v>23</v>
      </c>
      <c r="D2661" s="1" t="str">
        <f t="shared" si="270"/>
        <v>89177328</v>
      </c>
      <c r="E2661" s="1" t="s">
        <v>24</v>
      </c>
      <c r="F2661" s="1" t="str">
        <f t="shared" si="271"/>
        <v>0010</v>
      </c>
      <c r="G2661" s="1" t="str">
        <f>""</f>
        <v/>
      </c>
      <c r="H2661" s="1" t="str">
        <f>"0018"</f>
        <v>0018</v>
      </c>
      <c r="I2661" s="1" t="s">
        <v>36</v>
      </c>
      <c r="J2661" s="1" t="str">
        <f>"01043989718"</f>
        <v>01043989718</v>
      </c>
      <c r="K2661" s="1" t="str">
        <f>"2017-03-19 14:57:10"</f>
        <v>2017-03-19 14:57:10</v>
      </c>
      <c r="L2661" s="1" t="str">
        <f>"-"</f>
        <v>-</v>
      </c>
      <c r="M2661" s="2">
        <v>0</v>
      </c>
      <c r="N2661" s="1" t="s">
        <v>33</v>
      </c>
      <c r="O2661" s="1" t="s">
        <v>34</v>
      </c>
      <c r="P2661" s="2">
        <v>2.3148148148148147E-5</v>
      </c>
      <c r="Q2661" s="1" t="str">
        <f>""</f>
        <v/>
      </c>
      <c r="R2661" s="1">
        <v>0</v>
      </c>
      <c r="S2661" s="1" t="str">
        <f>""</f>
        <v/>
      </c>
      <c r="T2661" s="1" t="s">
        <v>29</v>
      </c>
      <c r="U2661" s="1" t="s">
        <v>30</v>
      </c>
      <c r="V2661" s="1">
        <v>0</v>
      </c>
    </row>
    <row r="2662" spans="2:22" x14ac:dyDescent="0.15">
      <c r="B2662" s="1" t="str">
        <f>"135****5380"</f>
        <v>135****5380</v>
      </c>
      <c r="C2662" s="1" t="s">
        <v>23</v>
      </c>
      <c r="D2662" s="1" t="str">
        <f t="shared" si="270"/>
        <v>89177328</v>
      </c>
      <c r="E2662" s="1" t="s">
        <v>24</v>
      </c>
      <c r="F2662" s="1" t="str">
        <f t="shared" si="271"/>
        <v>0010</v>
      </c>
      <c r="G2662" s="1" t="str">
        <f>""</f>
        <v/>
      </c>
      <c r="H2662" s="1" t="str">
        <f>"0035"</f>
        <v>0035</v>
      </c>
      <c r="I2662" s="1" t="s">
        <v>25</v>
      </c>
      <c r="J2662" s="1" t="str">
        <f>"01043977569"</f>
        <v>01043977569</v>
      </c>
      <c r="K2662" s="1" t="str">
        <f>"2017-03-19 14:32:48"</f>
        <v>2017-03-19 14:32:48</v>
      </c>
      <c r="L2662" s="1" t="str">
        <f>"-"</f>
        <v>-</v>
      </c>
      <c r="M2662" s="2">
        <v>0</v>
      </c>
      <c r="N2662" s="1" t="s">
        <v>33</v>
      </c>
      <c r="O2662" s="1" t="s">
        <v>34</v>
      </c>
      <c r="P2662" s="2">
        <v>2.3148148148148147E-5</v>
      </c>
      <c r="Q2662" s="1" t="str">
        <f>""</f>
        <v/>
      </c>
      <c r="R2662" s="1">
        <v>0</v>
      </c>
      <c r="S2662" s="1" t="str">
        <f>""</f>
        <v/>
      </c>
      <c r="T2662" s="1" t="s">
        <v>29</v>
      </c>
      <c r="U2662" s="1" t="s">
        <v>30</v>
      </c>
      <c r="V2662" s="1">
        <v>0</v>
      </c>
    </row>
    <row r="2663" spans="2:22" x14ac:dyDescent="0.15">
      <c r="B2663" s="1" t="str">
        <f>"150****8687"</f>
        <v>150****8687</v>
      </c>
      <c r="C2663" s="1" t="s">
        <v>548</v>
      </c>
      <c r="D2663" s="1" t="str">
        <f t="shared" si="270"/>
        <v>89177328</v>
      </c>
      <c r="E2663" s="1" t="s">
        <v>24</v>
      </c>
      <c r="F2663" s="1" t="str">
        <f t="shared" si="271"/>
        <v>0010</v>
      </c>
      <c r="G2663" s="1" t="str">
        <f>""</f>
        <v/>
      </c>
      <c r="H2663" s="1" t="str">
        <f>"0018"</f>
        <v>0018</v>
      </c>
      <c r="I2663" s="1" t="s">
        <v>36</v>
      </c>
      <c r="J2663" s="1" t="str">
        <f>"01043989718"</f>
        <v>01043989718</v>
      </c>
      <c r="K2663" s="1" t="str">
        <f>"2017-03-19 14:31:16"</f>
        <v>2017-03-19 14:31:16</v>
      </c>
      <c r="L2663" s="1" t="str">
        <f>"2017-03-19 14:31:25"</f>
        <v>2017-03-19 14:31:25</v>
      </c>
      <c r="M2663" s="2">
        <v>2.7546296296296294E-3</v>
      </c>
      <c r="N2663" s="1" t="s">
        <v>26</v>
      </c>
      <c r="O2663" s="1" t="s">
        <v>34</v>
      </c>
      <c r="P2663" s="2">
        <v>2.8587962962962963E-3</v>
      </c>
      <c r="Q2663" s="1" t="s">
        <v>1914</v>
      </c>
      <c r="R2663" s="1">
        <v>0</v>
      </c>
      <c r="S2663" s="1" t="str">
        <f>""</f>
        <v/>
      </c>
      <c r="T2663" s="1" t="s">
        <v>29</v>
      </c>
      <c r="U2663" s="1" t="s">
        <v>30</v>
      </c>
      <c r="V2663" s="1">
        <v>0</v>
      </c>
    </row>
    <row r="2664" spans="2:22" x14ac:dyDescent="0.15">
      <c r="B2664" s="1" t="str">
        <f>"135****1676"</f>
        <v>135****1676</v>
      </c>
      <c r="C2664" s="1" t="s">
        <v>23</v>
      </c>
      <c r="D2664" s="1" t="str">
        <f>"4000108333"</f>
        <v>4000108333</v>
      </c>
      <c r="E2664" s="1" t="s">
        <v>53</v>
      </c>
      <c r="F2664" s="1" t="str">
        <f>""</f>
        <v/>
      </c>
      <c r="G2664" s="1" t="str">
        <f>""</f>
        <v/>
      </c>
      <c r="H2664" s="1" t="str">
        <f>""</f>
        <v/>
      </c>
      <c r="I2664" s="1" t="str">
        <f>""</f>
        <v/>
      </c>
      <c r="J2664" s="1" t="str">
        <f>""</f>
        <v/>
      </c>
      <c r="K2664" s="1" t="str">
        <f>"2017-03-19 14:16:40"</f>
        <v>2017-03-19 14:16:40</v>
      </c>
      <c r="L2664" s="1" t="str">
        <f>"-"</f>
        <v>-</v>
      </c>
      <c r="M2664" s="2">
        <v>0</v>
      </c>
      <c r="N2664" s="1" t="s">
        <v>55</v>
      </c>
      <c r="O2664" s="1" t="s">
        <v>34</v>
      </c>
      <c r="P2664" s="2">
        <v>1.3888888888888889E-4</v>
      </c>
      <c r="Q2664" s="1" t="str">
        <f>""</f>
        <v/>
      </c>
      <c r="R2664" s="1">
        <v>0.12</v>
      </c>
      <c r="S2664" s="1" t="str">
        <f>""</f>
        <v/>
      </c>
      <c r="T2664" s="1" t="s">
        <v>29</v>
      </c>
      <c r="U2664" s="1" t="s">
        <v>30</v>
      </c>
      <c r="V2664" s="1">
        <v>0</v>
      </c>
    </row>
    <row r="2665" spans="2:22" x14ac:dyDescent="0.15">
      <c r="B2665" s="1" t="str">
        <f>"152****6933"</f>
        <v>152****6933</v>
      </c>
      <c r="C2665" s="1" t="s">
        <v>1021</v>
      </c>
      <c r="D2665" s="1" t="str">
        <f t="shared" ref="D2665:D2706" si="272">"89177328"</f>
        <v>89177328</v>
      </c>
      <c r="E2665" s="1" t="s">
        <v>24</v>
      </c>
      <c r="F2665" s="1" t="str">
        <f t="shared" ref="F2665:F2706" si="273">"0010"</f>
        <v>0010</v>
      </c>
      <c r="G2665" s="1" t="str">
        <f>""</f>
        <v/>
      </c>
      <c r="H2665" s="1" t="str">
        <f>"0017"</f>
        <v>0017</v>
      </c>
      <c r="I2665" s="1" t="s">
        <v>135</v>
      </c>
      <c r="J2665" s="1" t="str">
        <f>"01043989717"</f>
        <v>01043989717</v>
      </c>
      <c r="K2665" s="1" t="str">
        <f>"2017-03-19 13:56:32"</f>
        <v>2017-03-19 13:56:32</v>
      </c>
      <c r="L2665" s="1" t="str">
        <f>"2017-03-19 13:56:39"</f>
        <v>2017-03-19 13:56:39</v>
      </c>
      <c r="M2665" s="2">
        <v>1.7210648148148149E-2</v>
      </c>
      <c r="N2665" s="1" t="s">
        <v>26</v>
      </c>
      <c r="O2665" s="1" t="s">
        <v>34</v>
      </c>
      <c r="P2665" s="2">
        <v>1.7291666666666667E-2</v>
      </c>
      <c r="Q2665" s="1" t="s">
        <v>1915</v>
      </c>
      <c r="R2665" s="1">
        <v>0</v>
      </c>
      <c r="S2665" s="1" t="str">
        <f>""</f>
        <v/>
      </c>
      <c r="T2665" s="1" t="s">
        <v>29</v>
      </c>
      <c r="U2665" s="1" t="s">
        <v>30</v>
      </c>
      <c r="V2665" s="1">
        <v>0</v>
      </c>
    </row>
    <row r="2666" spans="2:22" x14ac:dyDescent="0.15">
      <c r="B2666" s="1" t="str">
        <f>"137****7098"</f>
        <v>137****7098</v>
      </c>
      <c r="C2666" s="1" t="s">
        <v>23</v>
      </c>
      <c r="D2666" s="1" t="str">
        <f t="shared" si="272"/>
        <v>89177328</v>
      </c>
      <c r="E2666" s="1" t="s">
        <v>24</v>
      </c>
      <c r="F2666" s="1" t="str">
        <f t="shared" si="273"/>
        <v>0010</v>
      </c>
      <c r="G2666" s="1" t="str">
        <f>""</f>
        <v/>
      </c>
      <c r="H2666" s="1" t="str">
        <f>"0032"</f>
        <v>0032</v>
      </c>
      <c r="I2666" s="1" t="s">
        <v>119</v>
      </c>
      <c r="J2666" s="1" t="str">
        <f>"01043977566"</f>
        <v>01043977566</v>
      </c>
      <c r="K2666" s="1" t="str">
        <f>"2017-03-19 13:35:25"</f>
        <v>2017-03-19 13:35:25</v>
      </c>
      <c r="L2666" s="1" t="str">
        <f>"2017-03-19 13:35:36"</f>
        <v>2017-03-19 13:35:36</v>
      </c>
      <c r="M2666" s="2">
        <v>3.7037037037037034E-3</v>
      </c>
      <c r="N2666" s="1" t="s">
        <v>26</v>
      </c>
      <c r="O2666" s="1" t="s">
        <v>34</v>
      </c>
      <c r="P2666" s="2">
        <v>3.8310185185185183E-3</v>
      </c>
      <c r="Q2666" s="1" t="s">
        <v>1916</v>
      </c>
      <c r="R2666" s="1">
        <v>0</v>
      </c>
      <c r="S2666" s="1" t="str">
        <f>""</f>
        <v/>
      </c>
      <c r="T2666" s="1" t="s">
        <v>29</v>
      </c>
      <c r="U2666" s="1" t="s">
        <v>30</v>
      </c>
      <c r="V2666" s="1">
        <v>0</v>
      </c>
    </row>
    <row r="2667" spans="2:22" x14ac:dyDescent="0.15">
      <c r="B2667" s="1" t="str">
        <f>"157****6581"</f>
        <v>157****6581</v>
      </c>
      <c r="C2667" s="1" t="s">
        <v>137</v>
      </c>
      <c r="D2667" s="1" t="str">
        <f t="shared" si="272"/>
        <v>89177328</v>
      </c>
      <c r="E2667" s="1" t="s">
        <v>24</v>
      </c>
      <c r="F2667" s="1" t="str">
        <f t="shared" si="273"/>
        <v>0010</v>
      </c>
      <c r="G2667" s="1" t="str">
        <f>""</f>
        <v/>
      </c>
      <c r="H2667" s="1" t="str">
        <f>"0018"</f>
        <v>0018</v>
      </c>
      <c r="I2667" s="1" t="s">
        <v>36</v>
      </c>
      <c r="J2667" s="1" t="str">
        <f>"01043989718"</f>
        <v>01043989718</v>
      </c>
      <c r="K2667" s="1" t="str">
        <f>"2017-03-19 13:32:51"</f>
        <v>2017-03-19 13:32:51</v>
      </c>
      <c r="L2667" s="1" t="str">
        <f>"2017-03-19 13:32:59"</f>
        <v>2017-03-19 13:32:59</v>
      </c>
      <c r="M2667" s="2">
        <v>1.2280092592592592E-2</v>
      </c>
      <c r="N2667" s="1" t="s">
        <v>26</v>
      </c>
      <c r="O2667" s="1" t="s">
        <v>34</v>
      </c>
      <c r="P2667" s="2">
        <v>1.2372685185185186E-2</v>
      </c>
      <c r="Q2667" s="1" t="s">
        <v>1917</v>
      </c>
      <c r="R2667" s="1">
        <v>0</v>
      </c>
      <c r="S2667" s="1" t="str">
        <f>""</f>
        <v/>
      </c>
      <c r="T2667" s="1" t="s">
        <v>29</v>
      </c>
      <c r="U2667" s="1" t="s">
        <v>30</v>
      </c>
      <c r="V2667" s="1">
        <v>0</v>
      </c>
    </row>
    <row r="2668" spans="2:22" x14ac:dyDescent="0.15">
      <c r="B2668" s="1" t="str">
        <f>"156****8795"</f>
        <v>156****8795</v>
      </c>
      <c r="C2668" s="1" t="s">
        <v>23</v>
      </c>
      <c r="D2668" s="1" t="str">
        <f t="shared" si="272"/>
        <v>89177328</v>
      </c>
      <c r="E2668" s="1" t="s">
        <v>24</v>
      </c>
      <c r="F2668" s="1" t="str">
        <f t="shared" si="273"/>
        <v>0010</v>
      </c>
      <c r="G2668" s="1" t="str">
        <f>""</f>
        <v/>
      </c>
      <c r="H2668" s="1" t="str">
        <f>"0018"</f>
        <v>0018</v>
      </c>
      <c r="I2668" s="1" t="s">
        <v>36</v>
      </c>
      <c r="J2668" s="1" t="str">
        <f>"01043989718"</f>
        <v>01043989718</v>
      </c>
      <c r="K2668" s="1" t="str">
        <f>"2017-03-19 13:23:46"</f>
        <v>2017-03-19 13:23:46</v>
      </c>
      <c r="L2668" s="1" t="str">
        <f>"2017-03-19 13:23:55"</f>
        <v>2017-03-19 13:23:55</v>
      </c>
      <c r="M2668" s="2">
        <v>1.3194444444444443E-3</v>
      </c>
      <c r="N2668" s="1" t="s">
        <v>26</v>
      </c>
      <c r="O2668" s="1" t="s">
        <v>34</v>
      </c>
      <c r="P2668" s="2">
        <v>1.423611111111111E-3</v>
      </c>
      <c r="Q2668" s="1" t="s">
        <v>1918</v>
      </c>
      <c r="R2668" s="1">
        <v>0</v>
      </c>
      <c r="S2668" s="1" t="str">
        <f>""</f>
        <v/>
      </c>
      <c r="T2668" s="1" t="s">
        <v>29</v>
      </c>
      <c r="U2668" s="1" t="s">
        <v>30</v>
      </c>
      <c r="V2668" s="1">
        <v>0</v>
      </c>
    </row>
    <row r="2669" spans="2:22" x14ac:dyDescent="0.15">
      <c r="B2669" s="1" t="str">
        <f>"130****5656"</f>
        <v>130****5656</v>
      </c>
      <c r="C2669" s="1" t="s">
        <v>112</v>
      </c>
      <c r="D2669" s="1" t="str">
        <f t="shared" si="272"/>
        <v>89177328</v>
      </c>
      <c r="E2669" s="1" t="s">
        <v>24</v>
      </c>
      <c r="F2669" s="1" t="str">
        <f t="shared" si="273"/>
        <v>0010</v>
      </c>
      <c r="G2669" s="1" t="str">
        <f>""</f>
        <v/>
      </c>
      <c r="H2669" s="1" t="str">
        <f>"0018"</f>
        <v>0018</v>
      </c>
      <c r="I2669" s="1" t="s">
        <v>36</v>
      </c>
      <c r="J2669" s="1" t="str">
        <f>"01043989718"</f>
        <v>01043989718</v>
      </c>
      <c r="K2669" s="1" t="str">
        <f>"2017-03-19 13:16:14"</f>
        <v>2017-03-19 13:16:14</v>
      </c>
      <c r="L2669" s="1" t="str">
        <f>"-"</f>
        <v>-</v>
      </c>
      <c r="M2669" s="2">
        <v>0</v>
      </c>
      <c r="N2669" s="1" t="s">
        <v>33</v>
      </c>
      <c r="O2669" s="1" t="s">
        <v>34</v>
      </c>
      <c r="P2669" s="2">
        <v>9.2592592592592588E-5</v>
      </c>
      <c r="Q2669" s="1" t="str">
        <f>""</f>
        <v/>
      </c>
      <c r="R2669" s="1">
        <v>0</v>
      </c>
      <c r="S2669" s="1" t="str">
        <f>""</f>
        <v/>
      </c>
      <c r="T2669" s="1" t="s">
        <v>29</v>
      </c>
      <c r="U2669" s="1" t="s">
        <v>30</v>
      </c>
      <c r="V2669" s="1">
        <v>0</v>
      </c>
    </row>
    <row r="2670" spans="2:22" x14ac:dyDescent="0.15">
      <c r="B2670" s="1" t="str">
        <f>"158****3618"</f>
        <v>158****3618</v>
      </c>
      <c r="C2670" s="1" t="s">
        <v>87</v>
      </c>
      <c r="D2670" s="1" t="str">
        <f t="shared" si="272"/>
        <v>89177328</v>
      </c>
      <c r="E2670" s="1" t="s">
        <v>24</v>
      </c>
      <c r="F2670" s="1" t="str">
        <f t="shared" si="273"/>
        <v>0010</v>
      </c>
      <c r="G2670" s="1" t="str">
        <f>""</f>
        <v/>
      </c>
      <c r="H2670" s="1" t="str">
        <f>"0018"</f>
        <v>0018</v>
      </c>
      <c r="I2670" s="1" t="s">
        <v>36</v>
      </c>
      <c r="J2670" s="1" t="str">
        <f>"01043989718"</f>
        <v>01043989718</v>
      </c>
      <c r="K2670" s="1" t="str">
        <f>"2017-03-19 13:14:05"</f>
        <v>2017-03-19 13:14:05</v>
      </c>
      <c r="L2670" s="1" t="str">
        <f>"-"</f>
        <v>-</v>
      </c>
      <c r="M2670" s="2">
        <v>0</v>
      </c>
      <c r="N2670" s="1" t="s">
        <v>33</v>
      </c>
      <c r="O2670" s="1" t="s">
        <v>34</v>
      </c>
      <c r="P2670" s="2">
        <v>2.3148148148148147E-5</v>
      </c>
      <c r="Q2670" s="1" t="str">
        <f>""</f>
        <v/>
      </c>
      <c r="R2670" s="1">
        <v>0</v>
      </c>
      <c r="S2670" s="1" t="str">
        <f>""</f>
        <v/>
      </c>
      <c r="T2670" s="1" t="s">
        <v>29</v>
      </c>
      <c r="U2670" s="1" t="s">
        <v>30</v>
      </c>
      <c r="V2670" s="1">
        <v>0</v>
      </c>
    </row>
    <row r="2671" spans="2:22" x14ac:dyDescent="0.15">
      <c r="B2671" s="1" t="str">
        <f>"152****6933"</f>
        <v>152****6933</v>
      </c>
      <c r="C2671" s="1" t="s">
        <v>1021</v>
      </c>
      <c r="D2671" s="1" t="str">
        <f t="shared" si="272"/>
        <v>89177328</v>
      </c>
      <c r="E2671" s="1" t="s">
        <v>24</v>
      </c>
      <c r="F2671" s="1" t="str">
        <f t="shared" si="273"/>
        <v>0010</v>
      </c>
      <c r="G2671" s="1" t="str">
        <f>""</f>
        <v/>
      </c>
      <c r="H2671" s="1" t="str">
        <f>"0018"</f>
        <v>0018</v>
      </c>
      <c r="I2671" s="1" t="s">
        <v>36</v>
      </c>
      <c r="J2671" s="1" t="str">
        <f>"01043989718"</f>
        <v>01043989718</v>
      </c>
      <c r="K2671" s="1" t="str">
        <f>"2017-03-19 13:08:16"</f>
        <v>2017-03-19 13:08:16</v>
      </c>
      <c r="L2671" s="1" t="str">
        <f>"-"</f>
        <v>-</v>
      </c>
      <c r="M2671" s="2">
        <v>0</v>
      </c>
      <c r="N2671" s="1" t="s">
        <v>33</v>
      </c>
      <c r="O2671" s="1" t="s">
        <v>34</v>
      </c>
      <c r="P2671" s="2">
        <v>2.3148148148148147E-5</v>
      </c>
      <c r="Q2671" s="1" t="str">
        <f>""</f>
        <v/>
      </c>
      <c r="R2671" s="1">
        <v>0</v>
      </c>
      <c r="S2671" s="1" t="str">
        <f>""</f>
        <v/>
      </c>
      <c r="T2671" s="1" t="s">
        <v>29</v>
      </c>
      <c r="U2671" s="1" t="s">
        <v>30</v>
      </c>
      <c r="V2671" s="1">
        <v>0</v>
      </c>
    </row>
    <row r="2672" spans="2:22" x14ac:dyDescent="0.15">
      <c r="B2672" s="1" t="str">
        <f>"158****5010"</f>
        <v>158****5010</v>
      </c>
      <c r="C2672" s="1" t="s">
        <v>78</v>
      </c>
      <c r="D2672" s="1" t="str">
        <f t="shared" si="272"/>
        <v>89177328</v>
      </c>
      <c r="E2672" s="1" t="s">
        <v>24</v>
      </c>
      <c r="F2672" s="1" t="str">
        <f t="shared" si="273"/>
        <v>0010</v>
      </c>
      <c r="G2672" s="1" t="str">
        <f>""</f>
        <v/>
      </c>
      <c r="H2672" s="1" t="str">
        <f>"0035"</f>
        <v>0035</v>
      </c>
      <c r="I2672" s="1" t="s">
        <v>25</v>
      </c>
      <c r="J2672" s="1" t="str">
        <f>"01043977569"</f>
        <v>01043977569</v>
      </c>
      <c r="K2672" s="1" t="str">
        <f>"2017-03-19 12:54:19"</f>
        <v>2017-03-19 12:54:19</v>
      </c>
      <c r="L2672" s="1" t="str">
        <f>"2017-03-19 12:54:32"</f>
        <v>2017-03-19 12:54:32</v>
      </c>
      <c r="M2672" s="2">
        <v>5.347222222222222E-3</v>
      </c>
      <c r="N2672" s="1" t="s">
        <v>26</v>
      </c>
      <c r="O2672" s="1" t="s">
        <v>27</v>
      </c>
      <c r="P2672" s="2">
        <v>5.4976851851851853E-3</v>
      </c>
      <c r="Q2672" s="1" t="s">
        <v>1919</v>
      </c>
      <c r="R2672" s="1">
        <v>0</v>
      </c>
      <c r="S2672" s="1" t="str">
        <f>""</f>
        <v/>
      </c>
      <c r="T2672" s="1" t="s">
        <v>29</v>
      </c>
      <c r="U2672" s="1" t="s">
        <v>30</v>
      </c>
      <c r="V2672" s="1">
        <v>0</v>
      </c>
    </row>
    <row r="2673" spans="2:22" x14ac:dyDescent="0.15">
      <c r="B2673" s="1" t="str">
        <f>"186****2101"</f>
        <v>186****2101</v>
      </c>
      <c r="C2673" s="1" t="s">
        <v>94</v>
      </c>
      <c r="D2673" s="1" t="str">
        <f t="shared" si="272"/>
        <v>89177328</v>
      </c>
      <c r="E2673" s="1" t="s">
        <v>24</v>
      </c>
      <c r="F2673" s="1" t="str">
        <f t="shared" si="273"/>
        <v>0010</v>
      </c>
      <c r="G2673" s="1" t="str">
        <f>""</f>
        <v/>
      </c>
      <c r="H2673" s="1" t="str">
        <f>"0018"</f>
        <v>0018</v>
      </c>
      <c r="I2673" s="1" t="s">
        <v>36</v>
      </c>
      <c r="J2673" s="1" t="str">
        <f>"01043989718"</f>
        <v>01043989718</v>
      </c>
      <c r="K2673" s="1" t="str">
        <f>"2017-03-19 12:44:29"</f>
        <v>2017-03-19 12:44:29</v>
      </c>
      <c r="L2673" s="1" t="str">
        <f>"2017-03-19 12:44:36"</f>
        <v>2017-03-19 12:44:36</v>
      </c>
      <c r="M2673" s="2">
        <v>9.6527777777777775E-3</v>
      </c>
      <c r="N2673" s="1" t="s">
        <v>26</v>
      </c>
      <c r="O2673" s="1" t="s">
        <v>34</v>
      </c>
      <c r="P2673" s="2">
        <v>9.7337962962962977E-3</v>
      </c>
      <c r="Q2673" s="1" t="s">
        <v>1920</v>
      </c>
      <c r="R2673" s="1">
        <v>0</v>
      </c>
      <c r="S2673" s="1" t="str">
        <f>""</f>
        <v/>
      </c>
      <c r="T2673" s="1" t="s">
        <v>29</v>
      </c>
      <c r="U2673" s="1" t="s">
        <v>30</v>
      </c>
      <c r="V2673" s="1">
        <v>0</v>
      </c>
    </row>
    <row r="2674" spans="2:22" x14ac:dyDescent="0.15">
      <c r="B2674" s="1" t="str">
        <f>"00000000"</f>
        <v>00000000</v>
      </c>
      <c r="C2674" s="1" t="s">
        <v>635</v>
      </c>
      <c r="D2674" s="1" t="str">
        <f t="shared" si="272"/>
        <v>89177328</v>
      </c>
      <c r="E2674" s="1" t="s">
        <v>24</v>
      </c>
      <c r="F2674" s="1" t="str">
        <f t="shared" si="273"/>
        <v>0010</v>
      </c>
      <c r="G2674" s="1" t="str">
        <f>""</f>
        <v/>
      </c>
      <c r="H2674" s="1" t="str">
        <f>"0010"</f>
        <v>0010</v>
      </c>
      <c r="I2674" s="1" t="s">
        <v>71</v>
      </c>
      <c r="J2674" s="1" t="str">
        <f>"01043989719"</f>
        <v>01043989719</v>
      </c>
      <c r="K2674" s="1" t="str">
        <f>"2017-03-19 12:38:55"</f>
        <v>2017-03-19 12:38:55</v>
      </c>
      <c r="L2674" s="1" t="str">
        <f>"2017-03-19 12:39:06"</f>
        <v>2017-03-19 12:39:06</v>
      </c>
      <c r="M2674" s="2">
        <v>6.7939814814814816E-3</v>
      </c>
      <c r="N2674" s="1" t="s">
        <v>26</v>
      </c>
      <c r="O2674" s="1" t="s">
        <v>27</v>
      </c>
      <c r="P2674" s="2">
        <v>6.9212962962962969E-3</v>
      </c>
      <c r="Q2674" s="1" t="s">
        <v>1921</v>
      </c>
      <c r="R2674" s="1">
        <v>0</v>
      </c>
      <c r="S2674" s="1" t="str">
        <f>""</f>
        <v/>
      </c>
      <c r="T2674" s="1" t="s">
        <v>29</v>
      </c>
      <c r="U2674" s="1" t="s">
        <v>30</v>
      </c>
      <c r="V2674" s="1">
        <v>0</v>
      </c>
    </row>
    <row r="2675" spans="2:22" x14ac:dyDescent="0.15">
      <c r="B2675" s="1" t="str">
        <f>"151****9889"</f>
        <v>151****9889</v>
      </c>
      <c r="C2675" s="1" t="s">
        <v>44</v>
      </c>
      <c r="D2675" s="1" t="str">
        <f t="shared" si="272"/>
        <v>89177328</v>
      </c>
      <c r="E2675" s="1" t="s">
        <v>24</v>
      </c>
      <c r="F2675" s="1" t="str">
        <f t="shared" si="273"/>
        <v>0010</v>
      </c>
      <c r="G2675" s="1" t="str">
        <f>""</f>
        <v/>
      </c>
      <c r="H2675" s="1" t="str">
        <f>"0018"</f>
        <v>0018</v>
      </c>
      <c r="I2675" s="1" t="s">
        <v>36</v>
      </c>
      <c r="J2675" s="1" t="str">
        <f>"01043989718"</f>
        <v>01043989718</v>
      </c>
      <c r="K2675" s="1" t="str">
        <f>"2017-03-19 11:57:06"</f>
        <v>2017-03-19 11:57:06</v>
      </c>
      <c r="L2675" s="1" t="str">
        <f>"2017-03-19 11:57:14"</f>
        <v>2017-03-19 11:57:14</v>
      </c>
      <c r="M2675" s="2">
        <v>3.3101851851851851E-3</v>
      </c>
      <c r="N2675" s="1" t="s">
        <v>26</v>
      </c>
      <c r="O2675" s="1" t="s">
        <v>34</v>
      </c>
      <c r="P2675" s="2">
        <v>3.4027777777777784E-3</v>
      </c>
      <c r="Q2675" s="1" t="s">
        <v>1922</v>
      </c>
      <c r="R2675" s="1">
        <v>0</v>
      </c>
      <c r="S2675" s="1" t="str">
        <f>""</f>
        <v/>
      </c>
      <c r="T2675" s="1" t="s">
        <v>29</v>
      </c>
      <c r="U2675" s="1" t="s">
        <v>30</v>
      </c>
      <c r="V2675" s="1">
        <v>0</v>
      </c>
    </row>
    <row r="2676" spans="2:22" x14ac:dyDescent="0.15">
      <c r="B2676" s="1" t="str">
        <f>"139****4055"</f>
        <v>139****4055</v>
      </c>
      <c r="C2676" s="1" t="s">
        <v>23</v>
      </c>
      <c r="D2676" s="1" t="str">
        <f t="shared" si="272"/>
        <v>89177328</v>
      </c>
      <c r="E2676" s="1" t="s">
        <v>24</v>
      </c>
      <c r="F2676" s="1" t="str">
        <f t="shared" si="273"/>
        <v>0010</v>
      </c>
      <c r="G2676" s="1" t="str">
        <f>""</f>
        <v/>
      </c>
      <c r="H2676" s="1" t="str">
        <f>"0010"</f>
        <v>0010</v>
      </c>
      <c r="I2676" s="1" t="s">
        <v>71</v>
      </c>
      <c r="J2676" s="1" t="str">
        <f>"01043989719"</f>
        <v>01043989719</v>
      </c>
      <c r="K2676" s="1" t="str">
        <f>"2017-03-19 11:40:08"</f>
        <v>2017-03-19 11:40:08</v>
      </c>
      <c r="L2676" s="1" t="str">
        <f>"2017-03-19 11:40:17"</f>
        <v>2017-03-19 11:40:17</v>
      </c>
      <c r="M2676" s="2">
        <v>1.113425925925926E-2</v>
      </c>
      <c r="N2676" s="1" t="s">
        <v>26</v>
      </c>
      <c r="O2676" s="1" t="s">
        <v>27</v>
      </c>
      <c r="P2676" s="2">
        <v>1.1238425925925928E-2</v>
      </c>
      <c r="Q2676" s="1" t="s">
        <v>1923</v>
      </c>
      <c r="R2676" s="1">
        <v>0</v>
      </c>
      <c r="S2676" s="1" t="str">
        <f>""</f>
        <v/>
      </c>
      <c r="T2676" s="1" t="s">
        <v>29</v>
      </c>
      <c r="U2676" s="1" t="s">
        <v>30</v>
      </c>
      <c r="V2676" s="1">
        <v>0</v>
      </c>
    </row>
    <row r="2677" spans="2:22" x14ac:dyDescent="0.15">
      <c r="B2677" s="1" t="str">
        <f>"130****5656"</f>
        <v>130****5656</v>
      </c>
      <c r="C2677" s="1" t="s">
        <v>112</v>
      </c>
      <c r="D2677" s="1" t="str">
        <f t="shared" si="272"/>
        <v>89177328</v>
      </c>
      <c r="E2677" s="1" t="s">
        <v>24</v>
      </c>
      <c r="F2677" s="1" t="str">
        <f t="shared" si="273"/>
        <v>0010</v>
      </c>
      <c r="G2677" s="1" t="str">
        <f>""</f>
        <v/>
      </c>
      <c r="H2677" s="1" t="str">
        <f>"0010"</f>
        <v>0010</v>
      </c>
      <c r="I2677" s="1" t="s">
        <v>71</v>
      </c>
      <c r="J2677" s="1" t="str">
        <f>"01043989719"</f>
        <v>01043989719</v>
      </c>
      <c r="K2677" s="1" t="str">
        <f>"2017-03-19 11:39:57"</f>
        <v>2017-03-19 11:39:57</v>
      </c>
      <c r="L2677" s="1" t="str">
        <f>"-"</f>
        <v>-</v>
      </c>
      <c r="M2677" s="2">
        <v>0</v>
      </c>
      <c r="N2677" s="1" t="s">
        <v>33</v>
      </c>
      <c r="O2677" s="1" t="s">
        <v>34</v>
      </c>
      <c r="P2677" s="2">
        <v>8.1018518518518516E-5</v>
      </c>
      <c r="Q2677" s="1" t="str">
        <f>""</f>
        <v/>
      </c>
      <c r="R2677" s="1">
        <v>0</v>
      </c>
      <c r="S2677" s="1" t="str">
        <f>""</f>
        <v/>
      </c>
      <c r="T2677" s="1" t="s">
        <v>29</v>
      </c>
      <c r="U2677" s="1" t="s">
        <v>30</v>
      </c>
      <c r="V2677" s="1">
        <v>0</v>
      </c>
    </row>
    <row r="2678" spans="2:22" x14ac:dyDescent="0.15">
      <c r="B2678" s="1" t="str">
        <f>"130****5656"</f>
        <v>130****5656</v>
      </c>
      <c r="C2678" s="1" t="s">
        <v>112</v>
      </c>
      <c r="D2678" s="1" t="str">
        <f t="shared" si="272"/>
        <v>89177328</v>
      </c>
      <c r="E2678" s="1" t="s">
        <v>24</v>
      </c>
      <c r="F2678" s="1" t="str">
        <f t="shared" si="273"/>
        <v>0010</v>
      </c>
      <c r="G2678" s="1" t="str">
        <f>""</f>
        <v/>
      </c>
      <c r="H2678" s="1" t="str">
        <f>"0018"</f>
        <v>0018</v>
      </c>
      <c r="I2678" s="1" t="s">
        <v>36</v>
      </c>
      <c r="J2678" s="1" t="str">
        <f>"01043989718"</f>
        <v>01043989718</v>
      </c>
      <c r="K2678" s="1" t="str">
        <f>"2017-03-19 11:32:42"</f>
        <v>2017-03-19 11:32:42</v>
      </c>
      <c r="L2678" s="1" t="str">
        <f>"2017-03-19 11:32:50"</f>
        <v>2017-03-19 11:32:50</v>
      </c>
      <c r="M2678" s="2">
        <v>1.8518518518518518E-4</v>
      </c>
      <c r="N2678" s="1" t="s">
        <v>26</v>
      </c>
      <c r="O2678" s="1" t="s">
        <v>34</v>
      </c>
      <c r="P2678" s="2">
        <v>2.7777777777777778E-4</v>
      </c>
      <c r="Q2678" s="1" t="s">
        <v>1924</v>
      </c>
      <c r="R2678" s="1">
        <v>0</v>
      </c>
      <c r="S2678" s="1" t="str">
        <f>""</f>
        <v/>
      </c>
      <c r="T2678" s="1" t="s">
        <v>29</v>
      </c>
      <c r="U2678" s="1" t="s">
        <v>30</v>
      </c>
      <c r="V2678" s="1">
        <v>0</v>
      </c>
    </row>
    <row r="2679" spans="2:22" x14ac:dyDescent="0.15">
      <c r="B2679" s="1" t="str">
        <f>"133****3561"</f>
        <v>133****3561</v>
      </c>
      <c r="C2679" s="1" t="s">
        <v>35</v>
      </c>
      <c r="D2679" s="1" t="str">
        <f t="shared" si="272"/>
        <v>89177328</v>
      </c>
      <c r="E2679" s="1" t="s">
        <v>24</v>
      </c>
      <c r="F2679" s="1" t="str">
        <f t="shared" si="273"/>
        <v>0010</v>
      </c>
      <c r="G2679" s="1" t="str">
        <f>""</f>
        <v/>
      </c>
      <c r="H2679" s="1" t="str">
        <f>"0018"</f>
        <v>0018</v>
      </c>
      <c r="I2679" s="1" t="s">
        <v>36</v>
      </c>
      <c r="J2679" s="1" t="str">
        <f>"01043989718"</f>
        <v>01043989718</v>
      </c>
      <c r="K2679" s="1" t="str">
        <f>"2017-03-19 11:14:19"</f>
        <v>2017-03-19 11:14:19</v>
      </c>
      <c r="L2679" s="1" t="str">
        <f>"2017-03-19 11:14:27"</f>
        <v>2017-03-19 11:14:27</v>
      </c>
      <c r="M2679" s="2">
        <v>7.5115740740740742E-3</v>
      </c>
      <c r="N2679" s="1" t="s">
        <v>26</v>
      </c>
      <c r="O2679" s="1" t="s">
        <v>34</v>
      </c>
      <c r="P2679" s="2">
        <v>7.6041666666666662E-3</v>
      </c>
      <c r="Q2679" s="1" t="s">
        <v>1925</v>
      </c>
      <c r="R2679" s="1">
        <v>0</v>
      </c>
      <c r="S2679" s="1" t="str">
        <f>""</f>
        <v/>
      </c>
      <c r="T2679" s="1" t="s">
        <v>29</v>
      </c>
      <c r="U2679" s="1" t="s">
        <v>30</v>
      </c>
      <c r="V2679" s="1">
        <v>0</v>
      </c>
    </row>
    <row r="2680" spans="2:22" x14ac:dyDescent="0.15">
      <c r="B2680" s="1" t="str">
        <f>"159****3793"</f>
        <v>159****3793</v>
      </c>
      <c r="C2680" s="1" t="s">
        <v>226</v>
      </c>
      <c r="D2680" s="1" t="str">
        <f t="shared" si="272"/>
        <v>89177328</v>
      </c>
      <c r="E2680" s="1" t="s">
        <v>24</v>
      </c>
      <c r="F2680" s="1" t="str">
        <f t="shared" si="273"/>
        <v>0010</v>
      </c>
      <c r="G2680" s="1" t="str">
        <f>""</f>
        <v/>
      </c>
      <c r="H2680" s="1" t="str">
        <f>"0010"</f>
        <v>0010</v>
      </c>
      <c r="I2680" s="1" t="s">
        <v>71</v>
      </c>
      <c r="J2680" s="1" t="str">
        <f>"01043989719"</f>
        <v>01043989719</v>
      </c>
      <c r="K2680" s="1" t="str">
        <f>"2017-03-19 11:13:10"</f>
        <v>2017-03-19 11:13:10</v>
      </c>
      <c r="L2680" s="1" t="str">
        <f>"2017-03-19 11:13:21"</f>
        <v>2017-03-19 11:13:21</v>
      </c>
      <c r="M2680" s="2">
        <v>5.208333333333333E-3</v>
      </c>
      <c r="N2680" s="1" t="s">
        <v>26</v>
      </c>
      <c r="O2680" s="1" t="s">
        <v>34</v>
      </c>
      <c r="P2680" s="2">
        <v>5.3356481481481484E-3</v>
      </c>
      <c r="Q2680" s="1" t="s">
        <v>1926</v>
      </c>
      <c r="R2680" s="1">
        <v>0</v>
      </c>
      <c r="S2680" s="1" t="str">
        <f>""</f>
        <v/>
      </c>
      <c r="T2680" s="1" t="s">
        <v>29</v>
      </c>
      <c r="U2680" s="1" t="s">
        <v>30</v>
      </c>
      <c r="V2680" s="1">
        <v>0</v>
      </c>
    </row>
    <row r="2681" spans="2:22" x14ac:dyDescent="0.15">
      <c r="B2681" s="1" t="str">
        <f>"010****8756"</f>
        <v>010****8756</v>
      </c>
      <c r="C2681" s="1" t="s">
        <v>23</v>
      </c>
      <c r="D2681" s="1" t="str">
        <f t="shared" si="272"/>
        <v>89177328</v>
      </c>
      <c r="E2681" s="1" t="s">
        <v>24</v>
      </c>
      <c r="F2681" s="1" t="str">
        <f t="shared" si="273"/>
        <v>0010</v>
      </c>
      <c r="G2681" s="1" t="str">
        <f>""</f>
        <v/>
      </c>
      <c r="H2681" s="1" t="str">
        <f>"0035"</f>
        <v>0035</v>
      </c>
      <c r="I2681" s="1" t="s">
        <v>25</v>
      </c>
      <c r="J2681" s="1" t="str">
        <f>"01043977569"</f>
        <v>01043977569</v>
      </c>
      <c r="K2681" s="1" t="str">
        <f>"2017-03-19 11:05:27"</f>
        <v>2017-03-19 11:05:27</v>
      </c>
      <c r="L2681" s="1" t="str">
        <f>"2017-03-19 11:05:38"</f>
        <v>2017-03-19 11:05:38</v>
      </c>
      <c r="M2681" s="2">
        <v>1.3599537037037037E-2</v>
      </c>
      <c r="N2681" s="1" t="s">
        <v>26</v>
      </c>
      <c r="O2681" s="1" t="s">
        <v>34</v>
      </c>
      <c r="P2681" s="2">
        <v>1.3726851851851851E-2</v>
      </c>
      <c r="Q2681" s="1" t="s">
        <v>1927</v>
      </c>
      <c r="R2681" s="1">
        <v>0</v>
      </c>
      <c r="S2681" s="1" t="str">
        <f>""</f>
        <v/>
      </c>
      <c r="T2681" s="1" t="s">
        <v>29</v>
      </c>
      <c r="U2681" s="1" t="s">
        <v>30</v>
      </c>
      <c r="V2681" s="1">
        <v>0</v>
      </c>
    </row>
    <row r="2682" spans="2:22" x14ac:dyDescent="0.15">
      <c r="B2682" s="1" t="str">
        <f>"136****7666"</f>
        <v>136****7666</v>
      </c>
      <c r="C2682" s="1" t="s">
        <v>1928</v>
      </c>
      <c r="D2682" s="1" t="str">
        <f t="shared" si="272"/>
        <v>89177328</v>
      </c>
      <c r="E2682" s="1" t="s">
        <v>24</v>
      </c>
      <c r="F2682" s="1" t="str">
        <f t="shared" si="273"/>
        <v>0010</v>
      </c>
      <c r="G2682" s="1" t="str">
        <f>""</f>
        <v/>
      </c>
      <c r="H2682" s="1" t="str">
        <f>"0010"</f>
        <v>0010</v>
      </c>
      <c r="I2682" s="1" t="s">
        <v>71</v>
      </c>
      <c r="J2682" s="1" t="str">
        <f>"01043989719"</f>
        <v>01043989719</v>
      </c>
      <c r="K2682" s="1" t="str">
        <f>"2017-03-19 11:05:07"</f>
        <v>2017-03-19 11:05:07</v>
      </c>
      <c r="L2682" s="1" t="str">
        <f>"2017-03-19 11:05:15"</f>
        <v>2017-03-19 11:05:15</v>
      </c>
      <c r="M2682" s="2">
        <v>2.9629629629629628E-3</v>
      </c>
      <c r="N2682" s="1" t="s">
        <v>26</v>
      </c>
      <c r="O2682" s="1" t="s">
        <v>27</v>
      </c>
      <c r="P2682" s="2">
        <v>3.0555555555555557E-3</v>
      </c>
      <c r="Q2682" s="1" t="s">
        <v>1929</v>
      </c>
      <c r="R2682" s="1">
        <v>0</v>
      </c>
      <c r="S2682" s="1" t="str">
        <f>""</f>
        <v/>
      </c>
      <c r="T2682" s="1" t="s">
        <v>29</v>
      </c>
      <c r="U2682" s="1" t="s">
        <v>30</v>
      </c>
      <c r="V2682" s="1">
        <v>0</v>
      </c>
    </row>
    <row r="2683" spans="2:22" x14ac:dyDescent="0.15">
      <c r="B2683" s="1" t="str">
        <f>"139****0674"</f>
        <v>139****0674</v>
      </c>
      <c r="C2683" s="1" t="s">
        <v>23</v>
      </c>
      <c r="D2683" s="1" t="str">
        <f t="shared" si="272"/>
        <v>89177328</v>
      </c>
      <c r="E2683" s="1" t="s">
        <v>24</v>
      </c>
      <c r="F2683" s="1" t="str">
        <f t="shared" si="273"/>
        <v>0010</v>
      </c>
      <c r="G2683" s="1" t="str">
        <f>""</f>
        <v/>
      </c>
      <c r="H2683" s="1" t="str">
        <f>"0010"</f>
        <v>0010</v>
      </c>
      <c r="I2683" s="1" t="s">
        <v>71</v>
      </c>
      <c r="J2683" s="1" t="str">
        <f>"01043989719"</f>
        <v>01043989719</v>
      </c>
      <c r="K2683" s="1" t="str">
        <f>"2017-03-19 10:38:04"</f>
        <v>2017-03-19 10:38:04</v>
      </c>
      <c r="L2683" s="1" t="str">
        <f>"2017-03-19 10:38:14"</f>
        <v>2017-03-19 10:38:14</v>
      </c>
      <c r="M2683" s="2">
        <v>6.9791666666666674E-3</v>
      </c>
      <c r="N2683" s="1" t="s">
        <v>26</v>
      </c>
      <c r="O2683" s="1" t="s">
        <v>27</v>
      </c>
      <c r="P2683" s="2">
        <v>7.0949074074074074E-3</v>
      </c>
      <c r="Q2683" s="1" t="s">
        <v>1930</v>
      </c>
      <c r="R2683" s="1">
        <v>0</v>
      </c>
      <c r="S2683" s="1" t="str">
        <f>""</f>
        <v/>
      </c>
      <c r="T2683" s="1" t="s">
        <v>29</v>
      </c>
      <c r="U2683" s="1" t="s">
        <v>30</v>
      </c>
      <c r="V2683" s="1">
        <v>0</v>
      </c>
    </row>
    <row r="2684" spans="2:22" x14ac:dyDescent="0.15">
      <c r="B2684" s="1" t="str">
        <f>"151****3333"</f>
        <v>151****3333</v>
      </c>
      <c r="C2684" s="1" t="s">
        <v>379</v>
      </c>
      <c r="D2684" s="1" t="str">
        <f t="shared" si="272"/>
        <v>89177328</v>
      </c>
      <c r="E2684" s="1" t="s">
        <v>24</v>
      </c>
      <c r="F2684" s="1" t="str">
        <f t="shared" si="273"/>
        <v>0010</v>
      </c>
      <c r="G2684" s="1" t="str">
        <f>""</f>
        <v/>
      </c>
      <c r="H2684" s="1" t="str">
        <f>"0018"</f>
        <v>0018</v>
      </c>
      <c r="I2684" s="1" t="s">
        <v>36</v>
      </c>
      <c r="J2684" s="1" t="str">
        <f>"01043989718"</f>
        <v>01043989718</v>
      </c>
      <c r="K2684" s="1" t="str">
        <f>"2017-03-19 10:35:26"</f>
        <v>2017-03-19 10:35:26</v>
      </c>
      <c r="L2684" s="1" t="str">
        <f>"2017-03-19 10:35:32"</f>
        <v>2017-03-19 10:35:32</v>
      </c>
      <c r="M2684" s="2">
        <v>1.8749999999999999E-2</v>
      </c>
      <c r="N2684" s="1" t="s">
        <v>26</v>
      </c>
      <c r="O2684" s="1" t="s">
        <v>34</v>
      </c>
      <c r="P2684" s="2">
        <v>1.8819444444444448E-2</v>
      </c>
      <c r="Q2684" s="1" t="s">
        <v>1931</v>
      </c>
      <c r="R2684" s="1">
        <v>0</v>
      </c>
      <c r="S2684" s="1" t="str">
        <f>""</f>
        <v/>
      </c>
      <c r="T2684" s="1" t="s">
        <v>29</v>
      </c>
      <c r="U2684" s="1" t="s">
        <v>30</v>
      </c>
      <c r="V2684" s="1">
        <v>0</v>
      </c>
    </row>
    <row r="2685" spans="2:22" x14ac:dyDescent="0.15">
      <c r="B2685" s="1" t="str">
        <f>"189****6819"</f>
        <v>189****6819</v>
      </c>
      <c r="C2685" s="1" t="s">
        <v>23</v>
      </c>
      <c r="D2685" s="1" t="str">
        <f t="shared" si="272"/>
        <v>89177328</v>
      </c>
      <c r="E2685" s="1" t="s">
        <v>24</v>
      </c>
      <c r="F2685" s="1" t="str">
        <f t="shared" si="273"/>
        <v>0010</v>
      </c>
      <c r="G2685" s="1" t="str">
        <f>""</f>
        <v/>
      </c>
      <c r="H2685" s="1" t="str">
        <f>"0010"</f>
        <v>0010</v>
      </c>
      <c r="I2685" s="1" t="s">
        <v>71</v>
      </c>
      <c r="J2685" s="1" t="str">
        <f>"01043989719"</f>
        <v>01043989719</v>
      </c>
      <c r="K2685" s="1" t="str">
        <f>"2017-03-19 10:32:43"</f>
        <v>2017-03-19 10:32:43</v>
      </c>
      <c r="L2685" s="1" t="str">
        <f>"2017-03-19 10:32:53"</f>
        <v>2017-03-19 10:32:53</v>
      </c>
      <c r="M2685" s="2">
        <v>2.3842592592592591E-3</v>
      </c>
      <c r="N2685" s="1" t="s">
        <v>26</v>
      </c>
      <c r="O2685" s="1" t="s">
        <v>27</v>
      </c>
      <c r="P2685" s="2">
        <v>2.5000000000000001E-3</v>
      </c>
      <c r="Q2685" s="1" t="s">
        <v>1932</v>
      </c>
      <c r="R2685" s="1">
        <v>0</v>
      </c>
      <c r="S2685" s="1" t="str">
        <f>""</f>
        <v/>
      </c>
      <c r="T2685" s="1" t="s">
        <v>29</v>
      </c>
      <c r="U2685" s="1" t="s">
        <v>30</v>
      </c>
      <c r="V2685" s="1">
        <v>0</v>
      </c>
    </row>
    <row r="2686" spans="2:22" x14ac:dyDescent="0.15">
      <c r="B2686" s="1" t="str">
        <f>"136****2141"</f>
        <v>136****2141</v>
      </c>
      <c r="C2686" s="1" t="s">
        <v>23</v>
      </c>
      <c r="D2686" s="1" t="str">
        <f t="shared" si="272"/>
        <v>89177328</v>
      </c>
      <c r="E2686" s="1" t="s">
        <v>24</v>
      </c>
      <c r="F2686" s="1" t="str">
        <f t="shared" si="273"/>
        <v>0010</v>
      </c>
      <c r="G2686" s="1" t="str">
        <f>""</f>
        <v/>
      </c>
      <c r="H2686" s="1" t="str">
        <f>"0017"</f>
        <v>0017</v>
      </c>
      <c r="I2686" s="1" t="s">
        <v>135</v>
      </c>
      <c r="J2686" s="1" t="str">
        <f>"01043989717"</f>
        <v>01043989717</v>
      </c>
      <c r="K2686" s="1" t="str">
        <f>"2017-03-19 10:17:17"</f>
        <v>2017-03-19 10:17:17</v>
      </c>
      <c r="L2686" s="1" t="str">
        <f>"-"</f>
        <v>-</v>
      </c>
      <c r="M2686" s="2">
        <v>0</v>
      </c>
      <c r="N2686" s="1" t="s">
        <v>33</v>
      </c>
      <c r="O2686" s="1" t="s">
        <v>34</v>
      </c>
      <c r="P2686" s="2">
        <v>2.3148148148148147E-5</v>
      </c>
      <c r="Q2686" s="1" t="str">
        <f>""</f>
        <v/>
      </c>
      <c r="R2686" s="1">
        <v>0</v>
      </c>
      <c r="S2686" s="1" t="str">
        <f>""</f>
        <v/>
      </c>
      <c r="T2686" s="1" t="s">
        <v>29</v>
      </c>
      <c r="U2686" s="1" t="s">
        <v>30</v>
      </c>
      <c r="V2686" s="1">
        <v>0</v>
      </c>
    </row>
    <row r="2687" spans="2:22" x14ac:dyDescent="0.15">
      <c r="B2687" s="1" t="str">
        <f>"135****7785"</f>
        <v>135****7785</v>
      </c>
      <c r="C2687" s="1" t="s">
        <v>23</v>
      </c>
      <c r="D2687" s="1" t="str">
        <f t="shared" si="272"/>
        <v>89177328</v>
      </c>
      <c r="E2687" s="1" t="s">
        <v>24</v>
      </c>
      <c r="F2687" s="1" t="str">
        <f t="shared" si="273"/>
        <v>0010</v>
      </c>
      <c r="G2687" s="1" t="str">
        <f>""</f>
        <v/>
      </c>
      <c r="H2687" s="1" t="str">
        <f>"0010"</f>
        <v>0010</v>
      </c>
      <c r="I2687" s="1" t="s">
        <v>71</v>
      </c>
      <c r="J2687" s="1" t="str">
        <f>"01043989719"</f>
        <v>01043989719</v>
      </c>
      <c r="K2687" s="1" t="str">
        <f>"2017-03-19 10:08:23"</f>
        <v>2017-03-19 10:08:23</v>
      </c>
      <c r="L2687" s="1" t="str">
        <f>"2017-03-19 10:08:34"</f>
        <v>2017-03-19 10:08:34</v>
      </c>
      <c r="M2687" s="2">
        <v>4.0740740740740746E-3</v>
      </c>
      <c r="N2687" s="1" t="s">
        <v>26</v>
      </c>
      <c r="O2687" s="1" t="s">
        <v>27</v>
      </c>
      <c r="P2687" s="2">
        <v>4.2013888888888891E-3</v>
      </c>
      <c r="Q2687" s="1" t="s">
        <v>1933</v>
      </c>
      <c r="R2687" s="1">
        <v>0</v>
      </c>
      <c r="S2687" s="1" t="str">
        <f>""</f>
        <v/>
      </c>
      <c r="T2687" s="1" t="s">
        <v>29</v>
      </c>
      <c r="U2687" s="1" t="s">
        <v>30</v>
      </c>
      <c r="V2687" s="1">
        <v>0</v>
      </c>
    </row>
    <row r="2688" spans="2:22" x14ac:dyDescent="0.15">
      <c r="B2688" s="1" t="str">
        <f>"135****7785"</f>
        <v>135****7785</v>
      </c>
      <c r="C2688" s="1" t="s">
        <v>23</v>
      </c>
      <c r="D2688" s="1" t="str">
        <f t="shared" si="272"/>
        <v>89177328</v>
      </c>
      <c r="E2688" s="1" t="s">
        <v>24</v>
      </c>
      <c r="F2688" s="1" t="str">
        <f t="shared" si="273"/>
        <v>0010</v>
      </c>
      <c r="G2688" s="1" t="str">
        <f>""</f>
        <v/>
      </c>
      <c r="H2688" s="1" t="str">
        <f>"0032"</f>
        <v>0032</v>
      </c>
      <c r="I2688" s="1" t="s">
        <v>119</v>
      </c>
      <c r="J2688" s="1" t="str">
        <f>"01043977566"</f>
        <v>01043977566</v>
      </c>
      <c r="K2688" s="1" t="str">
        <f>"2017-03-19 10:05:03"</f>
        <v>2017-03-19 10:05:03</v>
      </c>
      <c r="L2688" s="1" t="str">
        <f>"-"</f>
        <v>-</v>
      </c>
      <c r="M2688" s="2">
        <v>0</v>
      </c>
      <c r="N2688" s="1" t="s">
        <v>33</v>
      </c>
      <c r="O2688" s="1" t="s">
        <v>34</v>
      </c>
      <c r="P2688" s="2">
        <v>2.3148148148148147E-5</v>
      </c>
      <c r="Q2688" s="1" t="str">
        <f>""</f>
        <v/>
      </c>
      <c r="R2688" s="1">
        <v>0</v>
      </c>
      <c r="S2688" s="1" t="str">
        <f>""</f>
        <v/>
      </c>
      <c r="T2688" s="1" t="s">
        <v>29</v>
      </c>
      <c r="U2688" s="1" t="s">
        <v>30</v>
      </c>
      <c r="V2688" s="1">
        <v>0</v>
      </c>
    </row>
    <row r="2689" spans="2:22" x14ac:dyDescent="0.15">
      <c r="B2689" s="1" t="str">
        <f>"010****9390"</f>
        <v>010****9390</v>
      </c>
      <c r="C2689" s="1" t="s">
        <v>23</v>
      </c>
      <c r="D2689" s="1" t="str">
        <f t="shared" si="272"/>
        <v>89177328</v>
      </c>
      <c r="E2689" s="1" t="s">
        <v>24</v>
      </c>
      <c r="F2689" s="1" t="str">
        <f t="shared" si="273"/>
        <v>0010</v>
      </c>
      <c r="G2689" s="1" t="str">
        <f>""</f>
        <v/>
      </c>
      <c r="H2689" s="1" t="str">
        <f>"0032"</f>
        <v>0032</v>
      </c>
      <c r="I2689" s="1" t="s">
        <v>119</v>
      </c>
      <c r="J2689" s="1" t="str">
        <f>"01043977566"</f>
        <v>01043977566</v>
      </c>
      <c r="K2689" s="1" t="str">
        <f>"2017-03-19 09:56:40"</f>
        <v>2017-03-19 09:56:40</v>
      </c>
      <c r="L2689" s="1" t="str">
        <f>"2017-03-19 09:56:55"</f>
        <v>2017-03-19 09:56:55</v>
      </c>
      <c r="M2689" s="2">
        <v>2.4074074074074076E-3</v>
      </c>
      <c r="N2689" s="1" t="s">
        <v>26</v>
      </c>
      <c r="O2689" s="1" t="s">
        <v>34</v>
      </c>
      <c r="P2689" s="2">
        <v>2.5810185185185185E-3</v>
      </c>
      <c r="Q2689" s="1" t="s">
        <v>1934</v>
      </c>
      <c r="R2689" s="1">
        <v>0</v>
      </c>
      <c r="S2689" s="1" t="str">
        <f>""</f>
        <v/>
      </c>
      <c r="T2689" s="1" t="s">
        <v>29</v>
      </c>
      <c r="U2689" s="1" t="s">
        <v>30</v>
      </c>
      <c r="V2689" s="1">
        <v>0</v>
      </c>
    </row>
    <row r="2690" spans="2:22" x14ac:dyDescent="0.15">
      <c r="B2690" s="1" t="str">
        <f>"136****7882"</f>
        <v>136****7882</v>
      </c>
      <c r="C2690" s="1" t="s">
        <v>23</v>
      </c>
      <c r="D2690" s="1" t="str">
        <f t="shared" si="272"/>
        <v>89177328</v>
      </c>
      <c r="E2690" s="1" t="s">
        <v>24</v>
      </c>
      <c r="F2690" s="1" t="str">
        <f t="shared" si="273"/>
        <v>0010</v>
      </c>
      <c r="G2690" s="1" t="str">
        <f>""</f>
        <v/>
      </c>
      <c r="H2690" s="1" t="str">
        <f>"0018"</f>
        <v>0018</v>
      </c>
      <c r="I2690" s="1" t="s">
        <v>36</v>
      </c>
      <c r="J2690" s="1" t="str">
        <f>"01043989718"</f>
        <v>01043989718</v>
      </c>
      <c r="K2690" s="1" t="str">
        <f>"2017-03-19 09:50:07"</f>
        <v>2017-03-19 09:50:07</v>
      </c>
      <c r="L2690" s="1" t="str">
        <f>"2017-03-19 09:50:16"</f>
        <v>2017-03-19 09:50:16</v>
      </c>
      <c r="M2690" s="2">
        <v>1.298611111111111E-2</v>
      </c>
      <c r="N2690" s="1" t="s">
        <v>26</v>
      </c>
      <c r="O2690" s="1" t="s">
        <v>27</v>
      </c>
      <c r="P2690" s="2">
        <v>1.3090277777777779E-2</v>
      </c>
      <c r="Q2690" s="1" t="s">
        <v>1935</v>
      </c>
      <c r="R2690" s="1">
        <v>0</v>
      </c>
      <c r="S2690" s="1" t="str">
        <f>""</f>
        <v/>
      </c>
      <c r="T2690" s="1" t="s">
        <v>29</v>
      </c>
      <c r="U2690" s="1" t="s">
        <v>30</v>
      </c>
      <c r="V2690" s="1">
        <v>0</v>
      </c>
    </row>
    <row r="2691" spans="2:22" x14ac:dyDescent="0.15">
      <c r="B2691" s="1" t="str">
        <f>"183****4280"</f>
        <v>183****4280</v>
      </c>
      <c r="C2691" s="1" t="s">
        <v>23</v>
      </c>
      <c r="D2691" s="1" t="str">
        <f t="shared" si="272"/>
        <v>89177328</v>
      </c>
      <c r="E2691" s="1" t="s">
        <v>24</v>
      </c>
      <c r="F2691" s="1" t="str">
        <f t="shared" si="273"/>
        <v>0010</v>
      </c>
      <c r="G2691" s="1" t="str">
        <f>""</f>
        <v/>
      </c>
      <c r="H2691" s="1" t="str">
        <f>"0018"</f>
        <v>0018</v>
      </c>
      <c r="I2691" s="1" t="s">
        <v>36</v>
      </c>
      <c r="J2691" s="1" t="str">
        <f>"01043989718"</f>
        <v>01043989718</v>
      </c>
      <c r="K2691" s="1" t="str">
        <f>"2017-03-19 09:50:04"</f>
        <v>2017-03-19 09:50:04</v>
      </c>
      <c r="L2691" s="1" t="str">
        <f>"-"</f>
        <v>-</v>
      </c>
      <c r="M2691" s="2">
        <v>0</v>
      </c>
      <c r="N2691" s="1" t="s">
        <v>33</v>
      </c>
      <c r="O2691" s="1" t="s">
        <v>34</v>
      </c>
      <c r="P2691" s="2">
        <v>2.3148148148148147E-5</v>
      </c>
      <c r="Q2691" s="1" t="str">
        <f>""</f>
        <v/>
      </c>
      <c r="R2691" s="1">
        <v>0</v>
      </c>
      <c r="S2691" s="1" t="str">
        <f>""</f>
        <v/>
      </c>
      <c r="T2691" s="1" t="s">
        <v>29</v>
      </c>
      <c r="U2691" s="1" t="s">
        <v>30</v>
      </c>
      <c r="V2691" s="1">
        <v>0</v>
      </c>
    </row>
    <row r="2692" spans="2:22" x14ac:dyDescent="0.15">
      <c r="B2692" s="1" t="str">
        <f>"138****2165"</f>
        <v>138****2165</v>
      </c>
      <c r="C2692" s="1" t="s">
        <v>81</v>
      </c>
      <c r="D2692" s="1" t="str">
        <f t="shared" si="272"/>
        <v>89177328</v>
      </c>
      <c r="E2692" s="1" t="s">
        <v>24</v>
      </c>
      <c r="F2692" s="1" t="str">
        <f t="shared" si="273"/>
        <v>0010</v>
      </c>
      <c r="G2692" s="1" t="str">
        <f>""</f>
        <v/>
      </c>
      <c r="H2692" s="1" t="str">
        <f>"0018"</f>
        <v>0018</v>
      </c>
      <c r="I2692" s="1" t="s">
        <v>36</v>
      </c>
      <c r="J2692" s="1" t="str">
        <f>"01043989718"</f>
        <v>01043989718</v>
      </c>
      <c r="K2692" s="1" t="str">
        <f>"2017-03-19 09:37:11"</f>
        <v>2017-03-19 09:37:11</v>
      </c>
      <c r="L2692" s="1" t="str">
        <f>"-"</f>
        <v>-</v>
      </c>
      <c r="M2692" s="2">
        <v>0</v>
      </c>
      <c r="N2692" s="1" t="s">
        <v>33</v>
      </c>
      <c r="O2692" s="1" t="s">
        <v>34</v>
      </c>
      <c r="P2692" s="2">
        <v>2.3148148148148147E-5</v>
      </c>
      <c r="Q2692" s="1" t="str">
        <f>""</f>
        <v/>
      </c>
      <c r="R2692" s="1">
        <v>0</v>
      </c>
      <c r="S2692" s="1" t="str">
        <f>""</f>
        <v/>
      </c>
      <c r="T2692" s="1" t="s">
        <v>29</v>
      </c>
      <c r="U2692" s="1" t="s">
        <v>30</v>
      </c>
      <c r="V2692" s="1">
        <v>0</v>
      </c>
    </row>
    <row r="2693" spans="2:22" x14ac:dyDescent="0.15">
      <c r="B2693" s="1" t="str">
        <f>"188****7867"</f>
        <v>188****7867</v>
      </c>
      <c r="C2693" s="1" t="s">
        <v>23</v>
      </c>
      <c r="D2693" s="1" t="str">
        <f t="shared" si="272"/>
        <v>89177328</v>
      </c>
      <c r="E2693" s="1" t="s">
        <v>24</v>
      </c>
      <c r="F2693" s="1" t="str">
        <f t="shared" si="273"/>
        <v>0010</v>
      </c>
      <c r="G2693" s="1" t="str">
        <f>""</f>
        <v/>
      </c>
      <c r="H2693" s="1" t="str">
        <f>"0035"</f>
        <v>0035</v>
      </c>
      <c r="I2693" s="1" t="s">
        <v>25</v>
      </c>
      <c r="J2693" s="1" t="str">
        <f>"01043977569"</f>
        <v>01043977569</v>
      </c>
      <c r="K2693" s="1" t="str">
        <f>"2017-03-19 09:34:14"</f>
        <v>2017-03-19 09:34:14</v>
      </c>
      <c r="L2693" s="1" t="str">
        <f>"-"</f>
        <v>-</v>
      </c>
      <c r="M2693" s="2">
        <v>0</v>
      </c>
      <c r="N2693" s="1" t="s">
        <v>33</v>
      </c>
      <c r="O2693" s="1" t="s">
        <v>34</v>
      </c>
      <c r="P2693" s="2">
        <v>2.3148148148148147E-5</v>
      </c>
      <c r="Q2693" s="1" t="str">
        <f>""</f>
        <v/>
      </c>
      <c r="R2693" s="1">
        <v>0</v>
      </c>
      <c r="S2693" s="1" t="str">
        <f>""</f>
        <v/>
      </c>
      <c r="T2693" s="1" t="s">
        <v>29</v>
      </c>
      <c r="U2693" s="1" t="s">
        <v>30</v>
      </c>
      <c r="V2693" s="1">
        <v>0</v>
      </c>
    </row>
    <row r="2694" spans="2:22" x14ac:dyDescent="0.15">
      <c r="B2694" s="1" t="str">
        <f>"185****1716"</f>
        <v>185****1716</v>
      </c>
      <c r="C2694" s="1" t="s">
        <v>51</v>
      </c>
      <c r="D2694" s="1" t="str">
        <f t="shared" si="272"/>
        <v>89177328</v>
      </c>
      <c r="E2694" s="1" t="s">
        <v>24</v>
      </c>
      <c r="F2694" s="1" t="str">
        <f t="shared" si="273"/>
        <v>0010</v>
      </c>
      <c r="G2694" s="1" t="str">
        <f>""</f>
        <v/>
      </c>
      <c r="H2694" s="1" t="str">
        <f>"0010"</f>
        <v>0010</v>
      </c>
      <c r="I2694" s="1" t="s">
        <v>71</v>
      </c>
      <c r="J2694" s="1" t="str">
        <f>"01043989719"</f>
        <v>01043989719</v>
      </c>
      <c r="K2694" s="1" t="str">
        <f>"2017-03-19 09:34:02"</f>
        <v>2017-03-19 09:34:02</v>
      </c>
      <c r="L2694" s="1" t="str">
        <f>"2017-03-19 09:34:11"</f>
        <v>2017-03-19 09:34:11</v>
      </c>
      <c r="M2694" s="2">
        <v>4.409722222222222E-3</v>
      </c>
      <c r="N2694" s="1" t="s">
        <v>26</v>
      </c>
      <c r="O2694" s="1" t="s">
        <v>34</v>
      </c>
      <c r="P2694" s="2">
        <v>4.5138888888888893E-3</v>
      </c>
      <c r="Q2694" s="1" t="s">
        <v>1936</v>
      </c>
      <c r="R2694" s="1">
        <v>0</v>
      </c>
      <c r="S2694" s="1" t="str">
        <f>""</f>
        <v/>
      </c>
      <c r="T2694" s="1" t="s">
        <v>29</v>
      </c>
      <c r="U2694" s="1" t="s">
        <v>30</v>
      </c>
      <c r="V2694" s="1">
        <v>0</v>
      </c>
    </row>
    <row r="2695" spans="2:22" x14ac:dyDescent="0.15">
      <c r="B2695" s="1" t="str">
        <f>"138****3154"</f>
        <v>138****3154</v>
      </c>
      <c r="C2695" s="1" t="s">
        <v>23</v>
      </c>
      <c r="D2695" s="1" t="str">
        <f t="shared" si="272"/>
        <v>89177328</v>
      </c>
      <c r="E2695" s="1" t="s">
        <v>24</v>
      </c>
      <c r="F2695" s="1" t="str">
        <f t="shared" si="273"/>
        <v>0010</v>
      </c>
      <c r="G2695" s="1" t="str">
        <f>""</f>
        <v/>
      </c>
      <c r="H2695" s="1" t="str">
        <f>"0032"</f>
        <v>0032</v>
      </c>
      <c r="I2695" s="1" t="s">
        <v>119</v>
      </c>
      <c r="J2695" s="1" t="str">
        <f>"01043977566"</f>
        <v>01043977566</v>
      </c>
      <c r="K2695" s="1" t="str">
        <f>"2017-03-19 09:28:17"</f>
        <v>2017-03-19 09:28:17</v>
      </c>
      <c r="L2695" s="1" t="str">
        <f>"2017-03-19 09:28:28"</f>
        <v>2017-03-19 09:28:28</v>
      </c>
      <c r="M2695" s="2">
        <v>1.1631944444444445E-2</v>
      </c>
      <c r="N2695" s="1" t="s">
        <v>26</v>
      </c>
      <c r="O2695" s="1" t="s">
        <v>34</v>
      </c>
      <c r="P2695" s="2">
        <v>1.1759259259259259E-2</v>
      </c>
      <c r="Q2695" s="1" t="s">
        <v>1937</v>
      </c>
      <c r="R2695" s="1">
        <v>0</v>
      </c>
      <c r="S2695" s="1" t="str">
        <f>""</f>
        <v/>
      </c>
      <c r="T2695" s="1" t="s">
        <v>29</v>
      </c>
      <c r="U2695" s="1" t="s">
        <v>30</v>
      </c>
      <c r="V2695" s="1">
        <v>0</v>
      </c>
    </row>
    <row r="2696" spans="2:22" x14ac:dyDescent="0.15">
      <c r="B2696" s="1" t="str">
        <f>"157****4678"</f>
        <v>157****4678</v>
      </c>
      <c r="C2696" s="1" t="s">
        <v>23</v>
      </c>
      <c r="D2696" s="1" t="str">
        <f t="shared" si="272"/>
        <v>89177328</v>
      </c>
      <c r="E2696" s="1" t="s">
        <v>24</v>
      </c>
      <c r="F2696" s="1" t="str">
        <f t="shared" si="273"/>
        <v>0010</v>
      </c>
      <c r="G2696" s="1" t="str">
        <f>""</f>
        <v/>
      </c>
      <c r="H2696" s="1" t="str">
        <f>"0032"</f>
        <v>0032</v>
      </c>
      <c r="I2696" s="1" t="s">
        <v>119</v>
      </c>
      <c r="J2696" s="1" t="str">
        <f>"01043977566"</f>
        <v>01043977566</v>
      </c>
      <c r="K2696" s="1" t="str">
        <f>"2017-03-19 09:26:26"</f>
        <v>2017-03-19 09:26:26</v>
      </c>
      <c r="L2696" s="1" t="str">
        <f>"-"</f>
        <v>-</v>
      </c>
      <c r="M2696" s="2">
        <v>0</v>
      </c>
      <c r="N2696" s="1" t="s">
        <v>33</v>
      </c>
      <c r="O2696" s="1" t="s">
        <v>34</v>
      </c>
      <c r="P2696" s="2">
        <v>1.0416666666666667E-4</v>
      </c>
      <c r="Q2696" s="1" t="str">
        <f>""</f>
        <v/>
      </c>
      <c r="R2696" s="1">
        <v>0</v>
      </c>
      <c r="S2696" s="1" t="str">
        <f>""</f>
        <v/>
      </c>
      <c r="T2696" s="1" t="s">
        <v>29</v>
      </c>
      <c r="U2696" s="1" t="s">
        <v>30</v>
      </c>
      <c r="V2696" s="1">
        <v>0</v>
      </c>
    </row>
    <row r="2697" spans="2:22" x14ac:dyDescent="0.15">
      <c r="B2697" s="1" t="str">
        <f>"188****7867"</f>
        <v>188****7867</v>
      </c>
      <c r="C2697" s="1" t="s">
        <v>23</v>
      </c>
      <c r="D2697" s="1" t="str">
        <f t="shared" si="272"/>
        <v>89177328</v>
      </c>
      <c r="E2697" s="1" t="s">
        <v>24</v>
      </c>
      <c r="F2697" s="1" t="str">
        <f t="shared" si="273"/>
        <v>0010</v>
      </c>
      <c r="G2697" s="1" t="str">
        <f>""</f>
        <v/>
      </c>
      <c r="H2697" s="1" t="str">
        <f>"0018"</f>
        <v>0018</v>
      </c>
      <c r="I2697" s="1" t="s">
        <v>36</v>
      </c>
      <c r="J2697" s="1" t="str">
        <f>"01043989718"</f>
        <v>01043989718</v>
      </c>
      <c r="K2697" s="1" t="str">
        <f>"2017-03-19 09:24:35"</f>
        <v>2017-03-19 09:24:35</v>
      </c>
      <c r="L2697" s="1" t="str">
        <f>"-"</f>
        <v>-</v>
      </c>
      <c r="M2697" s="2">
        <v>0</v>
      </c>
      <c r="N2697" s="1" t="s">
        <v>33</v>
      </c>
      <c r="O2697" s="1" t="s">
        <v>34</v>
      </c>
      <c r="P2697" s="2">
        <v>1.0416666666666667E-4</v>
      </c>
      <c r="Q2697" s="1" t="str">
        <f>""</f>
        <v/>
      </c>
      <c r="R2697" s="1">
        <v>0</v>
      </c>
      <c r="S2697" s="1" t="str">
        <f>""</f>
        <v/>
      </c>
      <c r="T2697" s="1" t="s">
        <v>29</v>
      </c>
      <c r="U2697" s="1" t="s">
        <v>30</v>
      </c>
      <c r="V2697" s="1">
        <v>0</v>
      </c>
    </row>
    <row r="2698" spans="2:22" x14ac:dyDescent="0.15">
      <c r="B2698" s="1" t="str">
        <f>"133****8381"</f>
        <v>133****8381</v>
      </c>
      <c r="C2698" s="1" t="s">
        <v>102</v>
      </c>
      <c r="D2698" s="1" t="str">
        <f t="shared" si="272"/>
        <v>89177328</v>
      </c>
      <c r="E2698" s="1" t="s">
        <v>24</v>
      </c>
      <c r="F2698" s="1" t="str">
        <f t="shared" si="273"/>
        <v>0010</v>
      </c>
      <c r="G2698" s="1" t="str">
        <f>""</f>
        <v/>
      </c>
      <c r="H2698" s="1" t="str">
        <f>"0010"</f>
        <v>0010</v>
      </c>
      <c r="I2698" s="1" t="s">
        <v>71</v>
      </c>
      <c r="J2698" s="1" t="str">
        <f>"01043989719"</f>
        <v>01043989719</v>
      </c>
      <c r="K2698" s="1" t="str">
        <f>"2017-03-19 09:24:13"</f>
        <v>2017-03-19 09:24:13</v>
      </c>
      <c r="L2698" s="1" t="str">
        <f>"2017-03-19 09:24:21"</f>
        <v>2017-03-19 09:24:21</v>
      </c>
      <c r="M2698" s="2">
        <v>3.414351851851852E-3</v>
      </c>
      <c r="N2698" s="1" t="s">
        <v>26</v>
      </c>
      <c r="O2698" s="1" t="s">
        <v>27</v>
      </c>
      <c r="P2698" s="2">
        <v>3.5069444444444445E-3</v>
      </c>
      <c r="Q2698" s="1" t="s">
        <v>1938</v>
      </c>
      <c r="R2698" s="1">
        <v>0</v>
      </c>
      <c r="S2698" s="1" t="str">
        <f>""</f>
        <v/>
      </c>
      <c r="T2698" s="1" t="s">
        <v>29</v>
      </c>
      <c r="U2698" s="1" t="s">
        <v>30</v>
      </c>
      <c r="V2698" s="1">
        <v>0</v>
      </c>
    </row>
    <row r="2699" spans="2:22" x14ac:dyDescent="0.15">
      <c r="B2699" s="1" t="str">
        <f>"183****4280"</f>
        <v>183****4280</v>
      </c>
      <c r="C2699" s="1" t="s">
        <v>23</v>
      </c>
      <c r="D2699" s="1" t="str">
        <f t="shared" si="272"/>
        <v>89177328</v>
      </c>
      <c r="E2699" s="1" t="s">
        <v>24</v>
      </c>
      <c r="F2699" s="1" t="str">
        <f t="shared" si="273"/>
        <v>0010</v>
      </c>
      <c r="G2699" s="1" t="str">
        <f>""</f>
        <v/>
      </c>
      <c r="H2699" s="1" t="str">
        <f>"0010"</f>
        <v>0010</v>
      </c>
      <c r="I2699" s="1" t="s">
        <v>71</v>
      </c>
      <c r="J2699" s="1" t="str">
        <f>"01043989719"</f>
        <v>01043989719</v>
      </c>
      <c r="K2699" s="1" t="str">
        <f>"2017-03-19 09:20:19"</f>
        <v>2017-03-19 09:20:19</v>
      </c>
      <c r="L2699" s="1" t="str">
        <f>"-"</f>
        <v>-</v>
      </c>
      <c r="M2699" s="2">
        <v>0</v>
      </c>
      <c r="N2699" s="1" t="s">
        <v>33</v>
      </c>
      <c r="O2699" s="1" t="s">
        <v>34</v>
      </c>
      <c r="P2699" s="2">
        <v>4.6296296296296294E-5</v>
      </c>
      <c r="Q2699" s="1" t="str">
        <f>""</f>
        <v/>
      </c>
      <c r="R2699" s="1">
        <v>0</v>
      </c>
      <c r="S2699" s="1" t="str">
        <f>""</f>
        <v/>
      </c>
      <c r="T2699" s="1" t="s">
        <v>29</v>
      </c>
      <c r="U2699" s="1" t="s">
        <v>30</v>
      </c>
      <c r="V2699" s="1">
        <v>0</v>
      </c>
    </row>
    <row r="2700" spans="2:22" x14ac:dyDescent="0.15">
      <c r="B2700" s="1" t="str">
        <f>"157****4678"</f>
        <v>157****4678</v>
      </c>
      <c r="C2700" s="1" t="s">
        <v>23</v>
      </c>
      <c r="D2700" s="1" t="str">
        <f t="shared" si="272"/>
        <v>89177328</v>
      </c>
      <c r="E2700" s="1" t="s">
        <v>24</v>
      </c>
      <c r="F2700" s="1" t="str">
        <f t="shared" si="273"/>
        <v>0010</v>
      </c>
      <c r="G2700" s="1" t="str">
        <f>""</f>
        <v/>
      </c>
      <c r="H2700" s="1" t="str">
        <f>"0010"</f>
        <v>0010</v>
      </c>
      <c r="I2700" s="1" t="s">
        <v>71</v>
      </c>
      <c r="J2700" s="1" t="str">
        <f>"01043989719"</f>
        <v>01043989719</v>
      </c>
      <c r="K2700" s="1" t="str">
        <f>"2017-03-19 09:19:33"</f>
        <v>2017-03-19 09:19:33</v>
      </c>
      <c r="L2700" s="1" t="str">
        <f>"-"</f>
        <v>-</v>
      </c>
      <c r="M2700" s="2">
        <v>0</v>
      </c>
      <c r="N2700" s="1" t="s">
        <v>33</v>
      </c>
      <c r="O2700" s="1" t="s">
        <v>34</v>
      </c>
      <c r="P2700" s="2">
        <v>9.2592592592592588E-5</v>
      </c>
      <c r="Q2700" s="1" t="str">
        <f>""</f>
        <v/>
      </c>
      <c r="R2700" s="1">
        <v>0</v>
      </c>
      <c r="S2700" s="1" t="str">
        <f>""</f>
        <v/>
      </c>
      <c r="T2700" s="1" t="s">
        <v>29</v>
      </c>
      <c r="U2700" s="1" t="s">
        <v>30</v>
      </c>
      <c r="V2700" s="1">
        <v>0</v>
      </c>
    </row>
    <row r="2701" spans="2:22" x14ac:dyDescent="0.15">
      <c r="B2701" s="1" t="str">
        <f>"099****2651"</f>
        <v>099****2651</v>
      </c>
      <c r="C2701" s="1" t="s">
        <v>785</v>
      </c>
      <c r="D2701" s="1" t="str">
        <f t="shared" si="272"/>
        <v>89177328</v>
      </c>
      <c r="E2701" s="1" t="s">
        <v>24</v>
      </c>
      <c r="F2701" s="1" t="str">
        <f t="shared" si="273"/>
        <v>0010</v>
      </c>
      <c r="G2701" s="1" t="str">
        <f>""</f>
        <v/>
      </c>
      <c r="H2701" s="1" t="str">
        <f>"0017"</f>
        <v>0017</v>
      </c>
      <c r="I2701" s="1" t="s">
        <v>135</v>
      </c>
      <c r="J2701" s="1" t="str">
        <f>"01043989717"</f>
        <v>01043989717</v>
      </c>
      <c r="K2701" s="1" t="str">
        <f>"2017-03-19 08:35:41"</f>
        <v>2017-03-19 08:35:41</v>
      </c>
      <c r="L2701" s="1" t="str">
        <f>"2017-03-19 08:38:07"</f>
        <v>2017-03-19 08:38:07</v>
      </c>
      <c r="M2701" s="2">
        <v>3.5104166666666665E-2</v>
      </c>
      <c r="N2701" s="1" t="s">
        <v>26</v>
      </c>
      <c r="O2701" s="1" t="s">
        <v>27</v>
      </c>
      <c r="P2701" s="2">
        <v>3.6793981481481483E-2</v>
      </c>
      <c r="Q2701" s="1" t="s">
        <v>1939</v>
      </c>
      <c r="R2701" s="1">
        <v>0</v>
      </c>
      <c r="S2701" s="1" t="str">
        <f>""</f>
        <v/>
      </c>
      <c r="T2701" s="1" t="s">
        <v>29</v>
      </c>
      <c r="U2701" s="1" t="s">
        <v>30</v>
      </c>
      <c r="V2701" s="1">
        <v>0</v>
      </c>
    </row>
    <row r="2702" spans="2:22" x14ac:dyDescent="0.15">
      <c r="B2702" s="1" t="str">
        <f>"138****1431"</f>
        <v>138****1431</v>
      </c>
      <c r="C2702" s="1" t="s">
        <v>23</v>
      </c>
      <c r="D2702" s="1" t="str">
        <f t="shared" si="272"/>
        <v>89177328</v>
      </c>
      <c r="E2702" s="1" t="s">
        <v>24</v>
      </c>
      <c r="F2702" s="1" t="str">
        <f t="shared" si="273"/>
        <v>0010</v>
      </c>
      <c r="G2702" s="1" t="str">
        <f>""</f>
        <v/>
      </c>
      <c r="H2702" s="1" t="str">
        <f>"0017"</f>
        <v>0017</v>
      </c>
      <c r="I2702" s="1" t="s">
        <v>135</v>
      </c>
      <c r="J2702" s="1" t="str">
        <f>"01043989717"</f>
        <v>01043989717</v>
      </c>
      <c r="K2702" s="1" t="str">
        <f>"2017-03-19 08:33:34"</f>
        <v>2017-03-19 08:33:34</v>
      </c>
      <c r="L2702" s="1" t="str">
        <f>"2017-03-19 08:33:38"</f>
        <v>2017-03-19 08:33:38</v>
      </c>
      <c r="M2702" s="2">
        <v>3.0671296296296297E-3</v>
      </c>
      <c r="N2702" s="1" t="s">
        <v>26</v>
      </c>
      <c r="O2702" s="1" t="s">
        <v>27</v>
      </c>
      <c r="P2702" s="2">
        <v>3.1134259259259257E-3</v>
      </c>
      <c r="Q2702" s="1" t="s">
        <v>1940</v>
      </c>
      <c r="R2702" s="1">
        <v>0</v>
      </c>
      <c r="S2702" s="1" t="str">
        <f>""</f>
        <v/>
      </c>
      <c r="T2702" s="1" t="s">
        <v>29</v>
      </c>
      <c r="U2702" s="1" t="s">
        <v>30</v>
      </c>
      <c r="V2702" s="1">
        <v>0</v>
      </c>
    </row>
    <row r="2703" spans="2:22" x14ac:dyDescent="0.15">
      <c r="B2703" s="1" t="str">
        <f>"187****2192"</f>
        <v>187****2192</v>
      </c>
      <c r="C2703" s="1" t="s">
        <v>44</v>
      </c>
      <c r="D2703" s="1" t="str">
        <f t="shared" si="272"/>
        <v>89177328</v>
      </c>
      <c r="E2703" s="1" t="s">
        <v>24</v>
      </c>
      <c r="F2703" s="1" t="str">
        <f t="shared" si="273"/>
        <v>0010</v>
      </c>
      <c r="G2703" s="1" t="str">
        <f>""</f>
        <v/>
      </c>
      <c r="H2703" s="1" t="str">
        <f>"0018"</f>
        <v>0018</v>
      </c>
      <c r="I2703" s="1" t="s">
        <v>36</v>
      </c>
      <c r="J2703" s="1" t="str">
        <f>"01043989718"</f>
        <v>01043989718</v>
      </c>
      <c r="K2703" s="1" t="str">
        <f>"2017-03-19 08:30:36"</f>
        <v>2017-03-19 08:30:36</v>
      </c>
      <c r="L2703" s="1" t="str">
        <f>"2017-03-19 08:30:42"</f>
        <v>2017-03-19 08:30:42</v>
      </c>
      <c r="M2703" s="2">
        <v>7.6041666666666662E-3</v>
      </c>
      <c r="N2703" s="1" t="s">
        <v>26</v>
      </c>
      <c r="O2703" s="1" t="s">
        <v>34</v>
      </c>
      <c r="P2703" s="2">
        <v>7.6736111111111111E-3</v>
      </c>
      <c r="Q2703" s="1" t="s">
        <v>1941</v>
      </c>
      <c r="R2703" s="1">
        <v>0</v>
      </c>
      <c r="S2703" s="1" t="str">
        <f>""</f>
        <v/>
      </c>
      <c r="T2703" s="1" t="s">
        <v>29</v>
      </c>
      <c r="U2703" s="1" t="s">
        <v>30</v>
      </c>
      <c r="V2703" s="1">
        <v>0</v>
      </c>
    </row>
    <row r="2704" spans="2:22" x14ac:dyDescent="0.15">
      <c r="B2704" s="1" t="str">
        <f>"186****5392"</f>
        <v>186****5392</v>
      </c>
      <c r="C2704" s="1" t="s">
        <v>23</v>
      </c>
      <c r="D2704" s="1" t="str">
        <f t="shared" si="272"/>
        <v>89177328</v>
      </c>
      <c r="E2704" s="1" t="s">
        <v>24</v>
      </c>
      <c r="F2704" s="1" t="str">
        <f t="shared" si="273"/>
        <v>0010</v>
      </c>
      <c r="G2704" s="1" t="str">
        <f>""</f>
        <v/>
      </c>
      <c r="H2704" s="1" t="str">
        <f>"0017"</f>
        <v>0017</v>
      </c>
      <c r="I2704" s="1" t="s">
        <v>135</v>
      </c>
      <c r="J2704" s="1" t="str">
        <f>"01043989717"</f>
        <v>01043989717</v>
      </c>
      <c r="K2704" s="1" t="str">
        <f>"2017-03-19 08:29:01"</f>
        <v>2017-03-19 08:29:01</v>
      </c>
      <c r="L2704" s="1" t="str">
        <f>"2017-03-19 08:29:10"</f>
        <v>2017-03-19 08:29:10</v>
      </c>
      <c r="M2704" s="2">
        <v>2.4189814814814816E-3</v>
      </c>
      <c r="N2704" s="1" t="s">
        <v>26</v>
      </c>
      <c r="O2704" s="1" t="s">
        <v>27</v>
      </c>
      <c r="P2704" s="2">
        <v>2.5231481481481481E-3</v>
      </c>
      <c r="Q2704" s="1" t="s">
        <v>1942</v>
      </c>
      <c r="R2704" s="1">
        <v>0</v>
      </c>
      <c r="S2704" s="1" t="str">
        <f>""</f>
        <v/>
      </c>
      <c r="T2704" s="1" t="s">
        <v>29</v>
      </c>
      <c r="U2704" s="1" t="s">
        <v>30</v>
      </c>
      <c r="V2704" s="1">
        <v>0</v>
      </c>
    </row>
    <row r="2705" spans="2:22" x14ac:dyDescent="0.15">
      <c r="B2705" s="1" t="str">
        <f>"186****2640"</f>
        <v>186****2640</v>
      </c>
      <c r="C2705" s="1" t="s">
        <v>126</v>
      </c>
      <c r="D2705" s="1" t="str">
        <f t="shared" si="272"/>
        <v>89177328</v>
      </c>
      <c r="E2705" s="1" t="s">
        <v>24</v>
      </c>
      <c r="F2705" s="1" t="str">
        <f t="shared" si="273"/>
        <v>0010</v>
      </c>
      <c r="G2705" s="1" t="str">
        <f>""</f>
        <v/>
      </c>
      <c r="H2705" s="1" t="str">
        <f>"0010"</f>
        <v>0010</v>
      </c>
      <c r="I2705" s="1" t="s">
        <v>71</v>
      </c>
      <c r="J2705" s="1" t="str">
        <f>"01043989719"</f>
        <v>01043989719</v>
      </c>
      <c r="K2705" s="1" t="str">
        <f>"2017-03-19 08:24:51"</f>
        <v>2017-03-19 08:24:51</v>
      </c>
      <c r="L2705" s="1" t="str">
        <f>"2017-03-19 08:25:01"</f>
        <v>2017-03-19 08:25:01</v>
      </c>
      <c r="M2705" s="2">
        <v>1.0717592592592593E-2</v>
      </c>
      <c r="N2705" s="1" t="s">
        <v>26</v>
      </c>
      <c r="O2705" s="1" t="s">
        <v>34</v>
      </c>
      <c r="P2705" s="2">
        <v>1.0833333333333334E-2</v>
      </c>
      <c r="Q2705" s="1" t="s">
        <v>1943</v>
      </c>
      <c r="R2705" s="1">
        <v>0</v>
      </c>
      <c r="S2705" s="1" t="str">
        <f>""</f>
        <v/>
      </c>
      <c r="T2705" s="1" t="s">
        <v>29</v>
      </c>
      <c r="U2705" s="1" t="s">
        <v>30</v>
      </c>
      <c r="V2705" s="1">
        <v>0</v>
      </c>
    </row>
    <row r="2706" spans="2:22" x14ac:dyDescent="0.15">
      <c r="B2706" s="1" t="str">
        <f>"156****0988"</f>
        <v>156****0988</v>
      </c>
      <c r="C2706" s="1" t="s">
        <v>205</v>
      </c>
      <c r="D2706" s="1" t="str">
        <f t="shared" si="272"/>
        <v>89177328</v>
      </c>
      <c r="E2706" s="1" t="s">
        <v>24</v>
      </c>
      <c r="F2706" s="1" t="str">
        <f t="shared" si="273"/>
        <v>0010</v>
      </c>
      <c r="G2706" s="1" t="str">
        <f>""</f>
        <v/>
      </c>
      <c r="H2706" s="1" t="str">
        <f>"0018"</f>
        <v>0018</v>
      </c>
      <c r="I2706" s="1" t="s">
        <v>36</v>
      </c>
      <c r="J2706" s="1" t="str">
        <f>"01043989718"</f>
        <v>01043989718</v>
      </c>
      <c r="K2706" s="1" t="str">
        <f>"2017-03-19 08:05:54"</f>
        <v>2017-03-19 08:05:54</v>
      </c>
      <c r="L2706" s="1" t="str">
        <f>"2017-03-19 08:06:01"</f>
        <v>2017-03-19 08:06:01</v>
      </c>
      <c r="M2706" s="2">
        <v>1.0925925925925924E-2</v>
      </c>
      <c r="N2706" s="1" t="s">
        <v>26</v>
      </c>
      <c r="O2706" s="1" t="s">
        <v>34</v>
      </c>
      <c r="P2706" s="2">
        <v>1.1006944444444444E-2</v>
      </c>
      <c r="Q2706" s="1" t="s">
        <v>1944</v>
      </c>
      <c r="R2706" s="1">
        <v>0</v>
      </c>
      <c r="S2706" s="1" t="str">
        <f>""</f>
        <v/>
      </c>
      <c r="T2706" s="1" t="s">
        <v>29</v>
      </c>
      <c r="U2706" s="1" t="s">
        <v>30</v>
      </c>
      <c r="V2706" s="1">
        <v>0</v>
      </c>
    </row>
    <row r="2707" spans="2:22" x14ac:dyDescent="0.15">
      <c r="B2707" s="1" t="str">
        <f>"138****9266"</f>
        <v>138****9266</v>
      </c>
      <c r="C2707" s="1" t="s">
        <v>35</v>
      </c>
      <c r="D2707" s="1" t="str">
        <f>"4000108333"</f>
        <v>4000108333</v>
      </c>
      <c r="E2707" s="1" t="s">
        <v>53</v>
      </c>
      <c r="F2707" s="1" t="str">
        <f>"333"</f>
        <v>333</v>
      </c>
      <c r="G2707" s="1" t="s">
        <v>952</v>
      </c>
      <c r="H2707" s="1" t="str">
        <f>""</f>
        <v/>
      </c>
      <c r="I2707" s="1" t="str">
        <f>""</f>
        <v/>
      </c>
      <c r="J2707" s="1" t="str">
        <f>"13718091869"</f>
        <v>13718091869</v>
      </c>
      <c r="K2707" s="1" t="str">
        <f>"2017-03-18 20:17:41"</f>
        <v>2017-03-18 20:17:41</v>
      </c>
      <c r="L2707" s="1" t="str">
        <f>"2017-03-18 20:18:18"</f>
        <v>2017-03-18 20:18:18</v>
      </c>
      <c r="M2707" s="2">
        <v>8.0439814814814818E-3</v>
      </c>
      <c r="N2707" s="1" t="s">
        <v>26</v>
      </c>
      <c r="O2707" s="1" t="s">
        <v>34</v>
      </c>
      <c r="P2707" s="2">
        <v>8.4722222222222213E-3</v>
      </c>
      <c r="Q2707" s="1" t="s">
        <v>1945</v>
      </c>
      <c r="R2707" s="1">
        <v>1.56</v>
      </c>
      <c r="S2707" s="1" t="str">
        <f>""</f>
        <v/>
      </c>
      <c r="T2707" s="1" t="s">
        <v>29</v>
      </c>
      <c r="U2707" s="1" t="s">
        <v>30</v>
      </c>
      <c r="V2707" s="1">
        <v>0</v>
      </c>
    </row>
    <row r="2708" spans="2:22" x14ac:dyDescent="0.15">
      <c r="B2708" s="1" t="str">
        <f>"139****2671"</f>
        <v>139****2671</v>
      </c>
      <c r="C2708" s="1" t="s">
        <v>23</v>
      </c>
      <c r="D2708" s="1" t="str">
        <f>"89177328"</f>
        <v>89177328</v>
      </c>
      <c r="E2708" s="1" t="s">
        <v>24</v>
      </c>
      <c r="F2708" s="1" t="str">
        <f>"0010"</f>
        <v>0010</v>
      </c>
      <c r="G2708" s="1" t="str">
        <f>""</f>
        <v/>
      </c>
      <c r="H2708" s="1" t="str">
        <f>"0033"</f>
        <v>0033</v>
      </c>
      <c r="I2708" s="1" t="s">
        <v>106</v>
      </c>
      <c r="J2708" s="1" t="str">
        <f>"01043977567"</f>
        <v>01043977567</v>
      </c>
      <c r="K2708" s="1" t="str">
        <f>"2017-03-18 20:05:41"</f>
        <v>2017-03-18 20:05:41</v>
      </c>
      <c r="L2708" s="1" t="str">
        <f>"2017-03-18 20:05:49"</f>
        <v>2017-03-18 20:05:49</v>
      </c>
      <c r="M2708" s="2">
        <v>4.155092592592593E-3</v>
      </c>
      <c r="N2708" s="1" t="s">
        <v>26</v>
      </c>
      <c r="O2708" s="1" t="s">
        <v>27</v>
      </c>
      <c r="P2708" s="2">
        <v>4.2476851851851851E-3</v>
      </c>
      <c r="Q2708" s="1" t="s">
        <v>1946</v>
      </c>
      <c r="R2708" s="1">
        <v>0</v>
      </c>
      <c r="S2708" s="1" t="str">
        <f>""</f>
        <v/>
      </c>
      <c r="T2708" s="1" t="s">
        <v>29</v>
      </c>
      <c r="U2708" s="1" t="s">
        <v>30</v>
      </c>
      <c r="V2708" s="1">
        <v>0</v>
      </c>
    </row>
    <row r="2709" spans="2:22" x14ac:dyDescent="0.15">
      <c r="B2709" s="1" t="str">
        <f>"186****5522"</f>
        <v>186****5522</v>
      </c>
      <c r="C2709" s="1" t="s">
        <v>76</v>
      </c>
      <c r="D2709" s="1" t="str">
        <f>"89177328"</f>
        <v>89177328</v>
      </c>
      <c r="E2709" s="1" t="s">
        <v>24</v>
      </c>
      <c r="F2709" s="1" t="str">
        <f>"0010"</f>
        <v>0010</v>
      </c>
      <c r="G2709" s="1" t="str">
        <f>""</f>
        <v/>
      </c>
      <c r="H2709" s="1" t="str">
        <f>"0018"</f>
        <v>0018</v>
      </c>
      <c r="I2709" s="1" t="s">
        <v>36</v>
      </c>
      <c r="J2709" s="1" t="str">
        <f>"01043989718"</f>
        <v>01043989718</v>
      </c>
      <c r="K2709" s="1" t="str">
        <f>"2017-03-18 18:30:00"</f>
        <v>2017-03-18 18:30:00</v>
      </c>
      <c r="L2709" s="1" t="str">
        <f>"2017-03-18 18:30:09"</f>
        <v>2017-03-18 18:30:09</v>
      </c>
      <c r="M2709" s="2">
        <v>4.409722222222222E-3</v>
      </c>
      <c r="N2709" s="1" t="s">
        <v>26</v>
      </c>
      <c r="O2709" s="1" t="s">
        <v>34</v>
      </c>
      <c r="P2709" s="2">
        <v>4.5138888888888893E-3</v>
      </c>
      <c r="Q2709" s="1" t="s">
        <v>1947</v>
      </c>
      <c r="R2709" s="1">
        <v>0</v>
      </c>
      <c r="S2709" s="1" t="str">
        <f>""</f>
        <v/>
      </c>
      <c r="T2709" s="1" t="s">
        <v>29</v>
      </c>
      <c r="U2709" s="1" t="s">
        <v>30</v>
      </c>
      <c r="V2709" s="1">
        <v>0</v>
      </c>
    </row>
    <row r="2710" spans="2:22" x14ac:dyDescent="0.15">
      <c r="B2710" s="1" t="str">
        <f>"183****4280"</f>
        <v>183****4280</v>
      </c>
      <c r="C2710" s="1" t="s">
        <v>23</v>
      </c>
      <c r="D2710" s="1" t="str">
        <f>"89177328"</f>
        <v>89177328</v>
      </c>
      <c r="E2710" s="1" t="s">
        <v>24</v>
      </c>
      <c r="F2710" s="1" t="str">
        <f>"0010"</f>
        <v>0010</v>
      </c>
      <c r="G2710" s="1" t="str">
        <f>""</f>
        <v/>
      </c>
      <c r="H2710" s="1" t="str">
        <f>"0018"</f>
        <v>0018</v>
      </c>
      <c r="I2710" s="1" t="s">
        <v>36</v>
      </c>
      <c r="J2710" s="1" t="str">
        <f>"01043989718"</f>
        <v>01043989718</v>
      </c>
      <c r="K2710" s="1" t="str">
        <f>"2017-03-18 18:25:08"</f>
        <v>2017-03-18 18:25:08</v>
      </c>
      <c r="L2710" s="1" t="str">
        <f>"-"</f>
        <v>-</v>
      </c>
      <c r="M2710" s="2">
        <v>0</v>
      </c>
      <c r="N2710" s="1" t="s">
        <v>33</v>
      </c>
      <c r="O2710" s="1" t="s">
        <v>34</v>
      </c>
      <c r="P2710" s="2">
        <v>1.5046296296296297E-4</v>
      </c>
      <c r="Q2710" s="1" t="str">
        <f>""</f>
        <v/>
      </c>
      <c r="R2710" s="1">
        <v>0</v>
      </c>
      <c r="S2710" s="1" t="str">
        <f>""</f>
        <v/>
      </c>
      <c r="T2710" s="1" t="s">
        <v>29</v>
      </c>
      <c r="U2710" s="1" t="s">
        <v>30</v>
      </c>
      <c r="V2710" s="1">
        <v>0</v>
      </c>
    </row>
    <row r="2711" spans="2:22" x14ac:dyDescent="0.15">
      <c r="B2711" s="1" t="str">
        <f>"134****3315"</f>
        <v>134****3315</v>
      </c>
      <c r="C2711" s="1" t="s">
        <v>99</v>
      </c>
      <c r="D2711" s="1" t="str">
        <f>"4000108333"</f>
        <v>4000108333</v>
      </c>
      <c r="E2711" s="1" t="s">
        <v>53</v>
      </c>
      <c r="F2711" s="1" t="str">
        <f>"0000"</f>
        <v>0000</v>
      </c>
      <c r="G2711" s="1" t="str">
        <f>""</f>
        <v/>
      </c>
      <c r="H2711" s="1" t="str">
        <f>"0033"</f>
        <v>0033</v>
      </c>
      <c r="I2711" s="1" t="s">
        <v>106</v>
      </c>
      <c r="J2711" s="1" t="str">
        <f>"01043977567"</f>
        <v>01043977567</v>
      </c>
      <c r="K2711" s="1" t="str">
        <f>"2017-03-18 17:39:20"</f>
        <v>2017-03-18 17:39:20</v>
      </c>
      <c r="L2711" s="1" t="str">
        <f>"2017-03-18 17:39:49"</f>
        <v>2017-03-18 17:39:49</v>
      </c>
      <c r="M2711" s="2">
        <v>1.2083333333333333E-2</v>
      </c>
      <c r="N2711" s="1" t="s">
        <v>26</v>
      </c>
      <c r="O2711" s="1" t="s">
        <v>27</v>
      </c>
      <c r="P2711" s="2">
        <v>1.2418981481481482E-2</v>
      </c>
      <c r="Q2711" s="1" t="s">
        <v>1948</v>
      </c>
      <c r="R2711" s="1">
        <v>2.16</v>
      </c>
      <c r="S2711" s="1" t="str">
        <f>""</f>
        <v/>
      </c>
      <c r="T2711" s="1" t="s">
        <v>29</v>
      </c>
      <c r="U2711" s="1" t="s">
        <v>30</v>
      </c>
      <c r="V2711" s="1">
        <v>0</v>
      </c>
    </row>
    <row r="2712" spans="2:22" x14ac:dyDescent="0.15">
      <c r="B2712" s="1" t="str">
        <f>"186****8073"</f>
        <v>186****8073</v>
      </c>
      <c r="C2712" s="1" t="s">
        <v>23</v>
      </c>
      <c r="D2712" s="1" t="str">
        <f>"89177328"</f>
        <v>89177328</v>
      </c>
      <c r="E2712" s="1" t="s">
        <v>24</v>
      </c>
      <c r="F2712" s="1" t="str">
        <f>"0010"</f>
        <v>0010</v>
      </c>
      <c r="G2712" s="1" t="str">
        <f>""</f>
        <v/>
      </c>
      <c r="H2712" s="1" t="str">
        <f>"0018"</f>
        <v>0018</v>
      </c>
      <c r="I2712" s="1" t="s">
        <v>36</v>
      </c>
      <c r="J2712" s="1" t="str">
        <f>"01043989718"</f>
        <v>01043989718</v>
      </c>
      <c r="K2712" s="1" t="str">
        <f>"2017-03-18 17:28:28"</f>
        <v>2017-03-18 17:28:28</v>
      </c>
      <c r="L2712" s="1" t="str">
        <f>"2017-03-18 17:28:37"</f>
        <v>2017-03-18 17:28:37</v>
      </c>
      <c r="M2712" s="2">
        <v>1.6319444444444445E-3</v>
      </c>
      <c r="N2712" s="1" t="s">
        <v>26</v>
      </c>
      <c r="O2712" s="1" t="s">
        <v>34</v>
      </c>
      <c r="P2712" s="2">
        <v>1.736111111111111E-3</v>
      </c>
      <c r="Q2712" s="1" t="s">
        <v>1949</v>
      </c>
      <c r="R2712" s="1">
        <v>0</v>
      </c>
      <c r="S2712" s="1" t="str">
        <f>""</f>
        <v/>
      </c>
      <c r="T2712" s="1" t="s">
        <v>29</v>
      </c>
      <c r="U2712" s="1" t="s">
        <v>30</v>
      </c>
      <c r="V2712" s="1">
        <v>0</v>
      </c>
    </row>
    <row r="2713" spans="2:22" x14ac:dyDescent="0.15">
      <c r="B2713" s="1" t="str">
        <f>"134****3315"</f>
        <v>134****3315</v>
      </c>
      <c r="C2713" s="1" t="s">
        <v>99</v>
      </c>
      <c r="D2713" s="1" t="str">
        <f>"4000108333"</f>
        <v>4000108333</v>
      </c>
      <c r="E2713" s="1" t="s">
        <v>53</v>
      </c>
      <c r="F2713" s="1" t="str">
        <f>"0000"</f>
        <v>0000</v>
      </c>
      <c r="G2713" s="1" t="str">
        <f>""</f>
        <v/>
      </c>
      <c r="H2713" s="1" t="str">
        <f>"0033"</f>
        <v>0033</v>
      </c>
      <c r="I2713" s="1" t="s">
        <v>106</v>
      </c>
      <c r="J2713" s="1" t="str">
        <f>"01043977567"</f>
        <v>01043977567</v>
      </c>
      <c r="K2713" s="1" t="str">
        <f>"2017-03-18 17:24:29"</f>
        <v>2017-03-18 17:24:29</v>
      </c>
      <c r="L2713" s="1" t="str">
        <f>"2017-03-18 17:24:58"</f>
        <v>2017-03-18 17:24:58</v>
      </c>
      <c r="M2713" s="2">
        <v>9.8263888888888897E-3</v>
      </c>
      <c r="N2713" s="1" t="s">
        <v>26</v>
      </c>
      <c r="O2713" s="1" t="s">
        <v>34</v>
      </c>
      <c r="P2713" s="2">
        <v>1.0162037037037037E-2</v>
      </c>
      <c r="Q2713" s="1" t="s">
        <v>1950</v>
      </c>
      <c r="R2713" s="1">
        <v>1.8</v>
      </c>
      <c r="S2713" s="1" t="str">
        <f>""</f>
        <v/>
      </c>
      <c r="T2713" s="1" t="s">
        <v>29</v>
      </c>
      <c r="U2713" s="1" t="s">
        <v>30</v>
      </c>
      <c r="V2713" s="1">
        <v>0</v>
      </c>
    </row>
    <row r="2714" spans="2:22" x14ac:dyDescent="0.15">
      <c r="B2714" s="1" t="str">
        <f>"135****5549"</f>
        <v>135****5549</v>
      </c>
      <c r="C2714" s="1" t="s">
        <v>23</v>
      </c>
      <c r="D2714" s="1" t="str">
        <f>"89177328"</f>
        <v>89177328</v>
      </c>
      <c r="E2714" s="1" t="s">
        <v>24</v>
      </c>
      <c r="F2714" s="1" t="str">
        <f>"0010"</f>
        <v>0010</v>
      </c>
      <c r="G2714" s="1" t="str">
        <f>""</f>
        <v/>
      </c>
      <c r="H2714" s="1" t="str">
        <f>"0035"</f>
        <v>0035</v>
      </c>
      <c r="I2714" s="1" t="s">
        <v>25</v>
      </c>
      <c r="J2714" s="1" t="str">
        <f>"01043977569"</f>
        <v>01043977569</v>
      </c>
      <c r="K2714" s="1" t="str">
        <f>"2017-03-18 17:10:17"</f>
        <v>2017-03-18 17:10:17</v>
      </c>
      <c r="L2714" s="1" t="str">
        <f>"2017-03-18 17:10:30"</f>
        <v>2017-03-18 17:10:30</v>
      </c>
      <c r="M2714" s="2">
        <v>7.175925925925927E-4</v>
      </c>
      <c r="N2714" s="1" t="s">
        <v>26</v>
      </c>
      <c r="O2714" s="1" t="s">
        <v>34</v>
      </c>
      <c r="P2714" s="2">
        <v>8.6805555555555551E-4</v>
      </c>
      <c r="Q2714" s="1" t="s">
        <v>1951</v>
      </c>
      <c r="R2714" s="1">
        <v>0</v>
      </c>
      <c r="S2714" s="1" t="str">
        <f>""</f>
        <v/>
      </c>
      <c r="T2714" s="1" t="s">
        <v>29</v>
      </c>
      <c r="U2714" s="1" t="s">
        <v>30</v>
      </c>
      <c r="V2714" s="1">
        <v>0</v>
      </c>
    </row>
    <row r="2715" spans="2:22" x14ac:dyDescent="0.15">
      <c r="B2715" s="1" t="str">
        <f>"139****5100"</f>
        <v>139****5100</v>
      </c>
      <c r="C2715" s="1" t="s">
        <v>23</v>
      </c>
      <c r="D2715" s="1" t="str">
        <f>"89177328"</f>
        <v>89177328</v>
      </c>
      <c r="E2715" s="1" t="s">
        <v>24</v>
      </c>
      <c r="F2715" s="1" t="str">
        <f>"0010"</f>
        <v>0010</v>
      </c>
      <c r="G2715" s="1" t="str">
        <f>""</f>
        <v/>
      </c>
      <c r="H2715" s="1" t="str">
        <f>"0012"</f>
        <v>0012</v>
      </c>
      <c r="I2715" s="1" t="s">
        <v>612</v>
      </c>
      <c r="J2715" s="1" t="str">
        <f>"01043989720"</f>
        <v>01043989720</v>
      </c>
      <c r="K2715" s="1" t="str">
        <f>"2017-03-18 17:03:52"</f>
        <v>2017-03-18 17:03:52</v>
      </c>
      <c r="L2715" s="1" t="str">
        <f>"2017-03-18 17:04:07"</f>
        <v>2017-03-18 17:04:07</v>
      </c>
      <c r="M2715" s="2">
        <v>1.8113425925925925E-2</v>
      </c>
      <c r="N2715" s="1" t="s">
        <v>26</v>
      </c>
      <c r="O2715" s="1" t="s">
        <v>34</v>
      </c>
      <c r="P2715" s="2">
        <v>1.8287037037037036E-2</v>
      </c>
      <c r="Q2715" s="1" t="s">
        <v>1952</v>
      </c>
      <c r="R2715" s="1">
        <v>0</v>
      </c>
      <c r="S2715" s="1" t="str">
        <f>""</f>
        <v/>
      </c>
      <c r="T2715" s="1" t="s">
        <v>29</v>
      </c>
      <c r="U2715" s="1" t="s">
        <v>30</v>
      </c>
      <c r="V2715" s="1">
        <v>0</v>
      </c>
    </row>
    <row r="2716" spans="2:22" x14ac:dyDescent="0.15">
      <c r="B2716" s="1" t="str">
        <f>"139****5100"</f>
        <v>139****5100</v>
      </c>
      <c r="C2716" s="1" t="s">
        <v>23</v>
      </c>
      <c r="D2716" s="1" t="str">
        <f>"89177328"</f>
        <v>89177328</v>
      </c>
      <c r="E2716" s="1" t="s">
        <v>24</v>
      </c>
      <c r="F2716" s="1" t="str">
        <f>"0010"</f>
        <v>0010</v>
      </c>
      <c r="G2716" s="1" t="str">
        <f>""</f>
        <v/>
      </c>
      <c r="H2716" s="1" t="str">
        <f>"0012"</f>
        <v>0012</v>
      </c>
      <c r="I2716" s="1" t="s">
        <v>612</v>
      </c>
      <c r="J2716" s="1" t="str">
        <f>"01043989720"</f>
        <v>01043989720</v>
      </c>
      <c r="K2716" s="1" t="str">
        <f>"2017-03-18 17:02:56"</f>
        <v>2017-03-18 17:02:56</v>
      </c>
      <c r="L2716" s="1" t="str">
        <f>"-"</f>
        <v>-</v>
      </c>
      <c r="M2716" s="2">
        <v>0</v>
      </c>
      <c r="N2716" s="1" t="s">
        <v>33</v>
      </c>
      <c r="O2716" s="1" t="s">
        <v>34</v>
      </c>
      <c r="P2716" s="2">
        <v>2.3148148148148147E-5</v>
      </c>
      <c r="Q2716" s="1" t="str">
        <f>""</f>
        <v/>
      </c>
      <c r="R2716" s="1">
        <v>0</v>
      </c>
      <c r="S2716" s="1" t="str">
        <f>""</f>
        <v/>
      </c>
      <c r="T2716" s="1" t="s">
        <v>29</v>
      </c>
      <c r="U2716" s="1" t="s">
        <v>30</v>
      </c>
      <c r="V2716" s="1">
        <v>0</v>
      </c>
    </row>
    <row r="2717" spans="2:22" x14ac:dyDescent="0.15">
      <c r="B2717" s="1" t="str">
        <f>"132****3361"</f>
        <v>132****3361</v>
      </c>
      <c r="C2717" s="1" t="s">
        <v>23</v>
      </c>
      <c r="D2717" s="1" t="str">
        <f>"89177328"</f>
        <v>89177328</v>
      </c>
      <c r="E2717" s="1" t="s">
        <v>24</v>
      </c>
      <c r="F2717" s="1" t="str">
        <f>"0010"</f>
        <v>0010</v>
      </c>
      <c r="G2717" s="1" t="str">
        <f>""</f>
        <v/>
      </c>
      <c r="H2717" s="1" t="str">
        <f>"0032"</f>
        <v>0032</v>
      </c>
      <c r="I2717" s="1" t="s">
        <v>119</v>
      </c>
      <c r="J2717" s="1" t="str">
        <f>"01043977566"</f>
        <v>01043977566</v>
      </c>
      <c r="K2717" s="1" t="str">
        <f>"2017-03-18 16:58:24"</f>
        <v>2017-03-18 16:58:24</v>
      </c>
      <c r="L2717" s="1" t="str">
        <f>"2017-03-18 16:58:34"</f>
        <v>2017-03-18 16:58:34</v>
      </c>
      <c r="M2717" s="2">
        <v>8.6805555555555559E-3</v>
      </c>
      <c r="N2717" s="1" t="s">
        <v>26</v>
      </c>
      <c r="O2717" s="1" t="s">
        <v>34</v>
      </c>
      <c r="P2717" s="2">
        <v>8.7962962962962968E-3</v>
      </c>
      <c r="Q2717" s="1" t="s">
        <v>1953</v>
      </c>
      <c r="R2717" s="1">
        <v>0</v>
      </c>
      <c r="S2717" s="1" t="str">
        <f>""</f>
        <v/>
      </c>
      <c r="T2717" s="1" t="s">
        <v>29</v>
      </c>
      <c r="U2717" s="1" t="s">
        <v>30</v>
      </c>
      <c r="V2717" s="1">
        <v>0</v>
      </c>
    </row>
    <row r="2718" spans="2:22" x14ac:dyDescent="0.15">
      <c r="B2718" s="1" t="str">
        <f>"185****8610"</f>
        <v>185****8610</v>
      </c>
      <c r="C2718" s="1" t="s">
        <v>23</v>
      </c>
      <c r="D2718" s="1" t="str">
        <f>"89177328"</f>
        <v>89177328</v>
      </c>
      <c r="E2718" s="1" t="s">
        <v>24</v>
      </c>
      <c r="F2718" s="1" t="str">
        <f>"0010"</f>
        <v>0010</v>
      </c>
      <c r="G2718" s="1" t="str">
        <f>""</f>
        <v/>
      </c>
      <c r="H2718" s="1" t="str">
        <f>"0018"</f>
        <v>0018</v>
      </c>
      <c r="I2718" s="1" t="s">
        <v>36</v>
      </c>
      <c r="J2718" s="1" t="str">
        <f>"01043989718"</f>
        <v>01043989718</v>
      </c>
      <c r="K2718" s="1" t="str">
        <f>"2017-03-18 16:56:21"</f>
        <v>2017-03-18 16:56:21</v>
      </c>
      <c r="L2718" s="1" t="str">
        <f>"2017-03-18 16:56:29"</f>
        <v>2017-03-18 16:56:29</v>
      </c>
      <c r="M2718" s="2">
        <v>1.7708333333333332E-3</v>
      </c>
      <c r="N2718" s="1" t="s">
        <v>26</v>
      </c>
      <c r="O2718" s="1" t="s">
        <v>34</v>
      </c>
      <c r="P2718" s="2">
        <v>1.8634259259259261E-3</v>
      </c>
      <c r="Q2718" s="1" t="s">
        <v>1954</v>
      </c>
      <c r="R2718" s="1">
        <v>0</v>
      </c>
      <c r="S2718" s="1" t="str">
        <f>""</f>
        <v/>
      </c>
      <c r="T2718" s="1" t="s">
        <v>29</v>
      </c>
      <c r="U2718" s="1" t="s">
        <v>30</v>
      </c>
      <c r="V2718" s="1">
        <v>0</v>
      </c>
    </row>
    <row r="2719" spans="2:22" x14ac:dyDescent="0.15">
      <c r="B2719" s="1" t="str">
        <f>"182****6635"</f>
        <v>182****6635</v>
      </c>
      <c r="C2719" s="1" t="s">
        <v>795</v>
      </c>
      <c r="D2719" s="1" t="str">
        <f>"4000108333"</f>
        <v>4000108333</v>
      </c>
      <c r="E2719" s="1" t="s">
        <v>53</v>
      </c>
      <c r="F2719" s="1" t="str">
        <f>"0000"</f>
        <v>0000</v>
      </c>
      <c r="G2719" s="1" t="str">
        <f>""</f>
        <v/>
      </c>
      <c r="H2719" s="1" t="str">
        <f>"0035"</f>
        <v>0035</v>
      </c>
      <c r="I2719" s="1" t="s">
        <v>25</v>
      </c>
      <c r="J2719" s="1" t="str">
        <f>"01043977569"</f>
        <v>01043977569</v>
      </c>
      <c r="K2719" s="1" t="str">
        <f>"2017-03-18 16:55:09"</f>
        <v>2017-03-18 16:55:09</v>
      </c>
      <c r="L2719" s="1" t="str">
        <f>"2017-03-18 16:55:42"</f>
        <v>2017-03-18 16:55:42</v>
      </c>
      <c r="M2719" s="2">
        <v>8.4953703703703701E-3</v>
      </c>
      <c r="N2719" s="1" t="s">
        <v>26</v>
      </c>
      <c r="O2719" s="1" t="s">
        <v>34</v>
      </c>
      <c r="P2719" s="2">
        <v>8.8773148148148153E-3</v>
      </c>
      <c r="Q2719" s="1" t="s">
        <v>1955</v>
      </c>
      <c r="R2719" s="1">
        <v>1.56</v>
      </c>
      <c r="S2719" s="1" t="str">
        <f>""</f>
        <v/>
      </c>
      <c r="T2719" s="1" t="s">
        <v>29</v>
      </c>
      <c r="U2719" s="1" t="s">
        <v>30</v>
      </c>
      <c r="V2719" s="1">
        <v>0</v>
      </c>
    </row>
    <row r="2720" spans="2:22" x14ac:dyDescent="0.15">
      <c r="B2720" s="1" t="str">
        <f>"185****8610"</f>
        <v>185****8610</v>
      </c>
      <c r="C2720" s="1" t="s">
        <v>23</v>
      </c>
      <c r="D2720" s="1" t="str">
        <f t="shared" ref="D2720:D2748" si="274">"89177328"</f>
        <v>89177328</v>
      </c>
      <c r="E2720" s="1" t="s">
        <v>24</v>
      </c>
      <c r="F2720" s="1" t="str">
        <f t="shared" ref="F2720:F2748" si="275">"0010"</f>
        <v>0010</v>
      </c>
      <c r="G2720" s="1" t="str">
        <f>""</f>
        <v/>
      </c>
      <c r="H2720" s="1" t="str">
        <f>"0017"</f>
        <v>0017</v>
      </c>
      <c r="I2720" s="1" t="s">
        <v>135</v>
      </c>
      <c r="J2720" s="1" t="str">
        <f>"01043989717"</f>
        <v>01043989717</v>
      </c>
      <c r="K2720" s="1" t="str">
        <f>"2017-03-18 16:54:14"</f>
        <v>2017-03-18 16:54:14</v>
      </c>
      <c r="L2720" s="1" t="str">
        <f>"-"</f>
        <v>-</v>
      </c>
      <c r="M2720" s="2">
        <v>0</v>
      </c>
      <c r="N2720" s="1" t="s">
        <v>33</v>
      </c>
      <c r="O2720" s="1" t="s">
        <v>34</v>
      </c>
      <c r="P2720" s="2">
        <v>2.3148148148148147E-5</v>
      </c>
      <c r="Q2720" s="1" t="str">
        <f>""</f>
        <v/>
      </c>
      <c r="R2720" s="1">
        <v>0</v>
      </c>
      <c r="S2720" s="1" t="str">
        <f>""</f>
        <v/>
      </c>
      <c r="T2720" s="1" t="s">
        <v>29</v>
      </c>
      <c r="U2720" s="1" t="s">
        <v>30</v>
      </c>
      <c r="V2720" s="1">
        <v>0</v>
      </c>
    </row>
    <row r="2721" spans="2:22" x14ac:dyDescent="0.15">
      <c r="B2721" s="1" t="str">
        <f>"156****9946"</f>
        <v>156****9946</v>
      </c>
      <c r="C2721" s="1" t="s">
        <v>23</v>
      </c>
      <c r="D2721" s="1" t="str">
        <f t="shared" si="274"/>
        <v>89177328</v>
      </c>
      <c r="E2721" s="1" t="s">
        <v>24</v>
      </c>
      <c r="F2721" s="1" t="str">
        <f t="shared" si="275"/>
        <v>0010</v>
      </c>
      <c r="G2721" s="1" t="str">
        <f>""</f>
        <v/>
      </c>
      <c r="H2721" s="1" t="str">
        <f>"0010"</f>
        <v>0010</v>
      </c>
      <c r="I2721" s="1" t="s">
        <v>71</v>
      </c>
      <c r="J2721" s="1" t="str">
        <f>"01043989719"</f>
        <v>01043989719</v>
      </c>
      <c r="K2721" s="1" t="str">
        <f>"2017-03-18 16:51:53"</f>
        <v>2017-03-18 16:51:53</v>
      </c>
      <c r="L2721" s="1" t="str">
        <f>"2017-03-18 16:52:01"</f>
        <v>2017-03-18 16:52:01</v>
      </c>
      <c r="M2721" s="2">
        <v>7.743055555555556E-3</v>
      </c>
      <c r="N2721" s="1" t="s">
        <v>26</v>
      </c>
      <c r="O2721" s="1" t="s">
        <v>27</v>
      </c>
      <c r="P2721" s="2">
        <v>7.8356481481481489E-3</v>
      </c>
      <c r="Q2721" s="1" t="s">
        <v>1956</v>
      </c>
      <c r="R2721" s="1">
        <v>0</v>
      </c>
      <c r="S2721" s="1" t="str">
        <f>""</f>
        <v/>
      </c>
      <c r="T2721" s="1" t="s">
        <v>29</v>
      </c>
      <c r="U2721" s="1" t="s">
        <v>30</v>
      </c>
      <c r="V2721" s="1">
        <v>0</v>
      </c>
    </row>
    <row r="2722" spans="2:22" x14ac:dyDescent="0.15">
      <c r="B2722" s="1" t="str">
        <f>"136****5358"</f>
        <v>136****5358</v>
      </c>
      <c r="C2722" s="1" t="s">
        <v>23</v>
      </c>
      <c r="D2722" s="1" t="str">
        <f t="shared" si="274"/>
        <v>89177328</v>
      </c>
      <c r="E2722" s="1" t="s">
        <v>24</v>
      </c>
      <c r="F2722" s="1" t="str">
        <f t="shared" si="275"/>
        <v>0010</v>
      </c>
      <c r="G2722" s="1" t="str">
        <f>""</f>
        <v/>
      </c>
      <c r="H2722" s="1" t="str">
        <f>"0018"</f>
        <v>0018</v>
      </c>
      <c r="I2722" s="1" t="s">
        <v>36</v>
      </c>
      <c r="J2722" s="1" t="str">
        <f>"01043989718"</f>
        <v>01043989718</v>
      </c>
      <c r="K2722" s="1" t="str">
        <f>"2017-03-18 16:51:04"</f>
        <v>2017-03-18 16:51:04</v>
      </c>
      <c r="L2722" s="1" t="str">
        <f>"2017-03-18 16:51:14"</f>
        <v>2017-03-18 16:51:14</v>
      </c>
      <c r="M2722" s="2">
        <v>2.1874999999999998E-3</v>
      </c>
      <c r="N2722" s="1" t="s">
        <v>26</v>
      </c>
      <c r="O2722" s="1" t="s">
        <v>34</v>
      </c>
      <c r="P2722" s="2">
        <v>2.3032407407407407E-3</v>
      </c>
      <c r="Q2722" s="1" t="s">
        <v>1957</v>
      </c>
      <c r="R2722" s="1">
        <v>0</v>
      </c>
      <c r="S2722" s="1" t="str">
        <f>""</f>
        <v/>
      </c>
      <c r="T2722" s="1" t="s">
        <v>29</v>
      </c>
      <c r="U2722" s="1" t="s">
        <v>30</v>
      </c>
      <c r="V2722" s="1">
        <v>0</v>
      </c>
    </row>
    <row r="2723" spans="2:22" x14ac:dyDescent="0.15">
      <c r="B2723" s="1" t="str">
        <f>"185****8610"</f>
        <v>185****8610</v>
      </c>
      <c r="C2723" s="1" t="s">
        <v>23</v>
      </c>
      <c r="D2723" s="1" t="str">
        <f t="shared" si="274"/>
        <v>89177328</v>
      </c>
      <c r="E2723" s="1" t="s">
        <v>24</v>
      </c>
      <c r="F2723" s="1" t="str">
        <f t="shared" si="275"/>
        <v>0010</v>
      </c>
      <c r="G2723" s="1" t="str">
        <f>""</f>
        <v/>
      </c>
      <c r="H2723" s="1" t="str">
        <f>"0010"</f>
        <v>0010</v>
      </c>
      <c r="I2723" s="1" t="s">
        <v>71</v>
      </c>
      <c r="J2723" s="1" t="str">
        <f>"01043989719"</f>
        <v>01043989719</v>
      </c>
      <c r="K2723" s="1" t="str">
        <f>"2017-03-18 16:38:39"</f>
        <v>2017-03-18 16:38:39</v>
      </c>
      <c r="L2723" s="1" t="str">
        <f>"2017-03-18 16:38:50"</f>
        <v>2017-03-18 16:38:50</v>
      </c>
      <c r="M2723" s="2">
        <v>3.2638888888888891E-3</v>
      </c>
      <c r="N2723" s="1" t="s">
        <v>26</v>
      </c>
      <c r="O2723" s="1" t="s">
        <v>27</v>
      </c>
      <c r="P2723" s="2">
        <v>3.3912037037037036E-3</v>
      </c>
      <c r="Q2723" s="1" t="s">
        <v>1958</v>
      </c>
      <c r="R2723" s="1">
        <v>0</v>
      </c>
      <c r="S2723" s="1" t="str">
        <f>""</f>
        <v/>
      </c>
      <c r="T2723" s="1" t="s">
        <v>29</v>
      </c>
      <c r="U2723" s="1" t="s">
        <v>30</v>
      </c>
      <c r="V2723" s="1">
        <v>0</v>
      </c>
    </row>
    <row r="2724" spans="2:22" x14ac:dyDescent="0.15">
      <c r="B2724" s="1" t="str">
        <f>"186****7633"</f>
        <v>186****7633</v>
      </c>
      <c r="C2724" s="1" t="s">
        <v>23</v>
      </c>
      <c r="D2724" s="1" t="str">
        <f t="shared" si="274"/>
        <v>89177328</v>
      </c>
      <c r="E2724" s="1" t="s">
        <v>24</v>
      </c>
      <c r="F2724" s="1" t="str">
        <f t="shared" si="275"/>
        <v>0010</v>
      </c>
      <c r="G2724" s="1" t="str">
        <f>""</f>
        <v/>
      </c>
      <c r="H2724" s="1" t="str">
        <f>"0018"</f>
        <v>0018</v>
      </c>
      <c r="I2724" s="1" t="s">
        <v>36</v>
      </c>
      <c r="J2724" s="1" t="str">
        <f>"01043989718"</f>
        <v>01043989718</v>
      </c>
      <c r="K2724" s="1" t="str">
        <f>"2017-03-18 16:32:05"</f>
        <v>2017-03-18 16:32:05</v>
      </c>
      <c r="L2724" s="1" t="str">
        <f>"2017-03-18 16:32:14"</f>
        <v>2017-03-18 16:32:14</v>
      </c>
      <c r="M2724" s="2">
        <v>5.9606481481481489E-3</v>
      </c>
      <c r="N2724" s="1" t="s">
        <v>26</v>
      </c>
      <c r="O2724" s="1" t="s">
        <v>34</v>
      </c>
      <c r="P2724" s="2">
        <v>6.0648148148148145E-3</v>
      </c>
      <c r="Q2724" s="1" t="s">
        <v>1959</v>
      </c>
      <c r="R2724" s="1">
        <v>0</v>
      </c>
      <c r="S2724" s="1" t="str">
        <f>""</f>
        <v/>
      </c>
      <c r="T2724" s="1" t="s">
        <v>29</v>
      </c>
      <c r="U2724" s="1" t="s">
        <v>30</v>
      </c>
      <c r="V2724" s="1">
        <v>0</v>
      </c>
    </row>
    <row r="2725" spans="2:22" x14ac:dyDescent="0.15">
      <c r="B2725" s="1" t="str">
        <f>"183****4280"</f>
        <v>183****4280</v>
      </c>
      <c r="C2725" s="1" t="s">
        <v>23</v>
      </c>
      <c r="D2725" s="1" t="str">
        <f t="shared" si="274"/>
        <v>89177328</v>
      </c>
      <c r="E2725" s="1" t="s">
        <v>24</v>
      </c>
      <c r="F2725" s="1" t="str">
        <f t="shared" si="275"/>
        <v>0010</v>
      </c>
      <c r="G2725" s="1" t="str">
        <f>""</f>
        <v/>
      </c>
      <c r="H2725" s="1" t="str">
        <f>"0018"</f>
        <v>0018</v>
      </c>
      <c r="I2725" s="1" t="s">
        <v>36</v>
      </c>
      <c r="J2725" s="1" t="str">
        <f>"01043989718"</f>
        <v>01043989718</v>
      </c>
      <c r="K2725" s="1" t="str">
        <f>"2017-03-18 16:29:41"</f>
        <v>2017-03-18 16:29:41</v>
      </c>
      <c r="L2725" s="1" t="str">
        <f>"-"</f>
        <v>-</v>
      </c>
      <c r="M2725" s="2">
        <v>0</v>
      </c>
      <c r="N2725" s="1" t="s">
        <v>33</v>
      </c>
      <c r="O2725" s="1" t="s">
        <v>34</v>
      </c>
      <c r="P2725" s="2">
        <v>1.0416666666666667E-4</v>
      </c>
      <c r="Q2725" s="1" t="str">
        <f>""</f>
        <v/>
      </c>
      <c r="R2725" s="1">
        <v>0</v>
      </c>
      <c r="S2725" s="1" t="str">
        <f>""</f>
        <v/>
      </c>
      <c r="T2725" s="1" t="s">
        <v>29</v>
      </c>
      <c r="U2725" s="1" t="s">
        <v>30</v>
      </c>
      <c r="V2725" s="1">
        <v>0</v>
      </c>
    </row>
    <row r="2726" spans="2:22" x14ac:dyDescent="0.15">
      <c r="B2726" s="1" t="str">
        <f>"185****1235"</f>
        <v>185****1235</v>
      </c>
      <c r="C2726" s="1" t="s">
        <v>23</v>
      </c>
      <c r="D2726" s="1" t="str">
        <f t="shared" si="274"/>
        <v>89177328</v>
      </c>
      <c r="E2726" s="1" t="s">
        <v>24</v>
      </c>
      <c r="F2726" s="1" t="str">
        <f t="shared" si="275"/>
        <v>0010</v>
      </c>
      <c r="G2726" s="1" t="str">
        <f>""</f>
        <v/>
      </c>
      <c r="H2726" s="1" t="str">
        <f>"0017"</f>
        <v>0017</v>
      </c>
      <c r="I2726" s="1" t="s">
        <v>135</v>
      </c>
      <c r="J2726" s="1" t="str">
        <f>"01043989717"</f>
        <v>01043989717</v>
      </c>
      <c r="K2726" s="1" t="str">
        <f>"2017-03-18 16:25:21"</f>
        <v>2017-03-18 16:25:21</v>
      </c>
      <c r="L2726" s="1" t="str">
        <f>"2017-03-18 16:25:52"</f>
        <v>2017-03-18 16:25:52</v>
      </c>
      <c r="M2726" s="2">
        <v>2.199074074074074E-4</v>
      </c>
      <c r="N2726" s="1" t="s">
        <v>26</v>
      </c>
      <c r="O2726" s="1" t="s">
        <v>34</v>
      </c>
      <c r="P2726" s="2">
        <v>5.7870370370370378E-4</v>
      </c>
      <c r="Q2726" s="1" t="s">
        <v>1960</v>
      </c>
      <c r="R2726" s="1">
        <v>0</v>
      </c>
      <c r="S2726" s="1" t="str">
        <f>""</f>
        <v/>
      </c>
      <c r="T2726" s="1" t="s">
        <v>29</v>
      </c>
      <c r="U2726" s="1" t="s">
        <v>30</v>
      </c>
      <c r="V2726" s="1">
        <v>0</v>
      </c>
    </row>
    <row r="2727" spans="2:22" x14ac:dyDescent="0.15">
      <c r="B2727" s="1" t="str">
        <f>"130****5656"</f>
        <v>130****5656</v>
      </c>
      <c r="C2727" s="1" t="s">
        <v>112</v>
      </c>
      <c r="D2727" s="1" t="str">
        <f t="shared" si="274"/>
        <v>89177328</v>
      </c>
      <c r="E2727" s="1" t="s">
        <v>24</v>
      </c>
      <c r="F2727" s="1" t="str">
        <f t="shared" si="275"/>
        <v>0010</v>
      </c>
      <c r="G2727" s="1" t="str">
        <f>""</f>
        <v/>
      </c>
      <c r="H2727" s="1" t="str">
        <f>"0033"</f>
        <v>0033</v>
      </c>
      <c r="I2727" s="1" t="s">
        <v>106</v>
      </c>
      <c r="J2727" s="1" t="str">
        <f>"01043977567"</f>
        <v>01043977567</v>
      </c>
      <c r="K2727" s="1" t="str">
        <f>"2017-03-18 16:25:08"</f>
        <v>2017-03-18 16:25:08</v>
      </c>
      <c r="L2727" s="1" t="str">
        <f>"2017-03-18 16:25:23"</f>
        <v>2017-03-18 16:25:23</v>
      </c>
      <c r="M2727" s="2">
        <v>1.3888888888888889E-4</v>
      </c>
      <c r="N2727" s="1" t="s">
        <v>26</v>
      </c>
      <c r="O2727" s="1" t="s">
        <v>27</v>
      </c>
      <c r="P2727" s="2">
        <v>3.1250000000000001E-4</v>
      </c>
      <c r="Q2727" s="1" t="s">
        <v>1961</v>
      </c>
      <c r="R2727" s="1">
        <v>0</v>
      </c>
      <c r="S2727" s="1" t="str">
        <f>""</f>
        <v/>
      </c>
      <c r="T2727" s="1" t="s">
        <v>29</v>
      </c>
      <c r="U2727" s="1" t="s">
        <v>30</v>
      </c>
      <c r="V2727" s="1">
        <v>0</v>
      </c>
    </row>
    <row r="2728" spans="2:22" x14ac:dyDescent="0.15">
      <c r="B2728" s="1" t="str">
        <f>"185****1235"</f>
        <v>185****1235</v>
      </c>
      <c r="C2728" s="1" t="s">
        <v>23</v>
      </c>
      <c r="D2728" s="1" t="str">
        <f t="shared" si="274"/>
        <v>89177328</v>
      </c>
      <c r="E2728" s="1" t="s">
        <v>24</v>
      </c>
      <c r="F2728" s="1" t="str">
        <f t="shared" si="275"/>
        <v>0010</v>
      </c>
      <c r="G2728" s="1" t="str">
        <f>""</f>
        <v/>
      </c>
      <c r="H2728" s="1" t="str">
        <f>"0012"</f>
        <v>0012</v>
      </c>
      <c r="I2728" s="1" t="s">
        <v>612</v>
      </c>
      <c r="J2728" s="1" t="str">
        <f>"01043989720"</f>
        <v>01043989720</v>
      </c>
      <c r="K2728" s="1" t="str">
        <f>"2017-03-18 16:20:25"</f>
        <v>2017-03-18 16:20:25</v>
      </c>
      <c r="L2728" s="1" t="str">
        <f>"2017-03-18 16:20:38"</f>
        <v>2017-03-18 16:20:38</v>
      </c>
      <c r="M2728" s="2">
        <v>2.3148148148148146E-4</v>
      </c>
      <c r="N2728" s="1" t="s">
        <v>26</v>
      </c>
      <c r="O2728" s="1" t="s">
        <v>34</v>
      </c>
      <c r="P2728" s="2">
        <v>3.8194444444444446E-4</v>
      </c>
      <c r="Q2728" s="1" t="s">
        <v>1962</v>
      </c>
      <c r="R2728" s="1">
        <v>0</v>
      </c>
      <c r="S2728" s="1" t="str">
        <f>""</f>
        <v/>
      </c>
      <c r="T2728" s="1" t="s">
        <v>29</v>
      </c>
      <c r="U2728" s="1" t="s">
        <v>30</v>
      </c>
      <c r="V2728" s="1">
        <v>0</v>
      </c>
    </row>
    <row r="2729" spans="2:22" x14ac:dyDescent="0.15">
      <c r="B2729" s="1" t="str">
        <f>"185****1235"</f>
        <v>185****1235</v>
      </c>
      <c r="C2729" s="1" t="s">
        <v>23</v>
      </c>
      <c r="D2729" s="1" t="str">
        <f t="shared" si="274"/>
        <v>89177328</v>
      </c>
      <c r="E2729" s="1" t="s">
        <v>24</v>
      </c>
      <c r="F2729" s="1" t="str">
        <f t="shared" si="275"/>
        <v>0010</v>
      </c>
      <c r="G2729" s="1" t="str">
        <f>""</f>
        <v/>
      </c>
      <c r="H2729" s="1" t="str">
        <f>"0032"</f>
        <v>0032</v>
      </c>
      <c r="I2729" s="1" t="s">
        <v>119</v>
      </c>
      <c r="J2729" s="1" t="str">
        <f>"01043977566"</f>
        <v>01043977566</v>
      </c>
      <c r="K2729" s="1" t="str">
        <f>"2017-03-18 16:13:07"</f>
        <v>2017-03-18 16:13:07</v>
      </c>
      <c r="L2729" s="1" t="str">
        <f>"2017-03-18 16:13:18"</f>
        <v>2017-03-18 16:13:18</v>
      </c>
      <c r="M2729" s="2">
        <v>7.5231481481481471E-4</v>
      </c>
      <c r="N2729" s="1" t="s">
        <v>26</v>
      </c>
      <c r="O2729" s="1" t="s">
        <v>34</v>
      </c>
      <c r="P2729" s="2">
        <v>8.7962962962962962E-4</v>
      </c>
      <c r="Q2729" s="1" t="s">
        <v>1963</v>
      </c>
      <c r="R2729" s="1">
        <v>0</v>
      </c>
      <c r="S2729" s="1" t="str">
        <f>""</f>
        <v/>
      </c>
      <c r="T2729" s="1" t="s">
        <v>29</v>
      </c>
      <c r="U2729" s="1" t="s">
        <v>30</v>
      </c>
      <c r="V2729" s="1">
        <v>0</v>
      </c>
    </row>
    <row r="2730" spans="2:22" x14ac:dyDescent="0.15">
      <c r="B2730" s="1" t="str">
        <f>"130****4401"</f>
        <v>130****4401</v>
      </c>
      <c r="C2730" s="1" t="s">
        <v>23</v>
      </c>
      <c r="D2730" s="1" t="str">
        <f t="shared" si="274"/>
        <v>89177328</v>
      </c>
      <c r="E2730" s="1" t="s">
        <v>24</v>
      </c>
      <c r="F2730" s="1" t="str">
        <f t="shared" si="275"/>
        <v>0010</v>
      </c>
      <c r="G2730" s="1" t="str">
        <f>""</f>
        <v/>
      </c>
      <c r="H2730" s="1" t="str">
        <f>"0018"</f>
        <v>0018</v>
      </c>
      <c r="I2730" s="1" t="s">
        <v>36</v>
      </c>
      <c r="J2730" s="1" t="str">
        <f>"01043989718"</f>
        <v>01043989718</v>
      </c>
      <c r="K2730" s="1" t="str">
        <f>"2017-03-18 16:10:33"</f>
        <v>2017-03-18 16:10:33</v>
      </c>
      <c r="L2730" s="1" t="str">
        <f>"2017-03-18 16:10:41"</f>
        <v>2017-03-18 16:10:41</v>
      </c>
      <c r="M2730" s="2">
        <v>4.6990740740740743E-3</v>
      </c>
      <c r="N2730" s="1" t="s">
        <v>26</v>
      </c>
      <c r="O2730" s="1" t="s">
        <v>34</v>
      </c>
      <c r="P2730" s="2">
        <v>4.7916666666666672E-3</v>
      </c>
      <c r="Q2730" s="1" t="s">
        <v>1964</v>
      </c>
      <c r="R2730" s="1">
        <v>0</v>
      </c>
      <c r="S2730" s="1" t="str">
        <f>""</f>
        <v/>
      </c>
      <c r="T2730" s="1" t="s">
        <v>29</v>
      </c>
      <c r="U2730" s="1" t="s">
        <v>30</v>
      </c>
      <c r="V2730" s="1">
        <v>0</v>
      </c>
    </row>
    <row r="2731" spans="2:22" x14ac:dyDescent="0.15">
      <c r="B2731" s="1" t="str">
        <f>"185****1235"</f>
        <v>185****1235</v>
      </c>
      <c r="C2731" s="1" t="s">
        <v>23</v>
      </c>
      <c r="D2731" s="1" t="str">
        <f t="shared" si="274"/>
        <v>89177328</v>
      </c>
      <c r="E2731" s="1" t="s">
        <v>24</v>
      </c>
      <c r="F2731" s="1" t="str">
        <f t="shared" si="275"/>
        <v>0010</v>
      </c>
      <c r="G2731" s="1" t="str">
        <f>""</f>
        <v/>
      </c>
      <c r="H2731" s="1" t="str">
        <f>"0012"</f>
        <v>0012</v>
      </c>
      <c r="I2731" s="1" t="s">
        <v>612</v>
      </c>
      <c r="J2731" s="1" t="str">
        <f>"01043989720"</f>
        <v>01043989720</v>
      </c>
      <c r="K2731" s="1" t="str">
        <f>"2017-03-18 16:10:13"</f>
        <v>2017-03-18 16:10:13</v>
      </c>
      <c r="L2731" s="1" t="str">
        <f>"2017-03-18 16:10:32"</f>
        <v>2017-03-18 16:10:32</v>
      </c>
      <c r="M2731" s="2">
        <v>3.3564814814814812E-4</v>
      </c>
      <c r="N2731" s="1" t="s">
        <v>26</v>
      </c>
      <c r="O2731" s="1" t="s">
        <v>34</v>
      </c>
      <c r="P2731" s="2">
        <v>5.5555555555555556E-4</v>
      </c>
      <c r="Q2731" s="1" t="s">
        <v>1965</v>
      </c>
      <c r="R2731" s="1">
        <v>0</v>
      </c>
      <c r="S2731" s="1" t="str">
        <f>""</f>
        <v/>
      </c>
      <c r="T2731" s="1" t="s">
        <v>29</v>
      </c>
      <c r="U2731" s="1" t="s">
        <v>30</v>
      </c>
      <c r="V2731" s="1">
        <v>0</v>
      </c>
    </row>
    <row r="2732" spans="2:22" x14ac:dyDescent="0.15">
      <c r="B2732" s="1" t="str">
        <f>"010****8842"</f>
        <v>010****8842</v>
      </c>
      <c r="C2732" s="1" t="s">
        <v>23</v>
      </c>
      <c r="D2732" s="1" t="str">
        <f t="shared" si="274"/>
        <v>89177328</v>
      </c>
      <c r="E2732" s="1" t="s">
        <v>24</v>
      </c>
      <c r="F2732" s="1" t="str">
        <f t="shared" si="275"/>
        <v>0010</v>
      </c>
      <c r="G2732" s="1" t="str">
        <f>""</f>
        <v/>
      </c>
      <c r="H2732" s="1" t="str">
        <f>"0033"</f>
        <v>0033</v>
      </c>
      <c r="I2732" s="1" t="s">
        <v>106</v>
      </c>
      <c r="J2732" s="1" t="str">
        <f>"01043977567"</f>
        <v>01043977567</v>
      </c>
      <c r="K2732" s="1" t="str">
        <f>"2017-03-18 16:08:03"</f>
        <v>2017-03-18 16:08:03</v>
      </c>
      <c r="L2732" s="1" t="str">
        <f>"2017-03-18 16:08:11"</f>
        <v>2017-03-18 16:08:11</v>
      </c>
      <c r="M2732" s="2">
        <v>1.1493055555555555E-2</v>
      </c>
      <c r="N2732" s="1" t="s">
        <v>26</v>
      </c>
      <c r="O2732" s="1" t="s">
        <v>27</v>
      </c>
      <c r="P2732" s="2">
        <v>1.1585648148148149E-2</v>
      </c>
      <c r="Q2732" s="1" t="s">
        <v>1966</v>
      </c>
      <c r="R2732" s="1">
        <v>0</v>
      </c>
      <c r="S2732" s="1" t="str">
        <f>""</f>
        <v/>
      </c>
      <c r="T2732" s="1" t="s">
        <v>29</v>
      </c>
      <c r="U2732" s="1" t="s">
        <v>30</v>
      </c>
      <c r="V2732" s="1">
        <v>0</v>
      </c>
    </row>
    <row r="2733" spans="2:22" x14ac:dyDescent="0.15">
      <c r="B2733" s="1" t="str">
        <f>"185****1235"</f>
        <v>185****1235</v>
      </c>
      <c r="C2733" s="1" t="s">
        <v>23</v>
      </c>
      <c r="D2733" s="1" t="str">
        <f t="shared" si="274"/>
        <v>89177328</v>
      </c>
      <c r="E2733" s="1" t="s">
        <v>24</v>
      </c>
      <c r="F2733" s="1" t="str">
        <f t="shared" si="275"/>
        <v>0010</v>
      </c>
      <c r="G2733" s="1" t="str">
        <f>""</f>
        <v/>
      </c>
      <c r="H2733" s="1" t="str">
        <f>"0012"</f>
        <v>0012</v>
      </c>
      <c r="I2733" s="1" t="s">
        <v>612</v>
      </c>
      <c r="J2733" s="1" t="str">
        <f>"01043989720"</f>
        <v>01043989720</v>
      </c>
      <c r="K2733" s="1" t="str">
        <f>"2017-03-18 16:05:40"</f>
        <v>2017-03-18 16:05:40</v>
      </c>
      <c r="L2733" s="1" t="str">
        <f>"2017-03-18 16:05:52"</f>
        <v>2017-03-18 16:05:52</v>
      </c>
      <c r="M2733" s="2">
        <v>1.261574074074074E-3</v>
      </c>
      <c r="N2733" s="1" t="s">
        <v>26</v>
      </c>
      <c r="O2733" s="1" t="s">
        <v>34</v>
      </c>
      <c r="P2733" s="2">
        <v>1.4004629629629629E-3</v>
      </c>
      <c r="Q2733" s="1" t="s">
        <v>1967</v>
      </c>
      <c r="R2733" s="1">
        <v>0</v>
      </c>
      <c r="S2733" s="1" t="str">
        <f>""</f>
        <v/>
      </c>
      <c r="T2733" s="1" t="s">
        <v>29</v>
      </c>
      <c r="U2733" s="1" t="s">
        <v>30</v>
      </c>
      <c r="V2733" s="1">
        <v>0</v>
      </c>
    </row>
    <row r="2734" spans="2:22" x14ac:dyDescent="0.15">
      <c r="B2734" s="1" t="str">
        <f>"133****9597"</f>
        <v>133****9597</v>
      </c>
      <c r="C2734" s="1" t="s">
        <v>23</v>
      </c>
      <c r="D2734" s="1" t="str">
        <f t="shared" si="274"/>
        <v>89177328</v>
      </c>
      <c r="E2734" s="1" t="s">
        <v>24</v>
      </c>
      <c r="F2734" s="1" t="str">
        <f t="shared" si="275"/>
        <v>0010</v>
      </c>
      <c r="G2734" s="1" t="str">
        <f>""</f>
        <v/>
      </c>
      <c r="H2734" s="1" t="str">
        <f>"0033"</f>
        <v>0033</v>
      </c>
      <c r="I2734" s="1" t="s">
        <v>106</v>
      </c>
      <c r="J2734" s="1" t="str">
        <f>"01043977567"</f>
        <v>01043977567</v>
      </c>
      <c r="K2734" s="1" t="str">
        <f>"2017-03-18 15:59:01"</f>
        <v>2017-03-18 15:59:01</v>
      </c>
      <c r="L2734" s="1" t="str">
        <f>"2017-03-18 15:59:09"</f>
        <v>2017-03-18 15:59:09</v>
      </c>
      <c r="M2734" s="2">
        <v>2.3148148148148146E-4</v>
      </c>
      <c r="N2734" s="1" t="s">
        <v>26</v>
      </c>
      <c r="O2734" s="1" t="s">
        <v>34</v>
      </c>
      <c r="P2734" s="2">
        <v>3.2407407407407406E-4</v>
      </c>
      <c r="Q2734" s="1" t="s">
        <v>1968</v>
      </c>
      <c r="R2734" s="1">
        <v>0</v>
      </c>
      <c r="S2734" s="1" t="str">
        <f>""</f>
        <v/>
      </c>
      <c r="T2734" s="1" t="s">
        <v>29</v>
      </c>
      <c r="U2734" s="1" t="s">
        <v>30</v>
      </c>
      <c r="V2734" s="1">
        <v>0</v>
      </c>
    </row>
    <row r="2735" spans="2:22" x14ac:dyDescent="0.15">
      <c r="B2735" s="1" t="str">
        <f>"183****4280"</f>
        <v>183****4280</v>
      </c>
      <c r="C2735" s="1" t="s">
        <v>23</v>
      </c>
      <c r="D2735" s="1" t="str">
        <f t="shared" si="274"/>
        <v>89177328</v>
      </c>
      <c r="E2735" s="1" t="s">
        <v>24</v>
      </c>
      <c r="F2735" s="1" t="str">
        <f t="shared" si="275"/>
        <v>0010</v>
      </c>
      <c r="G2735" s="1" t="str">
        <f>""</f>
        <v/>
      </c>
      <c r="H2735" s="1" t="str">
        <f>"0033"</f>
        <v>0033</v>
      </c>
      <c r="I2735" s="1" t="s">
        <v>106</v>
      </c>
      <c r="J2735" s="1" t="str">
        <f>"01043977567"</f>
        <v>01043977567</v>
      </c>
      <c r="K2735" s="1" t="str">
        <f>"2017-03-18 15:57:37"</f>
        <v>2017-03-18 15:57:37</v>
      </c>
      <c r="L2735" s="1" t="str">
        <f>"-"</f>
        <v>-</v>
      </c>
      <c r="M2735" s="2">
        <v>0</v>
      </c>
      <c r="N2735" s="1" t="s">
        <v>33</v>
      </c>
      <c r="O2735" s="1" t="s">
        <v>34</v>
      </c>
      <c r="P2735" s="2">
        <v>4.6296296296296294E-5</v>
      </c>
      <c r="Q2735" s="1" t="str">
        <f>""</f>
        <v/>
      </c>
      <c r="R2735" s="1">
        <v>0</v>
      </c>
      <c r="S2735" s="1" t="str">
        <f>""</f>
        <v/>
      </c>
      <c r="T2735" s="1" t="s">
        <v>29</v>
      </c>
      <c r="U2735" s="1" t="s">
        <v>30</v>
      </c>
      <c r="V2735" s="1">
        <v>0</v>
      </c>
    </row>
    <row r="2736" spans="2:22" x14ac:dyDescent="0.15">
      <c r="B2736" s="1" t="str">
        <f>"133****9597"</f>
        <v>133****9597</v>
      </c>
      <c r="C2736" s="1" t="s">
        <v>23</v>
      </c>
      <c r="D2736" s="1" t="str">
        <f t="shared" si="274"/>
        <v>89177328</v>
      </c>
      <c r="E2736" s="1" t="s">
        <v>24</v>
      </c>
      <c r="F2736" s="1" t="str">
        <f t="shared" si="275"/>
        <v>0010</v>
      </c>
      <c r="G2736" s="1" t="str">
        <f>""</f>
        <v/>
      </c>
      <c r="H2736" s="1" t="str">
        <f>"0033"</f>
        <v>0033</v>
      </c>
      <c r="I2736" s="1" t="s">
        <v>106</v>
      </c>
      <c r="J2736" s="1" t="str">
        <f>"01043977567"</f>
        <v>01043977567</v>
      </c>
      <c r="K2736" s="1" t="str">
        <f>"2017-03-18 15:54:44"</f>
        <v>2017-03-18 15:54:44</v>
      </c>
      <c r="L2736" s="1" t="str">
        <f>"2017-03-18 15:54:51"</f>
        <v>2017-03-18 15:54:51</v>
      </c>
      <c r="M2736" s="2">
        <v>5.6712962962962956E-4</v>
      </c>
      <c r="N2736" s="1" t="s">
        <v>26</v>
      </c>
      <c r="O2736" s="1" t="s">
        <v>27</v>
      </c>
      <c r="P2736" s="2">
        <v>6.4814814814814813E-4</v>
      </c>
      <c r="Q2736" s="1" t="s">
        <v>1969</v>
      </c>
      <c r="R2736" s="1">
        <v>0</v>
      </c>
      <c r="S2736" s="1" t="str">
        <f>""</f>
        <v/>
      </c>
      <c r="T2736" s="1" t="s">
        <v>29</v>
      </c>
      <c r="U2736" s="1" t="s">
        <v>30</v>
      </c>
      <c r="V2736" s="1">
        <v>0</v>
      </c>
    </row>
    <row r="2737" spans="2:22" x14ac:dyDescent="0.15">
      <c r="B2737" s="1" t="str">
        <f>"133****9597"</f>
        <v>133****9597</v>
      </c>
      <c r="C2737" s="1" t="s">
        <v>23</v>
      </c>
      <c r="D2737" s="1" t="str">
        <f t="shared" si="274"/>
        <v>89177328</v>
      </c>
      <c r="E2737" s="1" t="s">
        <v>24</v>
      </c>
      <c r="F2737" s="1" t="str">
        <f t="shared" si="275"/>
        <v>0010</v>
      </c>
      <c r="G2737" s="1" t="str">
        <f>""</f>
        <v/>
      </c>
      <c r="H2737" s="1" t="str">
        <f>"0018"</f>
        <v>0018</v>
      </c>
      <c r="I2737" s="1" t="s">
        <v>36</v>
      </c>
      <c r="J2737" s="1" t="str">
        <f>"01043989718"</f>
        <v>01043989718</v>
      </c>
      <c r="K2737" s="1" t="str">
        <f>"2017-03-18 15:47:59"</f>
        <v>2017-03-18 15:47:59</v>
      </c>
      <c r="L2737" s="1" t="str">
        <f>"2017-03-18 15:48:10"</f>
        <v>2017-03-18 15:48:10</v>
      </c>
      <c r="M2737" s="2">
        <v>5.4398148148148144E-4</v>
      </c>
      <c r="N2737" s="1" t="s">
        <v>26</v>
      </c>
      <c r="O2737" s="1" t="s">
        <v>34</v>
      </c>
      <c r="P2737" s="2">
        <v>6.7129629629629625E-4</v>
      </c>
      <c r="Q2737" s="1" t="s">
        <v>1970</v>
      </c>
      <c r="R2737" s="1">
        <v>0</v>
      </c>
      <c r="S2737" s="1" t="str">
        <f>""</f>
        <v/>
      </c>
      <c r="T2737" s="1" t="s">
        <v>29</v>
      </c>
      <c r="U2737" s="1" t="s">
        <v>30</v>
      </c>
      <c r="V2737" s="1">
        <v>0</v>
      </c>
    </row>
    <row r="2738" spans="2:22" x14ac:dyDescent="0.15">
      <c r="B2738" s="1" t="str">
        <f>"157****4678"</f>
        <v>157****4678</v>
      </c>
      <c r="C2738" s="1" t="s">
        <v>23</v>
      </c>
      <c r="D2738" s="1" t="str">
        <f t="shared" si="274"/>
        <v>89177328</v>
      </c>
      <c r="E2738" s="1" t="s">
        <v>24</v>
      </c>
      <c r="F2738" s="1" t="str">
        <f t="shared" si="275"/>
        <v>0010</v>
      </c>
      <c r="G2738" s="1" t="str">
        <f>""</f>
        <v/>
      </c>
      <c r="H2738" s="1" t="str">
        <f>"0017"</f>
        <v>0017</v>
      </c>
      <c r="I2738" s="1" t="s">
        <v>135</v>
      </c>
      <c r="J2738" s="1" t="str">
        <f>"01043989717"</f>
        <v>01043989717</v>
      </c>
      <c r="K2738" s="1" t="str">
        <f>"2017-03-18 15:42:43"</f>
        <v>2017-03-18 15:42:43</v>
      </c>
      <c r="L2738" s="1" t="str">
        <f>"-"</f>
        <v>-</v>
      </c>
      <c r="M2738" s="2">
        <v>0</v>
      </c>
      <c r="N2738" s="1" t="s">
        <v>33</v>
      </c>
      <c r="O2738" s="1" t="s">
        <v>34</v>
      </c>
      <c r="P2738" s="2">
        <v>1.0416666666666667E-4</v>
      </c>
      <c r="Q2738" s="1" t="str">
        <f>""</f>
        <v/>
      </c>
      <c r="R2738" s="1">
        <v>0</v>
      </c>
      <c r="S2738" s="1" t="str">
        <f>""</f>
        <v/>
      </c>
      <c r="T2738" s="1" t="s">
        <v>29</v>
      </c>
      <c r="U2738" s="1" t="s">
        <v>30</v>
      </c>
      <c r="V2738" s="1">
        <v>0</v>
      </c>
    </row>
    <row r="2739" spans="2:22" x14ac:dyDescent="0.15">
      <c r="B2739" s="1" t="str">
        <f>"183****4280"</f>
        <v>183****4280</v>
      </c>
      <c r="C2739" s="1" t="s">
        <v>23</v>
      </c>
      <c r="D2739" s="1" t="str">
        <f t="shared" si="274"/>
        <v>89177328</v>
      </c>
      <c r="E2739" s="1" t="s">
        <v>24</v>
      </c>
      <c r="F2739" s="1" t="str">
        <f t="shared" si="275"/>
        <v>0010</v>
      </c>
      <c r="G2739" s="1" t="str">
        <f>""</f>
        <v/>
      </c>
      <c r="H2739" s="1" t="str">
        <f>"0032"</f>
        <v>0032</v>
      </c>
      <c r="I2739" s="1" t="s">
        <v>119</v>
      </c>
      <c r="J2739" s="1" t="str">
        <f>"01043977566"</f>
        <v>01043977566</v>
      </c>
      <c r="K2739" s="1" t="str">
        <f>"2017-03-18 15:39:57"</f>
        <v>2017-03-18 15:39:57</v>
      </c>
      <c r="L2739" s="1" t="str">
        <f>"-"</f>
        <v>-</v>
      </c>
      <c r="M2739" s="2">
        <v>0</v>
      </c>
      <c r="N2739" s="1" t="s">
        <v>33</v>
      </c>
      <c r="O2739" s="1" t="s">
        <v>34</v>
      </c>
      <c r="P2739" s="2">
        <v>2.0833333333333335E-4</v>
      </c>
      <c r="Q2739" s="1" t="str">
        <f>""</f>
        <v/>
      </c>
      <c r="R2739" s="1">
        <v>0</v>
      </c>
      <c r="S2739" s="1" t="str">
        <f>""</f>
        <v/>
      </c>
      <c r="T2739" s="1" t="s">
        <v>29</v>
      </c>
      <c r="U2739" s="1" t="s">
        <v>30</v>
      </c>
      <c r="V2739" s="1">
        <v>0</v>
      </c>
    </row>
    <row r="2740" spans="2:22" x14ac:dyDescent="0.15">
      <c r="B2740" s="1" t="str">
        <f>"130****5656"</f>
        <v>130****5656</v>
      </c>
      <c r="C2740" s="1" t="s">
        <v>112</v>
      </c>
      <c r="D2740" s="1" t="str">
        <f t="shared" si="274"/>
        <v>89177328</v>
      </c>
      <c r="E2740" s="1" t="s">
        <v>24</v>
      </c>
      <c r="F2740" s="1" t="str">
        <f t="shared" si="275"/>
        <v>0010</v>
      </c>
      <c r="G2740" s="1" t="str">
        <f>""</f>
        <v/>
      </c>
      <c r="H2740" s="1" t="str">
        <f>"0017"</f>
        <v>0017</v>
      </c>
      <c r="I2740" s="1" t="s">
        <v>135</v>
      </c>
      <c r="J2740" s="1" t="str">
        <f>"01043989717"</f>
        <v>01043989717</v>
      </c>
      <c r="K2740" s="1" t="str">
        <f>"2017-03-18 15:38:34"</f>
        <v>2017-03-18 15:38:34</v>
      </c>
      <c r="L2740" s="1" t="str">
        <f>"-"</f>
        <v>-</v>
      </c>
      <c r="M2740" s="2">
        <v>0</v>
      </c>
      <c r="N2740" s="1" t="s">
        <v>33</v>
      </c>
      <c r="O2740" s="1" t="s">
        <v>34</v>
      </c>
      <c r="P2740" s="2">
        <v>8.1018518518518516E-5</v>
      </c>
      <c r="Q2740" s="1" t="str">
        <f>""</f>
        <v/>
      </c>
      <c r="R2740" s="1">
        <v>0</v>
      </c>
      <c r="S2740" s="1" t="str">
        <f>""</f>
        <v/>
      </c>
      <c r="T2740" s="1" t="s">
        <v>29</v>
      </c>
      <c r="U2740" s="1" t="s">
        <v>30</v>
      </c>
      <c r="V2740" s="1">
        <v>0</v>
      </c>
    </row>
    <row r="2741" spans="2:22" x14ac:dyDescent="0.15">
      <c r="B2741" s="1" t="str">
        <f>"185****8610"</f>
        <v>185****8610</v>
      </c>
      <c r="C2741" s="1" t="s">
        <v>23</v>
      </c>
      <c r="D2741" s="1" t="str">
        <f t="shared" si="274"/>
        <v>89177328</v>
      </c>
      <c r="E2741" s="1" t="s">
        <v>24</v>
      </c>
      <c r="F2741" s="1" t="str">
        <f t="shared" si="275"/>
        <v>0010</v>
      </c>
      <c r="G2741" s="1" t="str">
        <f>""</f>
        <v/>
      </c>
      <c r="H2741" s="1" t="str">
        <f>"0033"</f>
        <v>0033</v>
      </c>
      <c r="I2741" s="1" t="s">
        <v>106</v>
      </c>
      <c r="J2741" s="1" t="str">
        <f>"01043977567"</f>
        <v>01043977567</v>
      </c>
      <c r="K2741" s="1" t="str">
        <f>"2017-03-18 15:37:51"</f>
        <v>2017-03-18 15:37:51</v>
      </c>
      <c r="L2741" s="1" t="str">
        <f>"2017-03-18 15:38:01"</f>
        <v>2017-03-18 15:38:01</v>
      </c>
      <c r="M2741" s="2">
        <v>3.5416666666666665E-3</v>
      </c>
      <c r="N2741" s="1" t="s">
        <v>26</v>
      </c>
      <c r="O2741" s="1" t="s">
        <v>27</v>
      </c>
      <c r="P2741" s="2">
        <v>3.6574074074074074E-3</v>
      </c>
      <c r="Q2741" s="1" t="s">
        <v>1971</v>
      </c>
      <c r="R2741" s="1">
        <v>0</v>
      </c>
      <c r="S2741" s="1" t="str">
        <f>""</f>
        <v/>
      </c>
      <c r="T2741" s="1" t="s">
        <v>29</v>
      </c>
      <c r="U2741" s="1" t="s">
        <v>30</v>
      </c>
      <c r="V2741" s="1">
        <v>0</v>
      </c>
    </row>
    <row r="2742" spans="2:22" x14ac:dyDescent="0.15">
      <c r="B2742" s="1" t="str">
        <f>"157****4678"</f>
        <v>157****4678</v>
      </c>
      <c r="C2742" s="1" t="s">
        <v>23</v>
      </c>
      <c r="D2742" s="1" t="str">
        <f t="shared" si="274"/>
        <v>89177328</v>
      </c>
      <c r="E2742" s="1" t="s">
        <v>24</v>
      </c>
      <c r="F2742" s="1" t="str">
        <f t="shared" si="275"/>
        <v>0010</v>
      </c>
      <c r="G2742" s="1" t="str">
        <f>""</f>
        <v/>
      </c>
      <c r="H2742" s="1" t="str">
        <f>"0032"</f>
        <v>0032</v>
      </c>
      <c r="I2742" s="1" t="s">
        <v>119</v>
      </c>
      <c r="J2742" s="1" t="str">
        <f>"01043977566"</f>
        <v>01043977566</v>
      </c>
      <c r="K2742" s="1" t="str">
        <f>"2017-03-18 15:36:38"</f>
        <v>2017-03-18 15:36:38</v>
      </c>
      <c r="L2742" s="1" t="str">
        <f>"2017-03-18 15:36:54"</f>
        <v>2017-03-18 15:36:54</v>
      </c>
      <c r="M2742" s="2">
        <v>5.7870370370370366E-5</v>
      </c>
      <c r="N2742" s="1" t="s">
        <v>26</v>
      </c>
      <c r="O2742" s="1" t="s">
        <v>34</v>
      </c>
      <c r="P2742" s="2">
        <v>2.4305555555555552E-4</v>
      </c>
      <c r="Q2742" s="1" t="str">
        <f>""</f>
        <v/>
      </c>
      <c r="R2742" s="1">
        <v>0</v>
      </c>
      <c r="S2742" s="1" t="str">
        <f>""</f>
        <v/>
      </c>
      <c r="T2742" s="1" t="s">
        <v>29</v>
      </c>
      <c r="U2742" s="1" t="s">
        <v>30</v>
      </c>
      <c r="V2742" s="1">
        <v>0</v>
      </c>
    </row>
    <row r="2743" spans="2:22" x14ac:dyDescent="0.15">
      <c r="B2743" s="1" t="str">
        <f>"183****4280"</f>
        <v>183****4280</v>
      </c>
      <c r="C2743" s="1" t="s">
        <v>23</v>
      </c>
      <c r="D2743" s="1" t="str">
        <f t="shared" si="274"/>
        <v>89177328</v>
      </c>
      <c r="E2743" s="1" t="s">
        <v>24</v>
      </c>
      <c r="F2743" s="1" t="str">
        <f t="shared" si="275"/>
        <v>0010</v>
      </c>
      <c r="G2743" s="1" t="str">
        <f>""</f>
        <v/>
      </c>
      <c r="H2743" s="1" t="str">
        <f>"0017"</f>
        <v>0017</v>
      </c>
      <c r="I2743" s="1" t="s">
        <v>135</v>
      </c>
      <c r="J2743" s="1" t="str">
        <f>"01043989717"</f>
        <v>01043989717</v>
      </c>
      <c r="K2743" s="1" t="str">
        <f>"2017-03-18 15:33:48"</f>
        <v>2017-03-18 15:33:48</v>
      </c>
      <c r="L2743" s="1" t="str">
        <f>"-"</f>
        <v>-</v>
      </c>
      <c r="M2743" s="2">
        <v>0</v>
      </c>
      <c r="N2743" s="1" t="s">
        <v>33</v>
      </c>
      <c r="O2743" s="1" t="s">
        <v>34</v>
      </c>
      <c r="P2743" s="2">
        <v>8.1018518518518516E-5</v>
      </c>
      <c r="Q2743" s="1" t="str">
        <f>""</f>
        <v/>
      </c>
      <c r="R2743" s="1">
        <v>0</v>
      </c>
      <c r="S2743" s="1" t="str">
        <f>""</f>
        <v/>
      </c>
      <c r="T2743" s="1" t="s">
        <v>29</v>
      </c>
      <c r="U2743" s="1" t="s">
        <v>30</v>
      </c>
      <c r="V2743" s="1">
        <v>0</v>
      </c>
    </row>
    <row r="2744" spans="2:22" x14ac:dyDescent="0.15">
      <c r="B2744" s="1" t="str">
        <f>"186****0604"</f>
        <v>186****0604</v>
      </c>
      <c r="C2744" s="1" t="s">
        <v>23</v>
      </c>
      <c r="D2744" s="1" t="str">
        <f t="shared" si="274"/>
        <v>89177328</v>
      </c>
      <c r="E2744" s="1" t="s">
        <v>24</v>
      </c>
      <c r="F2744" s="1" t="str">
        <f t="shared" si="275"/>
        <v>0010</v>
      </c>
      <c r="G2744" s="1" t="str">
        <f>""</f>
        <v/>
      </c>
      <c r="H2744" s="1" t="str">
        <f>"0018"</f>
        <v>0018</v>
      </c>
      <c r="I2744" s="1" t="s">
        <v>36</v>
      </c>
      <c r="J2744" s="1" t="str">
        <f>"01043989718"</f>
        <v>01043989718</v>
      </c>
      <c r="K2744" s="1" t="str">
        <f>"2017-03-18 15:28:23"</f>
        <v>2017-03-18 15:28:23</v>
      </c>
      <c r="L2744" s="1" t="str">
        <f>"-"</f>
        <v>-</v>
      </c>
      <c r="M2744" s="2">
        <v>0</v>
      </c>
      <c r="N2744" s="1" t="s">
        <v>33</v>
      </c>
      <c r="O2744" s="1" t="s">
        <v>34</v>
      </c>
      <c r="P2744" s="2">
        <v>1.1574074074074073E-4</v>
      </c>
      <c r="Q2744" s="1" t="str">
        <f>""</f>
        <v/>
      </c>
      <c r="R2744" s="1">
        <v>0</v>
      </c>
      <c r="S2744" s="1" t="str">
        <f>""</f>
        <v/>
      </c>
      <c r="T2744" s="1" t="s">
        <v>29</v>
      </c>
      <c r="U2744" s="1" t="s">
        <v>30</v>
      </c>
      <c r="V2744" s="1">
        <v>0</v>
      </c>
    </row>
    <row r="2745" spans="2:22" x14ac:dyDescent="0.15">
      <c r="B2745" s="1" t="str">
        <f>"130****5656"</f>
        <v>130****5656</v>
      </c>
      <c r="C2745" s="1" t="s">
        <v>112</v>
      </c>
      <c r="D2745" s="1" t="str">
        <f t="shared" si="274"/>
        <v>89177328</v>
      </c>
      <c r="E2745" s="1" t="s">
        <v>24</v>
      </c>
      <c r="F2745" s="1" t="str">
        <f t="shared" si="275"/>
        <v>0010</v>
      </c>
      <c r="G2745" s="1" t="str">
        <f>""</f>
        <v/>
      </c>
      <c r="H2745" s="1" t="str">
        <f>"0018"</f>
        <v>0018</v>
      </c>
      <c r="I2745" s="1" t="s">
        <v>36</v>
      </c>
      <c r="J2745" s="1" t="str">
        <f>"01043989718"</f>
        <v>01043989718</v>
      </c>
      <c r="K2745" s="1" t="str">
        <f>"2017-03-18 15:26:01"</f>
        <v>2017-03-18 15:26:01</v>
      </c>
      <c r="L2745" s="1" t="str">
        <f>"-"</f>
        <v>-</v>
      </c>
      <c r="M2745" s="2">
        <v>0</v>
      </c>
      <c r="N2745" s="1" t="s">
        <v>33</v>
      </c>
      <c r="O2745" s="1" t="s">
        <v>34</v>
      </c>
      <c r="P2745" s="2">
        <v>2.3148148148148147E-5</v>
      </c>
      <c r="Q2745" s="1" t="str">
        <f>""</f>
        <v/>
      </c>
      <c r="R2745" s="1">
        <v>0</v>
      </c>
      <c r="S2745" s="1" t="str">
        <f>""</f>
        <v/>
      </c>
      <c r="T2745" s="1" t="s">
        <v>29</v>
      </c>
      <c r="U2745" s="1" t="s">
        <v>30</v>
      </c>
      <c r="V2745" s="1">
        <v>0</v>
      </c>
    </row>
    <row r="2746" spans="2:22" x14ac:dyDescent="0.15">
      <c r="B2746" s="1" t="str">
        <f>"186****0604"</f>
        <v>186****0604</v>
      </c>
      <c r="C2746" s="1" t="s">
        <v>23</v>
      </c>
      <c r="D2746" s="1" t="str">
        <f t="shared" si="274"/>
        <v>89177328</v>
      </c>
      <c r="E2746" s="1" t="s">
        <v>24</v>
      </c>
      <c r="F2746" s="1" t="str">
        <f t="shared" si="275"/>
        <v>0010</v>
      </c>
      <c r="G2746" s="1" t="str">
        <f>""</f>
        <v/>
      </c>
      <c r="H2746" s="1" t="str">
        <f>"0018"</f>
        <v>0018</v>
      </c>
      <c r="I2746" s="1" t="s">
        <v>36</v>
      </c>
      <c r="J2746" s="1" t="str">
        <f>"01043989718"</f>
        <v>01043989718</v>
      </c>
      <c r="K2746" s="1" t="str">
        <f>"2017-03-18 15:22:09"</f>
        <v>2017-03-18 15:22:09</v>
      </c>
      <c r="L2746" s="1" t="str">
        <f>"-"</f>
        <v>-</v>
      </c>
      <c r="M2746" s="2">
        <v>0</v>
      </c>
      <c r="N2746" s="1" t="s">
        <v>33</v>
      </c>
      <c r="O2746" s="1" t="s">
        <v>34</v>
      </c>
      <c r="P2746" s="2">
        <v>4.6296296296296294E-5</v>
      </c>
      <c r="Q2746" s="1" t="str">
        <f>""</f>
        <v/>
      </c>
      <c r="R2746" s="1">
        <v>0</v>
      </c>
      <c r="S2746" s="1" t="str">
        <f>""</f>
        <v/>
      </c>
      <c r="T2746" s="1" t="s">
        <v>29</v>
      </c>
      <c r="U2746" s="1" t="s">
        <v>30</v>
      </c>
      <c r="V2746" s="1">
        <v>0</v>
      </c>
    </row>
    <row r="2747" spans="2:22" x14ac:dyDescent="0.15">
      <c r="B2747" s="1" t="str">
        <f>"186****0604"</f>
        <v>186****0604</v>
      </c>
      <c r="C2747" s="1" t="s">
        <v>23</v>
      </c>
      <c r="D2747" s="1" t="str">
        <f t="shared" si="274"/>
        <v>89177328</v>
      </c>
      <c r="E2747" s="1" t="s">
        <v>24</v>
      </c>
      <c r="F2747" s="1" t="str">
        <f t="shared" si="275"/>
        <v>0010</v>
      </c>
      <c r="G2747" s="1" t="str">
        <f>""</f>
        <v/>
      </c>
      <c r="H2747" s="1" t="str">
        <f>"0018"</f>
        <v>0018</v>
      </c>
      <c r="I2747" s="1" t="s">
        <v>36</v>
      </c>
      <c r="J2747" s="1" t="str">
        <f>"01043989718"</f>
        <v>01043989718</v>
      </c>
      <c r="K2747" s="1" t="str">
        <f>"2017-03-18 15:16:51"</f>
        <v>2017-03-18 15:16:51</v>
      </c>
      <c r="L2747" s="1" t="str">
        <f>"2017-03-18 15:17:00"</f>
        <v>2017-03-18 15:17:00</v>
      </c>
      <c r="M2747" s="2">
        <v>2.7777777777777778E-4</v>
      </c>
      <c r="N2747" s="1" t="s">
        <v>26</v>
      </c>
      <c r="O2747" s="1" t="s">
        <v>34</v>
      </c>
      <c r="P2747" s="2">
        <v>3.8194444444444446E-4</v>
      </c>
      <c r="Q2747" s="1" t="s">
        <v>1972</v>
      </c>
      <c r="R2747" s="1">
        <v>0</v>
      </c>
      <c r="S2747" s="1" t="str">
        <f>""</f>
        <v/>
      </c>
      <c r="T2747" s="1" t="s">
        <v>29</v>
      </c>
      <c r="U2747" s="1" t="s">
        <v>30</v>
      </c>
      <c r="V2747" s="1">
        <v>0</v>
      </c>
    </row>
    <row r="2748" spans="2:22" x14ac:dyDescent="0.15">
      <c r="B2748" s="1" t="str">
        <f>"186****2258"</f>
        <v>186****2258</v>
      </c>
      <c r="C2748" s="1" t="s">
        <v>170</v>
      </c>
      <c r="D2748" s="1" t="str">
        <f t="shared" si="274"/>
        <v>89177328</v>
      </c>
      <c r="E2748" s="1" t="s">
        <v>24</v>
      </c>
      <c r="F2748" s="1" t="str">
        <f t="shared" si="275"/>
        <v>0010</v>
      </c>
      <c r="G2748" s="1" t="str">
        <f>""</f>
        <v/>
      </c>
      <c r="H2748" s="1" t="str">
        <f>"0018"</f>
        <v>0018</v>
      </c>
      <c r="I2748" s="1" t="s">
        <v>36</v>
      </c>
      <c r="J2748" s="1" t="str">
        <f>"01043989718"</f>
        <v>01043989718</v>
      </c>
      <c r="K2748" s="1" t="str">
        <f>"2017-03-18 15:02:23"</f>
        <v>2017-03-18 15:02:23</v>
      </c>
      <c r="L2748" s="1" t="str">
        <f>"2017-03-18 15:02:32"</f>
        <v>2017-03-18 15:02:32</v>
      </c>
      <c r="M2748" s="2">
        <v>5.7870370370370378E-4</v>
      </c>
      <c r="N2748" s="1" t="s">
        <v>26</v>
      </c>
      <c r="O2748" s="1" t="s">
        <v>34</v>
      </c>
      <c r="P2748" s="2">
        <v>6.8287037037037025E-4</v>
      </c>
      <c r="Q2748" s="1" t="s">
        <v>1973</v>
      </c>
      <c r="R2748" s="1">
        <v>0</v>
      </c>
      <c r="S2748" s="1" t="str">
        <f>""</f>
        <v/>
      </c>
      <c r="T2748" s="1" t="s">
        <v>29</v>
      </c>
      <c r="U2748" s="1" t="s">
        <v>30</v>
      </c>
      <c r="V2748" s="1">
        <v>0</v>
      </c>
    </row>
    <row r="2749" spans="2:22" x14ac:dyDescent="0.15">
      <c r="B2749" s="1" t="str">
        <f>"136****3208"</f>
        <v>136****3208</v>
      </c>
      <c r="C2749" s="1" t="s">
        <v>23</v>
      </c>
      <c r="D2749" s="1" t="str">
        <f>"4000108333"</f>
        <v>4000108333</v>
      </c>
      <c r="E2749" s="1" t="s">
        <v>53</v>
      </c>
      <c r="F2749" s="1" t="str">
        <f>"0000"</f>
        <v>0000</v>
      </c>
      <c r="G2749" s="1" t="str">
        <f>""</f>
        <v/>
      </c>
      <c r="H2749" s="1" t="str">
        <f>"0010"</f>
        <v>0010</v>
      </c>
      <c r="I2749" s="1" t="s">
        <v>71</v>
      </c>
      <c r="J2749" s="1" t="str">
        <f>"01043989719"</f>
        <v>01043989719</v>
      </c>
      <c r="K2749" s="1" t="str">
        <f>"2017-03-18 14:54:07"</f>
        <v>2017-03-18 14:54:07</v>
      </c>
      <c r="L2749" s="1" t="str">
        <f>"2017-03-18 14:54:39"</f>
        <v>2017-03-18 14:54:39</v>
      </c>
      <c r="M2749" s="2">
        <v>2.4120370370370372E-2</v>
      </c>
      <c r="N2749" s="1" t="s">
        <v>26</v>
      </c>
      <c r="O2749" s="1" t="s">
        <v>34</v>
      </c>
      <c r="P2749" s="2">
        <v>2.449074074074074E-2</v>
      </c>
      <c r="Q2749" s="1" t="s">
        <v>1974</v>
      </c>
      <c r="R2749" s="1">
        <v>4.32</v>
      </c>
      <c r="S2749" s="1" t="str">
        <f>""</f>
        <v/>
      </c>
      <c r="T2749" s="1" t="s">
        <v>29</v>
      </c>
      <c r="U2749" s="1" t="s">
        <v>30</v>
      </c>
      <c r="V2749" s="1">
        <v>0</v>
      </c>
    </row>
    <row r="2750" spans="2:22" x14ac:dyDescent="0.15">
      <c r="B2750" s="1" t="str">
        <f>"136****0058"</f>
        <v>136****0058</v>
      </c>
      <c r="C2750" s="1" t="s">
        <v>132</v>
      </c>
      <c r="D2750" s="1" t="str">
        <f>"89177328"</f>
        <v>89177328</v>
      </c>
      <c r="E2750" s="1" t="s">
        <v>24</v>
      </c>
      <c r="F2750" s="1" t="str">
        <f>"0010"</f>
        <v>0010</v>
      </c>
      <c r="G2750" s="1" t="str">
        <f>""</f>
        <v/>
      </c>
      <c r="H2750" s="1" t="str">
        <f>"0010"</f>
        <v>0010</v>
      </c>
      <c r="I2750" s="1" t="s">
        <v>71</v>
      </c>
      <c r="J2750" s="1" t="str">
        <f>"01043989719"</f>
        <v>01043989719</v>
      </c>
      <c r="K2750" s="1" t="str">
        <f>"2017-03-18 14:45:57"</f>
        <v>2017-03-18 14:45:57</v>
      </c>
      <c r="L2750" s="1" t="str">
        <f>"2017-03-18 14:46:30"</f>
        <v>2017-03-18 14:46:30</v>
      </c>
      <c r="M2750" s="2">
        <v>2.8124999999999995E-3</v>
      </c>
      <c r="N2750" s="1" t="s">
        <v>26</v>
      </c>
      <c r="O2750" s="1" t="s">
        <v>34</v>
      </c>
      <c r="P2750" s="2">
        <v>3.1944444444444442E-3</v>
      </c>
      <c r="Q2750" s="1" t="s">
        <v>1975</v>
      </c>
      <c r="R2750" s="1">
        <v>0</v>
      </c>
      <c r="S2750" s="1" t="str">
        <f>""</f>
        <v/>
      </c>
      <c r="T2750" s="1" t="s">
        <v>29</v>
      </c>
      <c r="U2750" s="1" t="s">
        <v>30</v>
      </c>
      <c r="V2750" s="1">
        <v>0</v>
      </c>
    </row>
    <row r="2751" spans="2:22" x14ac:dyDescent="0.15">
      <c r="B2751" s="1" t="str">
        <f>"136****4504"</f>
        <v>136****4504</v>
      </c>
      <c r="C2751" s="1" t="s">
        <v>548</v>
      </c>
      <c r="D2751" s="1" t="str">
        <f>"4000108333"</f>
        <v>4000108333</v>
      </c>
      <c r="E2751" s="1" t="s">
        <v>53</v>
      </c>
      <c r="F2751" s="1" t="str">
        <f>"0000"</f>
        <v>0000</v>
      </c>
      <c r="G2751" s="1" t="str">
        <f>""</f>
        <v/>
      </c>
      <c r="H2751" s="1" t="str">
        <f>"0033"</f>
        <v>0033</v>
      </c>
      <c r="I2751" s="1" t="s">
        <v>106</v>
      </c>
      <c r="J2751" s="1" t="str">
        <f>"01043977567"</f>
        <v>01043977567</v>
      </c>
      <c r="K2751" s="1" t="str">
        <f>"2017-03-18 14:20:48"</f>
        <v>2017-03-18 14:20:48</v>
      </c>
      <c r="L2751" s="1" t="str">
        <f>"2017-03-18 14:21:23"</f>
        <v>2017-03-18 14:21:23</v>
      </c>
      <c r="M2751" s="2">
        <v>1.4976851851851852E-2</v>
      </c>
      <c r="N2751" s="1" t="s">
        <v>26</v>
      </c>
      <c r="O2751" s="1" t="s">
        <v>27</v>
      </c>
      <c r="P2751" s="2">
        <v>1.5381944444444443E-2</v>
      </c>
      <c r="Q2751" s="1" t="s">
        <v>1976</v>
      </c>
      <c r="R2751" s="1">
        <v>2.76</v>
      </c>
      <c r="S2751" s="1" t="str">
        <f>""</f>
        <v/>
      </c>
      <c r="T2751" s="1" t="s">
        <v>29</v>
      </c>
      <c r="U2751" s="1" t="s">
        <v>30</v>
      </c>
      <c r="V2751" s="1">
        <v>0</v>
      </c>
    </row>
    <row r="2752" spans="2:22" x14ac:dyDescent="0.15">
      <c r="B2752" s="1" t="str">
        <f>"010****7055"</f>
        <v>010****7055</v>
      </c>
      <c r="C2752" s="1" t="s">
        <v>23</v>
      </c>
      <c r="D2752" s="1" t="str">
        <f t="shared" ref="D2752:D2760" si="276">"89177328"</f>
        <v>89177328</v>
      </c>
      <c r="E2752" s="1" t="s">
        <v>24</v>
      </c>
      <c r="F2752" s="1" t="str">
        <f t="shared" ref="F2752:F2760" si="277">"0010"</f>
        <v>0010</v>
      </c>
      <c r="G2752" s="1" t="str">
        <f>""</f>
        <v/>
      </c>
      <c r="H2752" s="1" t="str">
        <f>"0018"</f>
        <v>0018</v>
      </c>
      <c r="I2752" s="1" t="s">
        <v>36</v>
      </c>
      <c r="J2752" s="1" t="str">
        <f>"01043989718"</f>
        <v>01043989718</v>
      </c>
      <c r="K2752" s="1" t="str">
        <f>"2017-03-18 13:58:02"</f>
        <v>2017-03-18 13:58:02</v>
      </c>
      <c r="L2752" s="1" t="str">
        <f>"2017-03-18 13:58:10"</f>
        <v>2017-03-18 13:58:10</v>
      </c>
      <c r="M2752" s="2">
        <v>7.6388888888888893E-4</v>
      </c>
      <c r="N2752" s="1" t="s">
        <v>26</v>
      </c>
      <c r="O2752" s="1" t="s">
        <v>34</v>
      </c>
      <c r="P2752" s="2">
        <v>8.564814814814815E-4</v>
      </c>
      <c r="Q2752" s="1" t="s">
        <v>1977</v>
      </c>
      <c r="R2752" s="1">
        <v>0</v>
      </c>
      <c r="S2752" s="1" t="str">
        <f>""</f>
        <v/>
      </c>
      <c r="T2752" s="1" t="s">
        <v>29</v>
      </c>
      <c r="U2752" s="1" t="s">
        <v>30</v>
      </c>
      <c r="V2752" s="1">
        <v>0</v>
      </c>
    </row>
    <row r="2753" spans="2:22" x14ac:dyDescent="0.15">
      <c r="B2753" s="1" t="str">
        <f>"136****2538"</f>
        <v>136****2538</v>
      </c>
      <c r="C2753" s="1" t="s">
        <v>23</v>
      </c>
      <c r="D2753" s="1" t="str">
        <f t="shared" si="276"/>
        <v>89177328</v>
      </c>
      <c r="E2753" s="1" t="s">
        <v>24</v>
      </c>
      <c r="F2753" s="1" t="str">
        <f t="shared" si="277"/>
        <v>0010</v>
      </c>
      <c r="G2753" s="1" t="str">
        <f>""</f>
        <v/>
      </c>
      <c r="H2753" s="1" t="str">
        <f>"0017"</f>
        <v>0017</v>
      </c>
      <c r="I2753" s="1" t="s">
        <v>135</v>
      </c>
      <c r="J2753" s="1" t="str">
        <f>"01043989717"</f>
        <v>01043989717</v>
      </c>
      <c r="K2753" s="1" t="str">
        <f>"2017-03-18 13:49:01"</f>
        <v>2017-03-18 13:49:01</v>
      </c>
      <c r="L2753" s="1" t="str">
        <f>"2017-03-18 13:49:09"</f>
        <v>2017-03-18 13:49:09</v>
      </c>
      <c r="M2753" s="2">
        <v>6.7245370370370367E-3</v>
      </c>
      <c r="N2753" s="1" t="s">
        <v>26</v>
      </c>
      <c r="O2753" s="1" t="s">
        <v>27</v>
      </c>
      <c r="P2753" s="2">
        <v>6.8171296296296287E-3</v>
      </c>
      <c r="Q2753" s="1" t="s">
        <v>1978</v>
      </c>
      <c r="R2753" s="1">
        <v>0</v>
      </c>
      <c r="S2753" s="1" t="str">
        <f>""</f>
        <v/>
      </c>
      <c r="T2753" s="1" t="s">
        <v>29</v>
      </c>
      <c r="U2753" s="1" t="s">
        <v>30</v>
      </c>
      <c r="V2753" s="1">
        <v>0</v>
      </c>
    </row>
    <row r="2754" spans="2:22" x14ac:dyDescent="0.15">
      <c r="B2754" s="1" t="str">
        <f>"152****1122"</f>
        <v>152****1122</v>
      </c>
      <c r="C2754" s="1" t="s">
        <v>715</v>
      </c>
      <c r="D2754" s="1" t="str">
        <f t="shared" si="276"/>
        <v>89177328</v>
      </c>
      <c r="E2754" s="1" t="s">
        <v>24</v>
      </c>
      <c r="F2754" s="1" t="str">
        <f t="shared" si="277"/>
        <v>0010</v>
      </c>
      <c r="G2754" s="1" t="str">
        <f>""</f>
        <v/>
      </c>
      <c r="H2754" s="1" t="str">
        <f>"0017"</f>
        <v>0017</v>
      </c>
      <c r="I2754" s="1" t="s">
        <v>135</v>
      </c>
      <c r="J2754" s="1" t="str">
        <f>"01043989717"</f>
        <v>01043989717</v>
      </c>
      <c r="K2754" s="1" t="str">
        <f>"2017-03-18 13:40:39"</f>
        <v>2017-03-18 13:40:39</v>
      </c>
      <c r="L2754" s="1" t="str">
        <f>"-"</f>
        <v>-</v>
      </c>
      <c r="M2754" s="2">
        <v>0</v>
      </c>
      <c r="N2754" s="1" t="s">
        <v>33</v>
      </c>
      <c r="O2754" s="1" t="s">
        <v>34</v>
      </c>
      <c r="P2754" s="2">
        <v>2.3148148148148147E-5</v>
      </c>
      <c r="Q2754" s="1" t="str">
        <f>""</f>
        <v/>
      </c>
      <c r="R2754" s="1">
        <v>0</v>
      </c>
      <c r="S2754" s="1" t="str">
        <f>""</f>
        <v/>
      </c>
      <c r="T2754" s="1" t="s">
        <v>29</v>
      </c>
      <c r="U2754" s="1" t="s">
        <v>30</v>
      </c>
      <c r="V2754" s="1">
        <v>0</v>
      </c>
    </row>
    <row r="2755" spans="2:22" x14ac:dyDescent="0.15">
      <c r="B2755" s="1" t="str">
        <f>"182****0558"</f>
        <v>182****0558</v>
      </c>
      <c r="C2755" s="1" t="s">
        <v>1979</v>
      </c>
      <c r="D2755" s="1" t="str">
        <f t="shared" si="276"/>
        <v>89177328</v>
      </c>
      <c r="E2755" s="1" t="s">
        <v>24</v>
      </c>
      <c r="F2755" s="1" t="str">
        <f t="shared" si="277"/>
        <v>0010</v>
      </c>
      <c r="G2755" s="1" t="str">
        <f>""</f>
        <v/>
      </c>
      <c r="H2755" s="1" t="str">
        <f>"0010"</f>
        <v>0010</v>
      </c>
      <c r="I2755" s="1" t="s">
        <v>71</v>
      </c>
      <c r="J2755" s="1" t="str">
        <f>"01043989719"</f>
        <v>01043989719</v>
      </c>
      <c r="K2755" s="1" t="str">
        <f>"2017-03-18 13:34:02"</f>
        <v>2017-03-18 13:34:02</v>
      </c>
      <c r="L2755" s="1" t="str">
        <f>"2017-03-18 13:34:11"</f>
        <v>2017-03-18 13:34:11</v>
      </c>
      <c r="M2755" s="2">
        <v>4.2708333333333339E-3</v>
      </c>
      <c r="N2755" s="1" t="s">
        <v>26</v>
      </c>
      <c r="O2755" s="1" t="s">
        <v>34</v>
      </c>
      <c r="P2755" s="2">
        <v>4.3749999999999995E-3</v>
      </c>
      <c r="Q2755" s="1" t="s">
        <v>1980</v>
      </c>
      <c r="R2755" s="1">
        <v>0</v>
      </c>
      <c r="S2755" s="1" t="str">
        <f>""</f>
        <v/>
      </c>
      <c r="T2755" s="1" t="s">
        <v>29</v>
      </c>
      <c r="U2755" s="1" t="s">
        <v>30</v>
      </c>
      <c r="V2755" s="1">
        <v>0</v>
      </c>
    </row>
    <row r="2756" spans="2:22" x14ac:dyDescent="0.15">
      <c r="B2756" s="1" t="str">
        <f>"177****1477"</f>
        <v>177****1477</v>
      </c>
      <c r="C2756" s="1" t="s">
        <v>23</v>
      </c>
      <c r="D2756" s="1" t="str">
        <f t="shared" si="276"/>
        <v>89177328</v>
      </c>
      <c r="E2756" s="1" t="s">
        <v>24</v>
      </c>
      <c r="F2756" s="1" t="str">
        <f t="shared" si="277"/>
        <v>0010</v>
      </c>
      <c r="G2756" s="1" t="str">
        <f>""</f>
        <v/>
      </c>
      <c r="H2756" s="1" t="str">
        <f>"0018"</f>
        <v>0018</v>
      </c>
      <c r="I2756" s="1" t="s">
        <v>36</v>
      </c>
      <c r="J2756" s="1" t="str">
        <f>"01043989718"</f>
        <v>01043989718</v>
      </c>
      <c r="K2756" s="1" t="str">
        <f>"2017-03-18 13:30:59"</f>
        <v>2017-03-18 13:30:59</v>
      </c>
      <c r="L2756" s="1" t="str">
        <f>"2017-03-18 13:31:05"</f>
        <v>2017-03-18 13:31:05</v>
      </c>
      <c r="M2756" s="2">
        <v>4.7106481481481478E-3</v>
      </c>
      <c r="N2756" s="1" t="s">
        <v>26</v>
      </c>
      <c r="O2756" s="1" t="s">
        <v>34</v>
      </c>
      <c r="P2756" s="2">
        <v>4.7800925925925919E-3</v>
      </c>
      <c r="Q2756" s="1" t="s">
        <v>1981</v>
      </c>
      <c r="R2756" s="1">
        <v>0</v>
      </c>
      <c r="S2756" s="1" t="str">
        <f>""</f>
        <v/>
      </c>
      <c r="T2756" s="1" t="s">
        <v>29</v>
      </c>
      <c r="U2756" s="1" t="s">
        <v>30</v>
      </c>
      <c r="V2756" s="1">
        <v>0</v>
      </c>
    </row>
    <row r="2757" spans="2:22" x14ac:dyDescent="0.15">
      <c r="B2757" s="1" t="str">
        <f>"150****6833"</f>
        <v>150****6833</v>
      </c>
      <c r="C2757" s="1" t="s">
        <v>1982</v>
      </c>
      <c r="D2757" s="1" t="str">
        <f t="shared" si="276"/>
        <v>89177328</v>
      </c>
      <c r="E2757" s="1" t="s">
        <v>24</v>
      </c>
      <c r="F2757" s="1" t="str">
        <f t="shared" si="277"/>
        <v>0010</v>
      </c>
      <c r="G2757" s="1" t="str">
        <f>""</f>
        <v/>
      </c>
      <c r="H2757" s="1" t="str">
        <f>"0010"</f>
        <v>0010</v>
      </c>
      <c r="I2757" s="1" t="s">
        <v>71</v>
      </c>
      <c r="J2757" s="1" t="str">
        <f>"01043989719"</f>
        <v>01043989719</v>
      </c>
      <c r="K2757" s="1" t="str">
        <f>"2017-03-18 13:27:55"</f>
        <v>2017-03-18 13:27:55</v>
      </c>
      <c r="L2757" s="1" t="str">
        <f>"2017-03-18 13:28:05"</f>
        <v>2017-03-18 13:28:05</v>
      </c>
      <c r="M2757" s="2">
        <v>3.6574074074074074E-3</v>
      </c>
      <c r="N2757" s="1" t="s">
        <v>26</v>
      </c>
      <c r="O2757" s="1" t="s">
        <v>27</v>
      </c>
      <c r="P2757" s="2">
        <v>3.7731481481481483E-3</v>
      </c>
      <c r="Q2757" s="1" t="s">
        <v>1983</v>
      </c>
      <c r="R2757" s="1">
        <v>0</v>
      </c>
      <c r="S2757" s="1" t="str">
        <f>""</f>
        <v/>
      </c>
      <c r="T2757" s="1" t="s">
        <v>29</v>
      </c>
      <c r="U2757" s="1" t="s">
        <v>30</v>
      </c>
      <c r="V2757" s="1">
        <v>0</v>
      </c>
    </row>
    <row r="2758" spans="2:22" x14ac:dyDescent="0.15">
      <c r="B2758" s="1" t="str">
        <f>"183****9030"</f>
        <v>183****9030</v>
      </c>
      <c r="C2758" s="1" t="s">
        <v>99</v>
      </c>
      <c r="D2758" s="1" t="str">
        <f t="shared" si="276"/>
        <v>89177328</v>
      </c>
      <c r="E2758" s="1" t="s">
        <v>24</v>
      </c>
      <c r="F2758" s="1" t="str">
        <f t="shared" si="277"/>
        <v>0010</v>
      </c>
      <c r="G2758" s="1" t="str">
        <f>""</f>
        <v/>
      </c>
      <c r="H2758" s="1" t="str">
        <f>"0018"</f>
        <v>0018</v>
      </c>
      <c r="I2758" s="1" t="s">
        <v>36</v>
      </c>
      <c r="J2758" s="1" t="str">
        <f>"01043989718"</f>
        <v>01043989718</v>
      </c>
      <c r="K2758" s="1" t="str">
        <f>"2017-03-18 13:11:55"</f>
        <v>2017-03-18 13:11:55</v>
      </c>
      <c r="L2758" s="1" t="str">
        <f>"2017-03-18 13:12:02"</f>
        <v>2017-03-18 13:12:02</v>
      </c>
      <c r="M2758" s="2">
        <v>6.4583333333333333E-3</v>
      </c>
      <c r="N2758" s="1" t="s">
        <v>26</v>
      </c>
      <c r="O2758" s="1" t="s">
        <v>34</v>
      </c>
      <c r="P2758" s="2">
        <v>6.5393518518518517E-3</v>
      </c>
      <c r="Q2758" s="1" t="s">
        <v>1984</v>
      </c>
      <c r="R2758" s="1">
        <v>0</v>
      </c>
      <c r="S2758" s="1" t="str">
        <f>""</f>
        <v/>
      </c>
      <c r="T2758" s="1" t="s">
        <v>29</v>
      </c>
      <c r="U2758" s="1" t="s">
        <v>30</v>
      </c>
      <c r="V2758" s="1">
        <v>0</v>
      </c>
    </row>
    <row r="2759" spans="2:22" x14ac:dyDescent="0.15">
      <c r="B2759" s="1" t="str">
        <f>"136****4777"</f>
        <v>136****4777</v>
      </c>
      <c r="C2759" s="1" t="s">
        <v>23</v>
      </c>
      <c r="D2759" s="1" t="str">
        <f t="shared" si="276"/>
        <v>89177328</v>
      </c>
      <c r="E2759" s="1" t="s">
        <v>24</v>
      </c>
      <c r="F2759" s="1" t="str">
        <f t="shared" si="277"/>
        <v>0010</v>
      </c>
      <c r="G2759" s="1" t="str">
        <f>""</f>
        <v/>
      </c>
      <c r="H2759" s="1" t="str">
        <f>"0033"</f>
        <v>0033</v>
      </c>
      <c r="I2759" s="1" t="s">
        <v>106</v>
      </c>
      <c r="J2759" s="1" t="str">
        <f>"01043977567"</f>
        <v>01043977567</v>
      </c>
      <c r="K2759" s="1" t="str">
        <f>"2017-03-18 13:10:37"</f>
        <v>2017-03-18 13:10:37</v>
      </c>
      <c r="L2759" s="1" t="str">
        <f>"2017-03-18 13:10:42"</f>
        <v>2017-03-18 13:10:42</v>
      </c>
      <c r="M2759" s="2">
        <v>1.0856481481481481E-2</v>
      </c>
      <c r="N2759" s="1" t="s">
        <v>26</v>
      </c>
      <c r="O2759" s="1" t="s">
        <v>27</v>
      </c>
      <c r="P2759" s="2">
        <v>1.091435185185185E-2</v>
      </c>
      <c r="Q2759" s="1" t="s">
        <v>1985</v>
      </c>
      <c r="R2759" s="1">
        <v>0</v>
      </c>
      <c r="S2759" s="1" t="str">
        <f>""</f>
        <v/>
      </c>
      <c r="T2759" s="1" t="s">
        <v>29</v>
      </c>
      <c r="U2759" s="1" t="s">
        <v>30</v>
      </c>
      <c r="V2759" s="1">
        <v>0</v>
      </c>
    </row>
    <row r="2760" spans="2:22" x14ac:dyDescent="0.15">
      <c r="B2760" s="1" t="str">
        <f>"185****9246"</f>
        <v>185****9246</v>
      </c>
      <c r="C2760" s="1" t="s">
        <v>283</v>
      </c>
      <c r="D2760" s="1" t="str">
        <f t="shared" si="276"/>
        <v>89177328</v>
      </c>
      <c r="E2760" s="1" t="s">
        <v>24</v>
      </c>
      <c r="F2760" s="1" t="str">
        <f t="shared" si="277"/>
        <v>0010</v>
      </c>
      <c r="G2760" s="1" t="str">
        <f>""</f>
        <v/>
      </c>
      <c r="H2760" s="1" t="str">
        <f>"0012"</f>
        <v>0012</v>
      </c>
      <c r="I2760" s="1" t="s">
        <v>612</v>
      </c>
      <c r="J2760" s="1" t="str">
        <f>"01043989720"</f>
        <v>01043989720</v>
      </c>
      <c r="K2760" s="1" t="str">
        <f>"2017-03-18 13:02:55"</f>
        <v>2017-03-18 13:02:55</v>
      </c>
      <c r="L2760" s="1" t="str">
        <f>"2017-03-18 13:03:09"</f>
        <v>2017-03-18 13:03:09</v>
      </c>
      <c r="M2760" s="2">
        <v>1.1956018518518517E-2</v>
      </c>
      <c r="N2760" s="1" t="s">
        <v>26</v>
      </c>
      <c r="O2760" s="1" t="s">
        <v>34</v>
      </c>
      <c r="P2760" s="2">
        <v>1.2118055555555556E-2</v>
      </c>
      <c r="Q2760" s="1" t="s">
        <v>1986</v>
      </c>
      <c r="R2760" s="1">
        <v>0</v>
      </c>
      <c r="S2760" s="1" t="str">
        <f>""</f>
        <v/>
      </c>
      <c r="T2760" s="1" t="s">
        <v>29</v>
      </c>
      <c r="U2760" s="1" t="s">
        <v>30</v>
      </c>
      <c r="V2760" s="1">
        <v>0</v>
      </c>
    </row>
    <row r="2761" spans="2:22" x14ac:dyDescent="0.15">
      <c r="B2761" s="1" t="str">
        <f>"186****3456"</f>
        <v>186****3456</v>
      </c>
      <c r="C2761" s="1" t="s">
        <v>23</v>
      </c>
      <c r="D2761" s="1" t="str">
        <f>"89176026"</f>
        <v>89176026</v>
      </c>
      <c r="E2761" s="1" t="str">
        <f>""</f>
        <v/>
      </c>
      <c r="F2761" s="1" t="str">
        <f>""</f>
        <v/>
      </c>
      <c r="G2761" s="1" t="str">
        <f>""</f>
        <v/>
      </c>
      <c r="H2761" s="1" t="str">
        <f>""</f>
        <v/>
      </c>
      <c r="I2761" s="1" t="str">
        <f>""</f>
        <v/>
      </c>
      <c r="J2761" s="1" t="str">
        <f>""</f>
        <v/>
      </c>
      <c r="K2761" s="1" t="str">
        <f>"2017-03-18 12:48:54"</f>
        <v>2017-03-18 12:48:54</v>
      </c>
      <c r="L2761" s="1" t="str">
        <f>"-"</f>
        <v>-</v>
      </c>
      <c r="M2761" s="2">
        <v>0</v>
      </c>
      <c r="N2761" s="1" t="s">
        <v>55</v>
      </c>
      <c r="O2761" s="1" t="s">
        <v>27</v>
      </c>
      <c r="P2761" s="2">
        <v>1.1574074074074073E-5</v>
      </c>
      <c r="Q2761" s="1" t="str">
        <f>""</f>
        <v/>
      </c>
      <c r="R2761" s="1">
        <v>0</v>
      </c>
      <c r="S2761" s="1" t="str">
        <f>""</f>
        <v/>
      </c>
      <c r="T2761" s="1" t="s">
        <v>29</v>
      </c>
      <c r="U2761" s="1" t="s">
        <v>30</v>
      </c>
      <c r="V2761" s="1">
        <v>0</v>
      </c>
    </row>
    <row r="2762" spans="2:22" x14ac:dyDescent="0.15">
      <c r="B2762" s="1" t="str">
        <f>"186****3456"</f>
        <v>186****3456</v>
      </c>
      <c r="C2762" s="1" t="s">
        <v>23</v>
      </c>
      <c r="D2762" s="1" t="str">
        <f>"89176026"</f>
        <v>89176026</v>
      </c>
      <c r="E2762" s="1" t="str">
        <f>""</f>
        <v/>
      </c>
      <c r="F2762" s="1" t="str">
        <f>""</f>
        <v/>
      </c>
      <c r="G2762" s="1" t="str">
        <f>""</f>
        <v/>
      </c>
      <c r="H2762" s="1" t="str">
        <f>""</f>
        <v/>
      </c>
      <c r="I2762" s="1" t="str">
        <f>""</f>
        <v/>
      </c>
      <c r="J2762" s="1" t="str">
        <f>""</f>
        <v/>
      </c>
      <c r="K2762" s="1" t="str">
        <f>"2017-03-18 12:48:29"</f>
        <v>2017-03-18 12:48:29</v>
      </c>
      <c r="L2762" s="1" t="str">
        <f>"-"</f>
        <v>-</v>
      </c>
      <c r="M2762" s="2">
        <v>0</v>
      </c>
      <c r="N2762" s="1" t="s">
        <v>55</v>
      </c>
      <c r="O2762" s="1" t="s">
        <v>27</v>
      </c>
      <c r="P2762" s="2">
        <v>1.1574074074074073E-5</v>
      </c>
      <c r="Q2762" s="1" t="str">
        <f>""</f>
        <v/>
      </c>
      <c r="R2762" s="1">
        <v>0</v>
      </c>
      <c r="S2762" s="1" t="str">
        <f>""</f>
        <v/>
      </c>
      <c r="T2762" s="1" t="s">
        <v>29</v>
      </c>
      <c r="U2762" s="1" t="s">
        <v>30</v>
      </c>
      <c r="V2762" s="1">
        <v>0</v>
      </c>
    </row>
    <row r="2763" spans="2:22" x14ac:dyDescent="0.15">
      <c r="B2763" s="1" t="str">
        <f>"186****3456"</f>
        <v>186****3456</v>
      </c>
      <c r="C2763" s="1" t="s">
        <v>23</v>
      </c>
      <c r="D2763" s="1" t="str">
        <f>"89176026"</f>
        <v>89176026</v>
      </c>
      <c r="E2763" s="1" t="str">
        <f>""</f>
        <v/>
      </c>
      <c r="F2763" s="1" t="str">
        <f>""</f>
        <v/>
      </c>
      <c r="G2763" s="1" t="str">
        <f>""</f>
        <v/>
      </c>
      <c r="H2763" s="1" t="str">
        <f>""</f>
        <v/>
      </c>
      <c r="I2763" s="1" t="str">
        <f>""</f>
        <v/>
      </c>
      <c r="J2763" s="1" t="str">
        <f>""</f>
        <v/>
      </c>
      <c r="K2763" s="1" t="str">
        <f>"2017-03-18 12:48:18"</f>
        <v>2017-03-18 12:48:18</v>
      </c>
      <c r="L2763" s="1" t="str">
        <f>"-"</f>
        <v>-</v>
      </c>
      <c r="M2763" s="2">
        <v>0</v>
      </c>
      <c r="N2763" s="1" t="s">
        <v>55</v>
      </c>
      <c r="O2763" s="1" t="s">
        <v>27</v>
      </c>
      <c r="P2763" s="2">
        <v>1.1574074074074073E-5</v>
      </c>
      <c r="Q2763" s="1" t="str">
        <f>""</f>
        <v/>
      </c>
      <c r="R2763" s="1">
        <v>0</v>
      </c>
      <c r="S2763" s="1" t="str">
        <f>""</f>
        <v/>
      </c>
      <c r="T2763" s="1" t="s">
        <v>29</v>
      </c>
      <c r="U2763" s="1" t="s">
        <v>30</v>
      </c>
      <c r="V2763" s="1">
        <v>0</v>
      </c>
    </row>
    <row r="2764" spans="2:22" x14ac:dyDescent="0.15">
      <c r="B2764" s="1" t="str">
        <f>"136****6946"</f>
        <v>136****6946</v>
      </c>
      <c r="C2764" s="1" t="s">
        <v>283</v>
      </c>
      <c r="D2764" s="1" t="str">
        <f>"89177328"</f>
        <v>89177328</v>
      </c>
      <c r="E2764" s="1" t="s">
        <v>24</v>
      </c>
      <c r="F2764" s="1" t="str">
        <f>"0010"</f>
        <v>0010</v>
      </c>
      <c r="G2764" s="1" t="str">
        <f>""</f>
        <v/>
      </c>
      <c r="H2764" s="1" t="str">
        <f>"0017"</f>
        <v>0017</v>
      </c>
      <c r="I2764" s="1" t="s">
        <v>135</v>
      </c>
      <c r="J2764" s="1" t="str">
        <f>"01043989717"</f>
        <v>01043989717</v>
      </c>
      <c r="K2764" s="1" t="str">
        <f>"2017-03-18 12:35:05"</f>
        <v>2017-03-18 12:35:05</v>
      </c>
      <c r="L2764" s="1" t="str">
        <f>"-"</f>
        <v>-</v>
      </c>
      <c r="M2764" s="2">
        <v>0</v>
      </c>
      <c r="N2764" s="1" t="s">
        <v>33</v>
      </c>
      <c r="O2764" s="1" t="s">
        <v>34</v>
      </c>
      <c r="P2764" s="2">
        <v>1.1574074074074073E-5</v>
      </c>
      <c r="Q2764" s="1" t="str">
        <f>""</f>
        <v/>
      </c>
      <c r="R2764" s="1">
        <v>0</v>
      </c>
      <c r="S2764" s="1" t="str">
        <f>""</f>
        <v/>
      </c>
      <c r="T2764" s="1" t="s">
        <v>29</v>
      </c>
      <c r="U2764" s="1" t="s">
        <v>30</v>
      </c>
      <c r="V2764" s="1">
        <v>0</v>
      </c>
    </row>
    <row r="2765" spans="2:22" x14ac:dyDescent="0.15">
      <c r="B2765" s="1" t="str">
        <f>"185****6699"</f>
        <v>185****6699</v>
      </c>
      <c r="C2765" s="1" t="s">
        <v>23</v>
      </c>
      <c r="D2765" s="1" t="str">
        <f>"89177328"</f>
        <v>89177328</v>
      </c>
      <c r="E2765" s="1" t="s">
        <v>24</v>
      </c>
      <c r="F2765" s="1" t="str">
        <f>"0010"</f>
        <v>0010</v>
      </c>
      <c r="G2765" s="1" t="str">
        <f>""</f>
        <v/>
      </c>
      <c r="H2765" s="1" t="str">
        <f>"0033"</f>
        <v>0033</v>
      </c>
      <c r="I2765" s="1" t="s">
        <v>106</v>
      </c>
      <c r="J2765" s="1" t="str">
        <f>"01043977567"</f>
        <v>01043977567</v>
      </c>
      <c r="K2765" s="1" t="str">
        <f>"2017-03-18 12:10:05"</f>
        <v>2017-03-18 12:10:05</v>
      </c>
      <c r="L2765" s="1" t="str">
        <f>"2017-03-18 12:10:14"</f>
        <v>2017-03-18 12:10:14</v>
      </c>
      <c r="M2765" s="2">
        <v>3.1828703703703702E-3</v>
      </c>
      <c r="N2765" s="1" t="s">
        <v>26</v>
      </c>
      <c r="O2765" s="1" t="s">
        <v>27</v>
      </c>
      <c r="P2765" s="2">
        <v>3.2870370370370367E-3</v>
      </c>
      <c r="Q2765" s="1" t="s">
        <v>1987</v>
      </c>
      <c r="R2765" s="1">
        <v>0</v>
      </c>
      <c r="S2765" s="1" t="str">
        <f>""</f>
        <v/>
      </c>
      <c r="T2765" s="1" t="s">
        <v>29</v>
      </c>
      <c r="U2765" s="1" t="s">
        <v>30</v>
      </c>
      <c r="V2765" s="1">
        <v>0</v>
      </c>
    </row>
    <row r="2766" spans="2:22" x14ac:dyDescent="0.15">
      <c r="B2766" s="1" t="str">
        <f>"139****5796"</f>
        <v>139****5796</v>
      </c>
      <c r="C2766" s="1" t="s">
        <v>23</v>
      </c>
      <c r="D2766" s="1" t="str">
        <f>"4000108333"</f>
        <v>4000108333</v>
      </c>
      <c r="E2766" s="1" t="s">
        <v>53</v>
      </c>
      <c r="F2766" s="1" t="str">
        <f>"0000"</f>
        <v>0000</v>
      </c>
      <c r="G2766" s="1" t="str">
        <f>""</f>
        <v/>
      </c>
      <c r="H2766" s="1" t="str">
        <f>"0018"</f>
        <v>0018</v>
      </c>
      <c r="I2766" s="1" t="s">
        <v>36</v>
      </c>
      <c r="J2766" s="1" t="str">
        <f>"01043989718"</f>
        <v>01043989718</v>
      </c>
      <c r="K2766" s="1" t="str">
        <f>"2017-03-18 12:09:53"</f>
        <v>2017-03-18 12:09:53</v>
      </c>
      <c r="L2766" s="1" t="str">
        <f>"2017-03-18 12:10:34"</f>
        <v>2017-03-18 12:10:34</v>
      </c>
      <c r="M2766" s="2">
        <v>1.8935185185185183E-2</v>
      </c>
      <c r="N2766" s="1" t="s">
        <v>26</v>
      </c>
      <c r="O2766" s="1" t="s">
        <v>34</v>
      </c>
      <c r="P2766" s="2">
        <v>1.9409722222222221E-2</v>
      </c>
      <c r="Q2766" s="1" t="s">
        <v>1988</v>
      </c>
      <c r="R2766" s="1">
        <v>3.36</v>
      </c>
      <c r="S2766" s="1" t="str">
        <f>""</f>
        <v/>
      </c>
      <c r="T2766" s="1" t="s">
        <v>29</v>
      </c>
      <c r="U2766" s="1" t="s">
        <v>30</v>
      </c>
      <c r="V2766" s="1">
        <v>0</v>
      </c>
    </row>
    <row r="2767" spans="2:22" x14ac:dyDescent="0.15">
      <c r="B2767" s="1" t="str">
        <f>"183****4280"</f>
        <v>183****4280</v>
      </c>
      <c r="C2767" s="1" t="s">
        <v>23</v>
      </c>
      <c r="D2767" s="1" t="str">
        <f t="shared" ref="D2767:D2811" si="278">"89177328"</f>
        <v>89177328</v>
      </c>
      <c r="E2767" s="1" t="s">
        <v>24</v>
      </c>
      <c r="F2767" s="1" t="str">
        <f t="shared" ref="F2767:F2811" si="279">"0010"</f>
        <v>0010</v>
      </c>
      <c r="G2767" s="1" t="str">
        <f>""</f>
        <v/>
      </c>
      <c r="H2767" s="1" t="str">
        <f>"0033"</f>
        <v>0033</v>
      </c>
      <c r="I2767" s="1" t="s">
        <v>106</v>
      </c>
      <c r="J2767" s="1" t="str">
        <f>"01043977567"</f>
        <v>01043977567</v>
      </c>
      <c r="K2767" s="1" t="str">
        <f>"2017-03-18 11:52:39"</f>
        <v>2017-03-18 11:52:39</v>
      </c>
      <c r="L2767" s="1" t="str">
        <f>"2017-03-18 11:52:48"</f>
        <v>2017-03-18 11:52:48</v>
      </c>
      <c r="M2767" s="2">
        <v>1.0416666666666667E-4</v>
      </c>
      <c r="N2767" s="1" t="s">
        <v>26</v>
      </c>
      <c r="O2767" s="1" t="s">
        <v>27</v>
      </c>
      <c r="P2767" s="2">
        <v>2.0833333333333335E-4</v>
      </c>
      <c r="Q2767" s="1" t="s">
        <v>1989</v>
      </c>
      <c r="R2767" s="1">
        <v>0</v>
      </c>
      <c r="S2767" s="1" t="str">
        <f>""</f>
        <v/>
      </c>
      <c r="T2767" s="1" t="s">
        <v>29</v>
      </c>
      <c r="U2767" s="1" t="s">
        <v>30</v>
      </c>
      <c r="V2767" s="1">
        <v>0</v>
      </c>
    </row>
    <row r="2768" spans="2:22" x14ac:dyDescent="0.15">
      <c r="B2768" s="1" t="str">
        <f>"139****0835"</f>
        <v>139****0835</v>
      </c>
      <c r="C2768" s="1" t="s">
        <v>1990</v>
      </c>
      <c r="D2768" s="1" t="str">
        <f t="shared" si="278"/>
        <v>89177328</v>
      </c>
      <c r="E2768" s="1" t="s">
        <v>24</v>
      </c>
      <c r="F2768" s="1" t="str">
        <f t="shared" si="279"/>
        <v>0010</v>
      </c>
      <c r="G2768" s="1" t="str">
        <f>""</f>
        <v/>
      </c>
      <c r="H2768" s="1" t="str">
        <f>"0032"</f>
        <v>0032</v>
      </c>
      <c r="I2768" s="1" t="s">
        <v>119</v>
      </c>
      <c r="J2768" s="1" t="str">
        <f>"01043977566"</f>
        <v>01043977566</v>
      </c>
      <c r="K2768" s="1" t="str">
        <f>"2017-03-18 11:44:15"</f>
        <v>2017-03-18 11:44:15</v>
      </c>
      <c r="L2768" s="1" t="str">
        <f>"2017-03-18 11:44:27"</f>
        <v>2017-03-18 11:44:27</v>
      </c>
      <c r="M2768" s="2">
        <v>3.645833333333333E-3</v>
      </c>
      <c r="N2768" s="1" t="s">
        <v>26</v>
      </c>
      <c r="O2768" s="1" t="s">
        <v>34</v>
      </c>
      <c r="P2768" s="2">
        <v>3.7847222222222223E-3</v>
      </c>
      <c r="Q2768" s="1" t="s">
        <v>1991</v>
      </c>
      <c r="R2768" s="1">
        <v>0</v>
      </c>
      <c r="S2768" s="1" t="str">
        <f>""</f>
        <v/>
      </c>
      <c r="T2768" s="1" t="s">
        <v>29</v>
      </c>
      <c r="U2768" s="1" t="s">
        <v>30</v>
      </c>
      <c r="V2768" s="1">
        <v>0</v>
      </c>
    </row>
    <row r="2769" spans="2:22" x14ac:dyDescent="0.15">
      <c r="B2769" s="1" t="str">
        <f>"189****4510"</f>
        <v>189****4510</v>
      </c>
      <c r="C2769" s="1" t="s">
        <v>80</v>
      </c>
      <c r="D2769" s="1" t="str">
        <f t="shared" si="278"/>
        <v>89177328</v>
      </c>
      <c r="E2769" s="1" t="s">
        <v>24</v>
      </c>
      <c r="F2769" s="1" t="str">
        <f t="shared" si="279"/>
        <v>0010</v>
      </c>
      <c r="G2769" s="1" t="str">
        <f>""</f>
        <v/>
      </c>
      <c r="H2769" s="1" t="str">
        <f>"0018"</f>
        <v>0018</v>
      </c>
      <c r="I2769" s="1" t="s">
        <v>36</v>
      </c>
      <c r="J2769" s="1" t="str">
        <f>"01043989718"</f>
        <v>01043989718</v>
      </c>
      <c r="K2769" s="1" t="str">
        <f>"2017-03-18 11:39:22"</f>
        <v>2017-03-18 11:39:22</v>
      </c>
      <c r="L2769" s="1" t="str">
        <f>"2017-03-18 11:39:28"</f>
        <v>2017-03-18 11:39:28</v>
      </c>
      <c r="M2769" s="2">
        <v>3.5416666666666665E-3</v>
      </c>
      <c r="N2769" s="1" t="s">
        <v>26</v>
      </c>
      <c r="O2769" s="1" t="s">
        <v>34</v>
      </c>
      <c r="P2769" s="2">
        <v>3.6111111111111114E-3</v>
      </c>
      <c r="Q2769" s="1" t="s">
        <v>1992</v>
      </c>
      <c r="R2769" s="1">
        <v>0</v>
      </c>
      <c r="S2769" s="1" t="str">
        <f>""</f>
        <v/>
      </c>
      <c r="T2769" s="1" t="s">
        <v>29</v>
      </c>
      <c r="U2769" s="1" t="s">
        <v>30</v>
      </c>
      <c r="V2769" s="1">
        <v>0</v>
      </c>
    </row>
    <row r="2770" spans="2:22" x14ac:dyDescent="0.15">
      <c r="B2770" s="1" t="str">
        <f>"189****4510"</f>
        <v>189****4510</v>
      </c>
      <c r="C2770" s="1" t="s">
        <v>80</v>
      </c>
      <c r="D2770" s="1" t="str">
        <f t="shared" si="278"/>
        <v>89177328</v>
      </c>
      <c r="E2770" s="1" t="s">
        <v>24</v>
      </c>
      <c r="F2770" s="1" t="str">
        <f t="shared" si="279"/>
        <v>0010</v>
      </c>
      <c r="G2770" s="1" t="str">
        <f>""</f>
        <v/>
      </c>
      <c r="H2770" s="1" t="str">
        <f>"0018"</f>
        <v>0018</v>
      </c>
      <c r="I2770" s="1" t="s">
        <v>36</v>
      </c>
      <c r="J2770" s="1" t="str">
        <f>"01043989718"</f>
        <v>01043989718</v>
      </c>
      <c r="K2770" s="1" t="str">
        <f>"2017-03-18 11:37:48"</f>
        <v>2017-03-18 11:37:48</v>
      </c>
      <c r="L2770" s="1" t="str">
        <f>"-"</f>
        <v>-</v>
      </c>
      <c r="M2770" s="2">
        <v>0</v>
      </c>
      <c r="N2770" s="1" t="s">
        <v>33</v>
      </c>
      <c r="O2770" s="1" t="s">
        <v>34</v>
      </c>
      <c r="P2770" s="2">
        <v>2.3148148148148147E-5</v>
      </c>
      <c r="Q2770" s="1" t="str">
        <f>""</f>
        <v/>
      </c>
      <c r="R2770" s="1">
        <v>0</v>
      </c>
      <c r="S2770" s="1" t="str">
        <f>""</f>
        <v/>
      </c>
      <c r="T2770" s="1" t="s">
        <v>29</v>
      </c>
      <c r="U2770" s="1" t="s">
        <v>30</v>
      </c>
      <c r="V2770" s="1">
        <v>0</v>
      </c>
    </row>
    <row r="2771" spans="2:22" x14ac:dyDescent="0.15">
      <c r="B2771" s="1" t="str">
        <f>"130****5656"</f>
        <v>130****5656</v>
      </c>
      <c r="C2771" s="1" t="s">
        <v>112</v>
      </c>
      <c r="D2771" s="1" t="str">
        <f t="shared" si="278"/>
        <v>89177328</v>
      </c>
      <c r="E2771" s="1" t="s">
        <v>24</v>
      </c>
      <c r="F2771" s="1" t="str">
        <f t="shared" si="279"/>
        <v>0010</v>
      </c>
      <c r="G2771" s="1" t="str">
        <f>""</f>
        <v/>
      </c>
      <c r="H2771" s="1" t="str">
        <f>"0018"</f>
        <v>0018</v>
      </c>
      <c r="I2771" s="1" t="s">
        <v>36</v>
      </c>
      <c r="J2771" s="1" t="str">
        <f>"01043989718"</f>
        <v>01043989718</v>
      </c>
      <c r="K2771" s="1" t="str">
        <f>"2017-03-18 11:36:52"</f>
        <v>2017-03-18 11:36:52</v>
      </c>
      <c r="L2771" s="1" t="str">
        <f>"2017-03-18 11:37:04"</f>
        <v>2017-03-18 11:37:04</v>
      </c>
      <c r="M2771" s="2">
        <v>1.7361111111111112E-4</v>
      </c>
      <c r="N2771" s="1" t="s">
        <v>26</v>
      </c>
      <c r="O2771" s="1" t="s">
        <v>34</v>
      </c>
      <c r="P2771" s="2">
        <v>3.1250000000000001E-4</v>
      </c>
      <c r="Q2771" s="1" t="s">
        <v>1993</v>
      </c>
      <c r="R2771" s="1">
        <v>0</v>
      </c>
      <c r="S2771" s="1" t="str">
        <f>""</f>
        <v/>
      </c>
      <c r="T2771" s="1" t="s">
        <v>29</v>
      </c>
      <c r="U2771" s="1" t="s">
        <v>30</v>
      </c>
      <c r="V2771" s="1">
        <v>0</v>
      </c>
    </row>
    <row r="2772" spans="2:22" x14ac:dyDescent="0.15">
      <c r="B2772" s="1" t="str">
        <f>"183****4280"</f>
        <v>183****4280</v>
      </c>
      <c r="C2772" s="1" t="s">
        <v>23</v>
      </c>
      <c r="D2772" s="1" t="str">
        <f t="shared" si="278"/>
        <v>89177328</v>
      </c>
      <c r="E2772" s="1" t="s">
        <v>24</v>
      </c>
      <c r="F2772" s="1" t="str">
        <f t="shared" si="279"/>
        <v>0010</v>
      </c>
      <c r="G2772" s="1" t="str">
        <f>""</f>
        <v/>
      </c>
      <c r="H2772" s="1" t="str">
        <f>"0018"</f>
        <v>0018</v>
      </c>
      <c r="I2772" s="1" t="s">
        <v>36</v>
      </c>
      <c r="J2772" s="1" t="str">
        <f>"01043989718"</f>
        <v>01043989718</v>
      </c>
      <c r="K2772" s="1" t="str">
        <f>"2017-03-18 11:35:36"</f>
        <v>2017-03-18 11:35:36</v>
      </c>
      <c r="L2772" s="1" t="str">
        <f>"-"</f>
        <v>-</v>
      </c>
      <c r="M2772" s="2">
        <v>0</v>
      </c>
      <c r="N2772" s="1" t="s">
        <v>33</v>
      </c>
      <c r="O2772" s="1" t="s">
        <v>34</v>
      </c>
      <c r="P2772" s="2">
        <v>1.1574074074074073E-4</v>
      </c>
      <c r="Q2772" s="1" t="str">
        <f>""</f>
        <v/>
      </c>
      <c r="R2772" s="1">
        <v>0</v>
      </c>
      <c r="S2772" s="1" t="str">
        <f>""</f>
        <v/>
      </c>
      <c r="T2772" s="1" t="s">
        <v>29</v>
      </c>
      <c r="U2772" s="1" t="s">
        <v>30</v>
      </c>
      <c r="V2772" s="1">
        <v>0</v>
      </c>
    </row>
    <row r="2773" spans="2:22" x14ac:dyDescent="0.15">
      <c r="B2773" s="1" t="str">
        <f>"188****7867"</f>
        <v>188****7867</v>
      </c>
      <c r="C2773" s="1" t="s">
        <v>23</v>
      </c>
      <c r="D2773" s="1" t="str">
        <f t="shared" si="278"/>
        <v>89177328</v>
      </c>
      <c r="E2773" s="1" t="s">
        <v>24</v>
      </c>
      <c r="F2773" s="1" t="str">
        <f t="shared" si="279"/>
        <v>0010</v>
      </c>
      <c r="G2773" s="1" t="str">
        <f>""</f>
        <v/>
      </c>
      <c r="H2773" s="1" t="str">
        <f>"0017"</f>
        <v>0017</v>
      </c>
      <c r="I2773" s="1" t="s">
        <v>135</v>
      </c>
      <c r="J2773" s="1" t="str">
        <f>"01043989717"</f>
        <v>01043989717</v>
      </c>
      <c r="K2773" s="1" t="str">
        <f>"2017-03-18 11:24:55"</f>
        <v>2017-03-18 11:24:55</v>
      </c>
      <c r="L2773" s="1" t="str">
        <f>"-"</f>
        <v>-</v>
      </c>
      <c r="M2773" s="2">
        <v>0</v>
      </c>
      <c r="N2773" s="1" t="s">
        <v>33</v>
      </c>
      <c r="O2773" s="1" t="s">
        <v>34</v>
      </c>
      <c r="P2773" s="2">
        <v>9.2592592592592588E-5</v>
      </c>
      <c r="Q2773" s="1" t="str">
        <f>""</f>
        <v/>
      </c>
      <c r="R2773" s="1">
        <v>0</v>
      </c>
      <c r="S2773" s="1" t="str">
        <f>""</f>
        <v/>
      </c>
      <c r="T2773" s="1" t="s">
        <v>29</v>
      </c>
      <c r="U2773" s="1" t="s">
        <v>30</v>
      </c>
      <c r="V2773" s="1">
        <v>0</v>
      </c>
    </row>
    <row r="2774" spans="2:22" x14ac:dyDescent="0.15">
      <c r="B2774" s="1" t="str">
        <f>"188****7867"</f>
        <v>188****7867</v>
      </c>
      <c r="C2774" s="1" t="s">
        <v>23</v>
      </c>
      <c r="D2774" s="1" t="str">
        <f t="shared" si="278"/>
        <v>89177328</v>
      </c>
      <c r="E2774" s="1" t="s">
        <v>24</v>
      </c>
      <c r="F2774" s="1" t="str">
        <f t="shared" si="279"/>
        <v>0010</v>
      </c>
      <c r="G2774" s="1" t="str">
        <f>""</f>
        <v/>
      </c>
      <c r="H2774" s="1" t="str">
        <f>"0017"</f>
        <v>0017</v>
      </c>
      <c r="I2774" s="1" t="s">
        <v>135</v>
      </c>
      <c r="J2774" s="1" t="str">
        <f>"01043989717"</f>
        <v>01043989717</v>
      </c>
      <c r="K2774" s="1" t="str">
        <f>"2017-03-18 11:21:33"</f>
        <v>2017-03-18 11:21:33</v>
      </c>
      <c r="L2774" s="1" t="str">
        <f>"-"</f>
        <v>-</v>
      </c>
      <c r="M2774" s="2">
        <v>0</v>
      </c>
      <c r="N2774" s="1" t="s">
        <v>33</v>
      </c>
      <c r="O2774" s="1" t="s">
        <v>34</v>
      </c>
      <c r="P2774" s="2">
        <v>1.273148148148148E-4</v>
      </c>
      <c r="Q2774" s="1" t="str">
        <f>""</f>
        <v/>
      </c>
      <c r="R2774" s="1">
        <v>0</v>
      </c>
      <c r="S2774" s="1" t="str">
        <f>""</f>
        <v/>
      </c>
      <c r="T2774" s="1" t="s">
        <v>29</v>
      </c>
      <c r="U2774" s="1" t="s">
        <v>30</v>
      </c>
      <c r="V2774" s="1">
        <v>0</v>
      </c>
    </row>
    <row r="2775" spans="2:22" x14ac:dyDescent="0.15">
      <c r="B2775" s="1" t="str">
        <f>"186****0604"</f>
        <v>186****0604</v>
      </c>
      <c r="C2775" s="1" t="s">
        <v>23</v>
      </c>
      <c r="D2775" s="1" t="str">
        <f t="shared" si="278"/>
        <v>89177328</v>
      </c>
      <c r="E2775" s="1" t="s">
        <v>24</v>
      </c>
      <c r="F2775" s="1" t="str">
        <f t="shared" si="279"/>
        <v>0010</v>
      </c>
      <c r="G2775" s="1" t="str">
        <f>""</f>
        <v/>
      </c>
      <c r="H2775" s="1" t="str">
        <f>"0033"</f>
        <v>0033</v>
      </c>
      <c r="I2775" s="1" t="s">
        <v>106</v>
      </c>
      <c r="J2775" s="1" t="str">
        <f>"01043977567"</f>
        <v>01043977567</v>
      </c>
      <c r="K2775" s="1" t="str">
        <f>"2017-03-18 11:18:54"</f>
        <v>2017-03-18 11:18:54</v>
      </c>
      <c r="L2775" s="1" t="str">
        <f>"-"</f>
        <v>-</v>
      </c>
      <c r="M2775" s="2">
        <v>0</v>
      </c>
      <c r="N2775" s="1" t="s">
        <v>33</v>
      </c>
      <c r="O2775" s="1" t="s">
        <v>34</v>
      </c>
      <c r="P2775" s="2">
        <v>3.3564814814814812E-4</v>
      </c>
      <c r="Q2775" s="1" t="str">
        <f>""</f>
        <v/>
      </c>
      <c r="R2775" s="1">
        <v>0</v>
      </c>
      <c r="S2775" s="1" t="str">
        <f>""</f>
        <v/>
      </c>
      <c r="T2775" s="1" t="s">
        <v>29</v>
      </c>
      <c r="U2775" s="1" t="s">
        <v>30</v>
      </c>
      <c r="V2775" s="1">
        <v>0</v>
      </c>
    </row>
    <row r="2776" spans="2:22" x14ac:dyDescent="0.15">
      <c r="B2776" s="1" t="str">
        <f>"135****6889"</f>
        <v>135****6889</v>
      </c>
      <c r="C2776" s="1" t="s">
        <v>550</v>
      </c>
      <c r="D2776" s="1" t="str">
        <f t="shared" si="278"/>
        <v>89177328</v>
      </c>
      <c r="E2776" s="1" t="s">
        <v>24</v>
      </c>
      <c r="F2776" s="1" t="str">
        <f t="shared" si="279"/>
        <v>0010</v>
      </c>
      <c r="G2776" s="1" t="str">
        <f>""</f>
        <v/>
      </c>
      <c r="H2776" s="1" t="str">
        <f>"0032"</f>
        <v>0032</v>
      </c>
      <c r="I2776" s="1" t="s">
        <v>119</v>
      </c>
      <c r="J2776" s="1" t="str">
        <f>"01043977566"</f>
        <v>01043977566</v>
      </c>
      <c r="K2776" s="1" t="str">
        <f>"2017-03-18 11:18:40"</f>
        <v>2017-03-18 11:18:40</v>
      </c>
      <c r="L2776" s="1" t="str">
        <f>"2017-03-18 11:18:53"</f>
        <v>2017-03-18 11:18:53</v>
      </c>
      <c r="M2776" s="2">
        <v>4.409722222222222E-3</v>
      </c>
      <c r="N2776" s="1" t="s">
        <v>26</v>
      </c>
      <c r="O2776" s="1" t="s">
        <v>34</v>
      </c>
      <c r="P2776" s="2">
        <v>4.5601851851851853E-3</v>
      </c>
      <c r="Q2776" s="1" t="s">
        <v>1994</v>
      </c>
      <c r="R2776" s="1">
        <v>0</v>
      </c>
      <c r="S2776" s="1" t="str">
        <f>""</f>
        <v/>
      </c>
      <c r="T2776" s="1" t="s">
        <v>29</v>
      </c>
      <c r="U2776" s="1" t="s">
        <v>30</v>
      </c>
      <c r="V2776" s="1">
        <v>0</v>
      </c>
    </row>
    <row r="2777" spans="2:22" x14ac:dyDescent="0.15">
      <c r="B2777" s="1" t="str">
        <f>"185****1235"</f>
        <v>185****1235</v>
      </c>
      <c r="C2777" s="1" t="s">
        <v>23</v>
      </c>
      <c r="D2777" s="1" t="str">
        <f t="shared" si="278"/>
        <v>89177328</v>
      </c>
      <c r="E2777" s="1" t="s">
        <v>24</v>
      </c>
      <c r="F2777" s="1" t="str">
        <f t="shared" si="279"/>
        <v>0010</v>
      </c>
      <c r="G2777" s="1" t="str">
        <f>""</f>
        <v/>
      </c>
      <c r="H2777" s="1" t="str">
        <f>"0017"</f>
        <v>0017</v>
      </c>
      <c r="I2777" s="1" t="s">
        <v>135</v>
      </c>
      <c r="J2777" s="1" t="str">
        <f>"01043989717"</f>
        <v>01043989717</v>
      </c>
      <c r="K2777" s="1" t="str">
        <f>"2017-03-18 11:17:15"</f>
        <v>2017-03-18 11:17:15</v>
      </c>
      <c r="L2777" s="1" t="str">
        <f>"2017-03-18 11:17:27"</f>
        <v>2017-03-18 11:17:27</v>
      </c>
      <c r="M2777" s="2">
        <v>2.2916666666666667E-3</v>
      </c>
      <c r="N2777" s="1" t="s">
        <v>26</v>
      </c>
      <c r="O2777" s="1" t="s">
        <v>27</v>
      </c>
      <c r="P2777" s="2">
        <v>2.4305555555555556E-3</v>
      </c>
      <c r="Q2777" s="1" t="s">
        <v>1995</v>
      </c>
      <c r="R2777" s="1">
        <v>0</v>
      </c>
      <c r="S2777" s="1" t="str">
        <f>""</f>
        <v/>
      </c>
      <c r="T2777" s="1" t="s">
        <v>29</v>
      </c>
      <c r="U2777" s="1" t="s">
        <v>30</v>
      </c>
      <c r="V2777" s="1">
        <v>0</v>
      </c>
    </row>
    <row r="2778" spans="2:22" x14ac:dyDescent="0.15">
      <c r="B2778" s="1" t="str">
        <f>"150****8039"</f>
        <v>150****8039</v>
      </c>
      <c r="C2778" s="1" t="s">
        <v>416</v>
      </c>
      <c r="D2778" s="1" t="str">
        <f t="shared" si="278"/>
        <v>89177328</v>
      </c>
      <c r="E2778" s="1" t="s">
        <v>24</v>
      </c>
      <c r="F2778" s="1" t="str">
        <f t="shared" si="279"/>
        <v>0010</v>
      </c>
      <c r="G2778" s="1" t="str">
        <f>""</f>
        <v/>
      </c>
      <c r="H2778" s="1" t="str">
        <f>"0018"</f>
        <v>0018</v>
      </c>
      <c r="I2778" s="1" t="s">
        <v>36</v>
      </c>
      <c r="J2778" s="1" t="str">
        <f>"01043989718"</f>
        <v>01043989718</v>
      </c>
      <c r="K2778" s="1" t="str">
        <f>"2017-03-18 11:15:47"</f>
        <v>2017-03-18 11:15:47</v>
      </c>
      <c r="L2778" s="1" t="str">
        <f>"2017-03-18 11:15:59"</f>
        <v>2017-03-18 11:15:59</v>
      </c>
      <c r="M2778" s="2">
        <v>3.0439814814814821E-3</v>
      </c>
      <c r="N2778" s="1" t="s">
        <v>26</v>
      </c>
      <c r="O2778" s="1" t="s">
        <v>34</v>
      </c>
      <c r="P2778" s="2">
        <v>3.1828703703703702E-3</v>
      </c>
      <c r="Q2778" s="1" t="s">
        <v>1996</v>
      </c>
      <c r="R2778" s="1">
        <v>0</v>
      </c>
      <c r="S2778" s="1" t="str">
        <f>""</f>
        <v/>
      </c>
      <c r="T2778" s="1" t="s">
        <v>29</v>
      </c>
      <c r="U2778" s="1" t="s">
        <v>30</v>
      </c>
      <c r="V2778" s="1">
        <v>0</v>
      </c>
    </row>
    <row r="2779" spans="2:22" x14ac:dyDescent="0.15">
      <c r="B2779" s="1" t="str">
        <f>"010****2979"</f>
        <v>010****2979</v>
      </c>
      <c r="C2779" s="1" t="s">
        <v>23</v>
      </c>
      <c r="D2779" s="1" t="str">
        <f t="shared" si="278"/>
        <v>89177328</v>
      </c>
      <c r="E2779" s="1" t="s">
        <v>24</v>
      </c>
      <c r="F2779" s="1" t="str">
        <f t="shared" si="279"/>
        <v>0010</v>
      </c>
      <c r="G2779" s="1" t="str">
        <f>""</f>
        <v/>
      </c>
      <c r="H2779" s="1" t="str">
        <f>"0032"</f>
        <v>0032</v>
      </c>
      <c r="I2779" s="1" t="s">
        <v>119</v>
      </c>
      <c r="J2779" s="1" t="str">
        <f>"01043977566"</f>
        <v>01043977566</v>
      </c>
      <c r="K2779" s="1" t="str">
        <f>"2017-03-18 11:06:19"</f>
        <v>2017-03-18 11:06:19</v>
      </c>
      <c r="L2779" s="1" t="str">
        <f>"2017-03-18 11:06:30"</f>
        <v>2017-03-18 11:06:30</v>
      </c>
      <c r="M2779" s="2">
        <v>2.5462962962962961E-4</v>
      </c>
      <c r="N2779" s="1" t="s">
        <v>26</v>
      </c>
      <c r="O2779" s="1" t="s">
        <v>34</v>
      </c>
      <c r="P2779" s="2">
        <v>3.8194444444444446E-4</v>
      </c>
      <c r="Q2779" s="1" t="s">
        <v>1997</v>
      </c>
      <c r="R2779" s="1">
        <v>0</v>
      </c>
      <c r="S2779" s="1" t="str">
        <f>""</f>
        <v/>
      </c>
      <c r="T2779" s="1" t="s">
        <v>29</v>
      </c>
      <c r="U2779" s="1" t="s">
        <v>30</v>
      </c>
      <c r="V2779" s="1">
        <v>0</v>
      </c>
    </row>
    <row r="2780" spans="2:22" x14ac:dyDescent="0.15">
      <c r="B2780" s="1" t="str">
        <f>"185****1235"</f>
        <v>185****1235</v>
      </c>
      <c r="C2780" s="1" t="s">
        <v>23</v>
      </c>
      <c r="D2780" s="1" t="str">
        <f t="shared" si="278"/>
        <v>89177328</v>
      </c>
      <c r="E2780" s="1" t="s">
        <v>24</v>
      </c>
      <c r="F2780" s="1" t="str">
        <f t="shared" si="279"/>
        <v>0010</v>
      </c>
      <c r="G2780" s="1" t="str">
        <f>""</f>
        <v/>
      </c>
      <c r="H2780" s="1" t="str">
        <f>"0033"</f>
        <v>0033</v>
      </c>
      <c r="I2780" s="1" t="s">
        <v>106</v>
      </c>
      <c r="J2780" s="1" t="str">
        <f>"01043977567"</f>
        <v>01043977567</v>
      </c>
      <c r="K2780" s="1" t="str">
        <f>"2017-03-18 11:06:17"</f>
        <v>2017-03-18 11:06:17</v>
      </c>
      <c r="L2780" s="1" t="str">
        <f>"2017-03-18 11:06:26"</f>
        <v>2017-03-18 11:06:26</v>
      </c>
      <c r="M2780" s="2">
        <v>1.1111111111111111E-3</v>
      </c>
      <c r="N2780" s="1" t="s">
        <v>26</v>
      </c>
      <c r="O2780" s="1" t="s">
        <v>27</v>
      </c>
      <c r="P2780" s="2">
        <v>1.2152777777777778E-3</v>
      </c>
      <c r="Q2780" s="1" t="s">
        <v>1998</v>
      </c>
      <c r="R2780" s="1">
        <v>0</v>
      </c>
      <c r="S2780" s="1" t="str">
        <f>""</f>
        <v/>
      </c>
      <c r="T2780" s="1" t="s">
        <v>29</v>
      </c>
      <c r="U2780" s="1" t="s">
        <v>30</v>
      </c>
      <c r="V2780" s="1">
        <v>0</v>
      </c>
    </row>
    <row r="2781" spans="2:22" x14ac:dyDescent="0.15">
      <c r="B2781" s="1" t="str">
        <f>"188****7867"</f>
        <v>188****7867</v>
      </c>
      <c r="C2781" s="1" t="s">
        <v>23</v>
      </c>
      <c r="D2781" s="1" t="str">
        <f t="shared" si="278"/>
        <v>89177328</v>
      </c>
      <c r="E2781" s="1" t="s">
        <v>24</v>
      </c>
      <c r="F2781" s="1" t="str">
        <f t="shared" si="279"/>
        <v>0010</v>
      </c>
      <c r="G2781" s="1" t="str">
        <f>""</f>
        <v/>
      </c>
      <c r="H2781" s="1" t="str">
        <f>"0033"</f>
        <v>0033</v>
      </c>
      <c r="I2781" s="1" t="s">
        <v>106</v>
      </c>
      <c r="J2781" s="1" t="str">
        <f>"01043977567"</f>
        <v>01043977567</v>
      </c>
      <c r="K2781" s="1" t="str">
        <f>"2017-03-18 11:04:03"</f>
        <v>2017-03-18 11:04:03</v>
      </c>
      <c r="L2781" s="1" t="str">
        <f>"-"</f>
        <v>-</v>
      </c>
      <c r="M2781" s="2">
        <v>0</v>
      </c>
      <c r="N2781" s="1" t="s">
        <v>33</v>
      </c>
      <c r="O2781" s="1" t="s">
        <v>34</v>
      </c>
      <c r="P2781" s="2">
        <v>6.9444444444444444E-5</v>
      </c>
      <c r="Q2781" s="1" t="str">
        <f>""</f>
        <v/>
      </c>
      <c r="R2781" s="1">
        <v>0</v>
      </c>
      <c r="S2781" s="1" t="str">
        <f>""</f>
        <v/>
      </c>
      <c r="T2781" s="1" t="s">
        <v>29</v>
      </c>
      <c r="U2781" s="1" t="s">
        <v>30</v>
      </c>
      <c r="V2781" s="1">
        <v>0</v>
      </c>
    </row>
    <row r="2782" spans="2:22" x14ac:dyDescent="0.15">
      <c r="B2782" s="1" t="str">
        <f>"133****9597"</f>
        <v>133****9597</v>
      </c>
      <c r="C2782" s="1" t="s">
        <v>23</v>
      </c>
      <c r="D2782" s="1" t="str">
        <f t="shared" si="278"/>
        <v>89177328</v>
      </c>
      <c r="E2782" s="1" t="s">
        <v>24</v>
      </c>
      <c r="F2782" s="1" t="str">
        <f t="shared" si="279"/>
        <v>0010</v>
      </c>
      <c r="G2782" s="1" t="str">
        <f>""</f>
        <v/>
      </c>
      <c r="H2782" s="1" t="str">
        <f>"0033"</f>
        <v>0033</v>
      </c>
      <c r="I2782" s="1" t="s">
        <v>106</v>
      </c>
      <c r="J2782" s="1" t="str">
        <f>"01043977567"</f>
        <v>01043977567</v>
      </c>
      <c r="K2782" s="1" t="str">
        <f>"2017-03-18 11:02:11"</f>
        <v>2017-03-18 11:02:11</v>
      </c>
      <c r="L2782" s="1" t="str">
        <f>"2017-03-18 11:02:20"</f>
        <v>2017-03-18 11:02:20</v>
      </c>
      <c r="M2782" s="2">
        <v>3.7037037037037035E-4</v>
      </c>
      <c r="N2782" s="1" t="s">
        <v>26</v>
      </c>
      <c r="O2782" s="1" t="s">
        <v>34</v>
      </c>
      <c r="P2782" s="2">
        <v>4.7453703703703704E-4</v>
      </c>
      <c r="Q2782" s="1" t="s">
        <v>1999</v>
      </c>
      <c r="R2782" s="1">
        <v>0</v>
      </c>
      <c r="S2782" s="1" t="str">
        <f>""</f>
        <v/>
      </c>
      <c r="T2782" s="1" t="s">
        <v>29</v>
      </c>
      <c r="U2782" s="1" t="s">
        <v>30</v>
      </c>
      <c r="V2782" s="1">
        <v>0</v>
      </c>
    </row>
    <row r="2783" spans="2:22" x14ac:dyDescent="0.15">
      <c r="B2783" s="1" t="str">
        <f>"188****7867"</f>
        <v>188****7867</v>
      </c>
      <c r="C2783" s="1" t="s">
        <v>23</v>
      </c>
      <c r="D2783" s="1" t="str">
        <f t="shared" si="278"/>
        <v>89177328</v>
      </c>
      <c r="E2783" s="1" t="s">
        <v>24</v>
      </c>
      <c r="F2783" s="1" t="str">
        <f t="shared" si="279"/>
        <v>0010</v>
      </c>
      <c r="G2783" s="1" t="str">
        <f>""</f>
        <v/>
      </c>
      <c r="H2783" s="1" t="str">
        <f>"0033"</f>
        <v>0033</v>
      </c>
      <c r="I2783" s="1" t="s">
        <v>106</v>
      </c>
      <c r="J2783" s="1" t="str">
        <f>"01043977567"</f>
        <v>01043977567</v>
      </c>
      <c r="K2783" s="1" t="str">
        <f>"2017-03-18 11:00:36"</f>
        <v>2017-03-18 11:00:36</v>
      </c>
      <c r="L2783" s="1" t="str">
        <f>"-"</f>
        <v>-</v>
      </c>
      <c r="M2783" s="2">
        <v>0</v>
      </c>
      <c r="N2783" s="1" t="s">
        <v>33</v>
      </c>
      <c r="O2783" s="1" t="s">
        <v>34</v>
      </c>
      <c r="P2783" s="2">
        <v>6.9444444444444444E-5</v>
      </c>
      <c r="Q2783" s="1" t="str">
        <f>""</f>
        <v/>
      </c>
      <c r="R2783" s="1">
        <v>0</v>
      </c>
      <c r="S2783" s="1" t="str">
        <f>""</f>
        <v/>
      </c>
      <c r="T2783" s="1" t="s">
        <v>29</v>
      </c>
      <c r="U2783" s="1" t="s">
        <v>30</v>
      </c>
      <c r="V2783" s="1">
        <v>0</v>
      </c>
    </row>
    <row r="2784" spans="2:22" x14ac:dyDescent="0.15">
      <c r="B2784" s="1" t="str">
        <f>"157****4678"</f>
        <v>157****4678</v>
      </c>
      <c r="C2784" s="1" t="s">
        <v>23</v>
      </c>
      <c r="D2784" s="1" t="str">
        <f t="shared" si="278"/>
        <v>89177328</v>
      </c>
      <c r="E2784" s="1" t="s">
        <v>24</v>
      </c>
      <c r="F2784" s="1" t="str">
        <f t="shared" si="279"/>
        <v>0010</v>
      </c>
      <c r="G2784" s="1" t="str">
        <f>""</f>
        <v/>
      </c>
      <c r="H2784" s="1" t="str">
        <f>"0018"</f>
        <v>0018</v>
      </c>
      <c r="I2784" s="1" t="s">
        <v>36</v>
      </c>
      <c r="J2784" s="1" t="str">
        <f>"01043989718"</f>
        <v>01043989718</v>
      </c>
      <c r="K2784" s="1" t="str">
        <f>"2017-03-18 10:59:31"</f>
        <v>2017-03-18 10:59:31</v>
      </c>
      <c r="L2784" s="1" t="str">
        <f>"-"</f>
        <v>-</v>
      </c>
      <c r="M2784" s="2">
        <v>0</v>
      </c>
      <c r="N2784" s="1" t="s">
        <v>33</v>
      </c>
      <c r="O2784" s="1" t="s">
        <v>34</v>
      </c>
      <c r="P2784" s="2">
        <v>1.6203703703703703E-4</v>
      </c>
      <c r="Q2784" s="1" t="str">
        <f>""</f>
        <v/>
      </c>
      <c r="R2784" s="1">
        <v>0</v>
      </c>
      <c r="S2784" s="1" t="str">
        <f>""</f>
        <v/>
      </c>
      <c r="T2784" s="1" t="s">
        <v>29</v>
      </c>
      <c r="U2784" s="1" t="s">
        <v>30</v>
      </c>
      <c r="V2784" s="1">
        <v>0</v>
      </c>
    </row>
    <row r="2785" spans="2:22" x14ac:dyDescent="0.15">
      <c r="B2785" s="1" t="str">
        <f>"183****4280"</f>
        <v>183****4280</v>
      </c>
      <c r="C2785" s="1" t="s">
        <v>23</v>
      </c>
      <c r="D2785" s="1" t="str">
        <f t="shared" si="278"/>
        <v>89177328</v>
      </c>
      <c r="E2785" s="1" t="s">
        <v>24</v>
      </c>
      <c r="F2785" s="1" t="str">
        <f t="shared" si="279"/>
        <v>0010</v>
      </c>
      <c r="G2785" s="1" t="str">
        <f>""</f>
        <v/>
      </c>
      <c r="H2785" s="1" t="str">
        <f>"0018"</f>
        <v>0018</v>
      </c>
      <c r="I2785" s="1" t="s">
        <v>36</v>
      </c>
      <c r="J2785" s="1" t="str">
        <f>"01043989718"</f>
        <v>01043989718</v>
      </c>
      <c r="K2785" s="1" t="str">
        <f>"2017-03-18 10:59:21"</f>
        <v>2017-03-18 10:59:21</v>
      </c>
      <c r="L2785" s="1" t="str">
        <f>"-"</f>
        <v>-</v>
      </c>
      <c r="M2785" s="2">
        <v>0</v>
      </c>
      <c r="N2785" s="1" t="s">
        <v>33</v>
      </c>
      <c r="O2785" s="1" t="s">
        <v>34</v>
      </c>
      <c r="P2785" s="2">
        <v>1.1574074074074073E-4</v>
      </c>
      <c r="Q2785" s="1" t="str">
        <f>""</f>
        <v/>
      </c>
      <c r="R2785" s="1">
        <v>0</v>
      </c>
      <c r="S2785" s="1" t="str">
        <f>""</f>
        <v/>
      </c>
      <c r="T2785" s="1" t="s">
        <v>29</v>
      </c>
      <c r="U2785" s="1" t="s">
        <v>30</v>
      </c>
      <c r="V2785" s="1">
        <v>0</v>
      </c>
    </row>
    <row r="2786" spans="2:22" x14ac:dyDescent="0.15">
      <c r="B2786" s="1" t="str">
        <f>"133****9597"</f>
        <v>133****9597</v>
      </c>
      <c r="C2786" s="1" t="s">
        <v>23</v>
      </c>
      <c r="D2786" s="1" t="str">
        <f t="shared" si="278"/>
        <v>89177328</v>
      </c>
      <c r="E2786" s="1" t="s">
        <v>24</v>
      </c>
      <c r="F2786" s="1" t="str">
        <f t="shared" si="279"/>
        <v>0010</v>
      </c>
      <c r="G2786" s="1" t="str">
        <f>""</f>
        <v/>
      </c>
      <c r="H2786" s="1" t="str">
        <f>"0033"</f>
        <v>0033</v>
      </c>
      <c r="I2786" s="1" t="s">
        <v>106</v>
      </c>
      <c r="J2786" s="1" t="str">
        <f>"01043977567"</f>
        <v>01043977567</v>
      </c>
      <c r="K2786" s="1" t="str">
        <f>"2017-03-18 10:59:18"</f>
        <v>2017-03-18 10:59:18</v>
      </c>
      <c r="L2786" s="1" t="str">
        <f>"2017-03-18 10:59:25"</f>
        <v>2017-03-18 10:59:25</v>
      </c>
      <c r="M2786" s="2">
        <v>1.7361111111111112E-4</v>
      </c>
      <c r="N2786" s="1" t="s">
        <v>26</v>
      </c>
      <c r="O2786" s="1" t="s">
        <v>27</v>
      </c>
      <c r="P2786" s="2">
        <v>2.5462962962962961E-4</v>
      </c>
      <c r="Q2786" s="1" t="s">
        <v>2000</v>
      </c>
      <c r="R2786" s="1">
        <v>0</v>
      </c>
      <c r="S2786" s="1" t="str">
        <f>""</f>
        <v/>
      </c>
      <c r="T2786" s="1" t="s">
        <v>29</v>
      </c>
      <c r="U2786" s="1" t="s">
        <v>30</v>
      </c>
      <c r="V2786" s="1">
        <v>0</v>
      </c>
    </row>
    <row r="2787" spans="2:22" x14ac:dyDescent="0.15">
      <c r="B2787" s="1" t="str">
        <f>"188****7867"</f>
        <v>188****7867</v>
      </c>
      <c r="C2787" s="1" t="s">
        <v>23</v>
      </c>
      <c r="D2787" s="1" t="str">
        <f t="shared" si="278"/>
        <v>89177328</v>
      </c>
      <c r="E2787" s="1" t="s">
        <v>24</v>
      </c>
      <c r="F2787" s="1" t="str">
        <f t="shared" si="279"/>
        <v>0010</v>
      </c>
      <c r="G2787" s="1" t="str">
        <f>""</f>
        <v/>
      </c>
      <c r="H2787" s="1" t="str">
        <f>"0033"</f>
        <v>0033</v>
      </c>
      <c r="I2787" s="1" t="s">
        <v>106</v>
      </c>
      <c r="J2787" s="1" t="str">
        <f>"01043977567"</f>
        <v>01043977567</v>
      </c>
      <c r="K2787" s="1" t="str">
        <f>"2017-03-18 10:57:32"</f>
        <v>2017-03-18 10:57:32</v>
      </c>
      <c r="L2787" s="1" t="str">
        <f>"-"</f>
        <v>-</v>
      </c>
      <c r="M2787" s="2">
        <v>0</v>
      </c>
      <c r="N2787" s="1" t="s">
        <v>33</v>
      </c>
      <c r="O2787" s="1" t="s">
        <v>34</v>
      </c>
      <c r="P2787" s="2">
        <v>8.1018518518518516E-5</v>
      </c>
      <c r="Q2787" s="1" t="str">
        <f>""</f>
        <v/>
      </c>
      <c r="R2787" s="1">
        <v>0</v>
      </c>
      <c r="S2787" s="1" t="str">
        <f>""</f>
        <v/>
      </c>
      <c r="T2787" s="1" t="s">
        <v>29</v>
      </c>
      <c r="U2787" s="1" t="s">
        <v>30</v>
      </c>
      <c r="V2787" s="1">
        <v>0</v>
      </c>
    </row>
    <row r="2788" spans="2:22" x14ac:dyDescent="0.15">
      <c r="B2788" s="1" t="str">
        <f>"155****0186"</f>
        <v>155****0186</v>
      </c>
      <c r="C2788" s="1" t="s">
        <v>23</v>
      </c>
      <c r="D2788" s="1" t="str">
        <f t="shared" si="278"/>
        <v>89177328</v>
      </c>
      <c r="E2788" s="1" t="s">
        <v>24</v>
      </c>
      <c r="F2788" s="1" t="str">
        <f t="shared" si="279"/>
        <v>0010</v>
      </c>
      <c r="G2788" s="1" t="str">
        <f>""</f>
        <v/>
      </c>
      <c r="H2788" s="1" t="str">
        <f>"0018"</f>
        <v>0018</v>
      </c>
      <c r="I2788" s="1" t="s">
        <v>36</v>
      </c>
      <c r="J2788" s="1" t="str">
        <f>"01043989718"</f>
        <v>01043989718</v>
      </c>
      <c r="K2788" s="1" t="str">
        <f>"2017-03-18 10:55:32"</f>
        <v>2017-03-18 10:55:32</v>
      </c>
      <c r="L2788" s="1" t="str">
        <f>"2017-03-18 10:55:41"</f>
        <v>2017-03-18 10:55:41</v>
      </c>
      <c r="M2788" s="2">
        <v>8.7962962962962962E-4</v>
      </c>
      <c r="N2788" s="1" t="s">
        <v>26</v>
      </c>
      <c r="O2788" s="1" t="s">
        <v>34</v>
      </c>
      <c r="P2788" s="2">
        <v>9.8379629629629642E-4</v>
      </c>
      <c r="Q2788" s="1" t="s">
        <v>2001</v>
      </c>
      <c r="R2788" s="1">
        <v>0</v>
      </c>
      <c r="S2788" s="1" t="str">
        <f>""</f>
        <v/>
      </c>
      <c r="T2788" s="1" t="s">
        <v>29</v>
      </c>
      <c r="U2788" s="1" t="s">
        <v>30</v>
      </c>
      <c r="V2788" s="1">
        <v>0</v>
      </c>
    </row>
    <row r="2789" spans="2:22" x14ac:dyDescent="0.15">
      <c r="B2789" s="1" t="str">
        <f>"130****5656"</f>
        <v>130****5656</v>
      </c>
      <c r="C2789" s="1" t="s">
        <v>112</v>
      </c>
      <c r="D2789" s="1" t="str">
        <f t="shared" si="278"/>
        <v>89177328</v>
      </c>
      <c r="E2789" s="1" t="s">
        <v>24</v>
      </c>
      <c r="F2789" s="1" t="str">
        <f t="shared" si="279"/>
        <v>0010</v>
      </c>
      <c r="G2789" s="1" t="str">
        <f>""</f>
        <v/>
      </c>
      <c r="H2789" s="1" t="str">
        <f>"0018"</f>
        <v>0018</v>
      </c>
      <c r="I2789" s="1" t="s">
        <v>36</v>
      </c>
      <c r="J2789" s="1" t="str">
        <f>"01043989718"</f>
        <v>01043989718</v>
      </c>
      <c r="K2789" s="1" t="str">
        <f>"2017-03-18 10:54:49"</f>
        <v>2017-03-18 10:54:49</v>
      </c>
      <c r="L2789" s="1" t="str">
        <f>"-"</f>
        <v>-</v>
      </c>
      <c r="M2789" s="2">
        <v>0</v>
      </c>
      <c r="N2789" s="1" t="s">
        <v>33</v>
      </c>
      <c r="O2789" s="1" t="s">
        <v>34</v>
      </c>
      <c r="P2789" s="2">
        <v>1.273148148148148E-4</v>
      </c>
      <c r="Q2789" s="1" t="str">
        <f>""</f>
        <v/>
      </c>
      <c r="R2789" s="1">
        <v>0</v>
      </c>
      <c r="S2789" s="1" t="str">
        <f>""</f>
        <v/>
      </c>
      <c r="T2789" s="1" t="s">
        <v>29</v>
      </c>
      <c r="U2789" s="1" t="s">
        <v>30</v>
      </c>
      <c r="V2789" s="1">
        <v>0</v>
      </c>
    </row>
    <row r="2790" spans="2:22" x14ac:dyDescent="0.15">
      <c r="B2790" s="1" t="str">
        <f>"155****0186"</f>
        <v>155****0186</v>
      </c>
      <c r="C2790" s="1" t="s">
        <v>23</v>
      </c>
      <c r="D2790" s="1" t="str">
        <f t="shared" si="278"/>
        <v>89177328</v>
      </c>
      <c r="E2790" s="1" t="s">
        <v>24</v>
      </c>
      <c r="F2790" s="1" t="str">
        <f t="shared" si="279"/>
        <v>0010</v>
      </c>
      <c r="G2790" s="1" t="str">
        <f>""</f>
        <v/>
      </c>
      <c r="H2790" s="1" t="str">
        <f>"0018"</f>
        <v>0018</v>
      </c>
      <c r="I2790" s="1" t="s">
        <v>36</v>
      </c>
      <c r="J2790" s="1" t="str">
        <f>"01043989718"</f>
        <v>01043989718</v>
      </c>
      <c r="K2790" s="1" t="str">
        <f>"2017-03-18 10:53:22"</f>
        <v>2017-03-18 10:53:22</v>
      </c>
      <c r="L2790" s="1" t="str">
        <f>"2017-03-18 10:53:29"</f>
        <v>2017-03-18 10:53:29</v>
      </c>
      <c r="M2790" s="2">
        <v>7.0601851851851847E-4</v>
      </c>
      <c r="N2790" s="1" t="s">
        <v>26</v>
      </c>
      <c r="O2790" s="1" t="s">
        <v>27</v>
      </c>
      <c r="P2790" s="2">
        <v>7.8703703703703705E-4</v>
      </c>
      <c r="Q2790" s="1" t="s">
        <v>2002</v>
      </c>
      <c r="R2790" s="1">
        <v>0</v>
      </c>
      <c r="S2790" s="1" t="str">
        <f>""</f>
        <v/>
      </c>
      <c r="T2790" s="1" t="s">
        <v>29</v>
      </c>
      <c r="U2790" s="1" t="s">
        <v>30</v>
      </c>
      <c r="V2790" s="1">
        <v>0</v>
      </c>
    </row>
    <row r="2791" spans="2:22" x14ac:dyDescent="0.15">
      <c r="B2791" s="1" t="str">
        <f>"133****9597"</f>
        <v>133****9597</v>
      </c>
      <c r="C2791" s="1" t="s">
        <v>23</v>
      </c>
      <c r="D2791" s="1" t="str">
        <f t="shared" si="278"/>
        <v>89177328</v>
      </c>
      <c r="E2791" s="1" t="s">
        <v>24</v>
      </c>
      <c r="F2791" s="1" t="str">
        <f t="shared" si="279"/>
        <v>0010</v>
      </c>
      <c r="G2791" s="1" t="str">
        <f>""</f>
        <v/>
      </c>
      <c r="H2791" s="1" t="str">
        <f>"0035"</f>
        <v>0035</v>
      </c>
      <c r="I2791" s="1" t="s">
        <v>25</v>
      </c>
      <c r="J2791" s="1" t="str">
        <f>"01043977569"</f>
        <v>01043977569</v>
      </c>
      <c r="K2791" s="1" t="str">
        <f>"2017-03-18 10:52:42"</f>
        <v>2017-03-18 10:52:42</v>
      </c>
      <c r="L2791" s="1" t="str">
        <f>"2017-03-18 10:52:52"</f>
        <v>2017-03-18 10:52:52</v>
      </c>
      <c r="M2791" s="2">
        <v>2.3148148148148146E-4</v>
      </c>
      <c r="N2791" s="1" t="s">
        <v>26</v>
      </c>
      <c r="O2791" s="1" t="s">
        <v>27</v>
      </c>
      <c r="P2791" s="2">
        <v>3.4722222222222224E-4</v>
      </c>
      <c r="Q2791" s="1" t="s">
        <v>2003</v>
      </c>
      <c r="R2791" s="1">
        <v>0</v>
      </c>
      <c r="S2791" s="1" t="str">
        <f>""</f>
        <v/>
      </c>
      <c r="T2791" s="1" t="s">
        <v>29</v>
      </c>
      <c r="U2791" s="1" t="s">
        <v>30</v>
      </c>
      <c r="V2791" s="1">
        <v>0</v>
      </c>
    </row>
    <row r="2792" spans="2:22" x14ac:dyDescent="0.15">
      <c r="B2792" s="1" t="str">
        <f>"183****4280"</f>
        <v>183****4280</v>
      </c>
      <c r="C2792" s="1" t="s">
        <v>23</v>
      </c>
      <c r="D2792" s="1" t="str">
        <f t="shared" si="278"/>
        <v>89177328</v>
      </c>
      <c r="E2792" s="1" t="s">
        <v>24</v>
      </c>
      <c r="F2792" s="1" t="str">
        <f t="shared" si="279"/>
        <v>0010</v>
      </c>
      <c r="G2792" s="1" t="str">
        <f>""</f>
        <v/>
      </c>
      <c r="H2792" s="1" t="str">
        <f>"0018"</f>
        <v>0018</v>
      </c>
      <c r="I2792" s="1" t="s">
        <v>36</v>
      </c>
      <c r="J2792" s="1" t="str">
        <f>"01043989718"</f>
        <v>01043989718</v>
      </c>
      <c r="K2792" s="1" t="str">
        <f>"2017-03-18 10:52:16"</f>
        <v>2017-03-18 10:52:16</v>
      </c>
      <c r="L2792" s="1" t="str">
        <f>"2017-03-18 10:52:23"</f>
        <v>2017-03-18 10:52:23</v>
      </c>
      <c r="M2792" s="2">
        <v>2.3148148148148146E-4</v>
      </c>
      <c r="N2792" s="1" t="s">
        <v>26</v>
      </c>
      <c r="O2792" s="1" t="s">
        <v>34</v>
      </c>
      <c r="P2792" s="2">
        <v>3.1250000000000001E-4</v>
      </c>
      <c r="Q2792" s="1" t="s">
        <v>2004</v>
      </c>
      <c r="R2792" s="1">
        <v>0</v>
      </c>
      <c r="S2792" s="1" t="str">
        <f>""</f>
        <v/>
      </c>
      <c r="T2792" s="1" t="s">
        <v>29</v>
      </c>
      <c r="U2792" s="1" t="s">
        <v>30</v>
      </c>
      <c r="V2792" s="1">
        <v>0</v>
      </c>
    </row>
    <row r="2793" spans="2:22" x14ac:dyDescent="0.15">
      <c r="B2793" s="1" t="str">
        <f>"157****4678"</f>
        <v>157****4678</v>
      </c>
      <c r="C2793" s="1" t="s">
        <v>23</v>
      </c>
      <c r="D2793" s="1" t="str">
        <f t="shared" si="278"/>
        <v>89177328</v>
      </c>
      <c r="E2793" s="1" t="s">
        <v>24</v>
      </c>
      <c r="F2793" s="1" t="str">
        <f t="shared" si="279"/>
        <v>0010</v>
      </c>
      <c r="G2793" s="1" t="str">
        <f>""</f>
        <v/>
      </c>
      <c r="H2793" s="1" t="str">
        <f>"0018"</f>
        <v>0018</v>
      </c>
      <c r="I2793" s="1" t="s">
        <v>36</v>
      </c>
      <c r="J2793" s="1" t="str">
        <f>"01043989718"</f>
        <v>01043989718</v>
      </c>
      <c r="K2793" s="1" t="str">
        <f>"2017-03-18 10:51:05"</f>
        <v>2017-03-18 10:51:05</v>
      </c>
      <c r="L2793" s="1" t="str">
        <f>"-"</f>
        <v>-</v>
      </c>
      <c r="M2793" s="2">
        <v>0</v>
      </c>
      <c r="N2793" s="1" t="s">
        <v>33</v>
      </c>
      <c r="O2793" s="1" t="s">
        <v>34</v>
      </c>
      <c r="P2793" s="2">
        <v>6.9444444444444444E-5</v>
      </c>
      <c r="Q2793" s="1" t="str">
        <f>""</f>
        <v/>
      </c>
      <c r="R2793" s="1">
        <v>0</v>
      </c>
      <c r="S2793" s="1" t="str">
        <f>""</f>
        <v/>
      </c>
      <c r="T2793" s="1" t="s">
        <v>29</v>
      </c>
      <c r="U2793" s="1" t="s">
        <v>30</v>
      </c>
      <c r="V2793" s="1">
        <v>0</v>
      </c>
    </row>
    <row r="2794" spans="2:22" x14ac:dyDescent="0.15">
      <c r="B2794" s="1" t="str">
        <f>"136****6577"</f>
        <v>136****6577</v>
      </c>
      <c r="C2794" s="1" t="s">
        <v>527</v>
      </c>
      <c r="D2794" s="1" t="str">
        <f t="shared" si="278"/>
        <v>89177328</v>
      </c>
      <c r="E2794" s="1" t="s">
        <v>24</v>
      </c>
      <c r="F2794" s="1" t="str">
        <f t="shared" si="279"/>
        <v>0010</v>
      </c>
      <c r="G2794" s="1" t="str">
        <f>""</f>
        <v/>
      </c>
      <c r="H2794" s="1" t="str">
        <f>"0032"</f>
        <v>0032</v>
      </c>
      <c r="I2794" s="1" t="s">
        <v>119</v>
      </c>
      <c r="J2794" s="1" t="str">
        <f>"01043977566"</f>
        <v>01043977566</v>
      </c>
      <c r="K2794" s="1" t="str">
        <f>"2017-03-18 10:46:27"</f>
        <v>2017-03-18 10:46:27</v>
      </c>
      <c r="L2794" s="1" t="str">
        <f>"-"</f>
        <v>-</v>
      </c>
      <c r="M2794" s="2">
        <v>0</v>
      </c>
      <c r="N2794" s="1" t="s">
        <v>33</v>
      </c>
      <c r="O2794" s="1" t="s">
        <v>34</v>
      </c>
      <c r="P2794" s="2">
        <v>2.3148148148148147E-5</v>
      </c>
      <c r="Q2794" s="1" t="str">
        <f>""</f>
        <v/>
      </c>
      <c r="R2794" s="1">
        <v>0</v>
      </c>
      <c r="S2794" s="1" t="str">
        <f>""</f>
        <v/>
      </c>
      <c r="T2794" s="1" t="s">
        <v>29</v>
      </c>
      <c r="U2794" s="1" t="s">
        <v>30</v>
      </c>
      <c r="V2794" s="1">
        <v>0</v>
      </c>
    </row>
    <row r="2795" spans="2:22" x14ac:dyDescent="0.15">
      <c r="B2795" s="1" t="str">
        <f>"133****9597"</f>
        <v>133****9597</v>
      </c>
      <c r="C2795" s="1" t="s">
        <v>23</v>
      </c>
      <c r="D2795" s="1" t="str">
        <f t="shared" si="278"/>
        <v>89177328</v>
      </c>
      <c r="E2795" s="1" t="s">
        <v>24</v>
      </c>
      <c r="F2795" s="1" t="str">
        <f t="shared" si="279"/>
        <v>0010</v>
      </c>
      <c r="G2795" s="1" t="str">
        <f>""</f>
        <v/>
      </c>
      <c r="H2795" s="1" t="str">
        <f>"0010"</f>
        <v>0010</v>
      </c>
      <c r="I2795" s="1" t="s">
        <v>71</v>
      </c>
      <c r="J2795" s="1" t="str">
        <f>"01043989719"</f>
        <v>01043989719</v>
      </c>
      <c r="K2795" s="1" t="str">
        <f>"2017-03-18 10:40:30"</f>
        <v>2017-03-18 10:40:30</v>
      </c>
      <c r="L2795" s="1" t="str">
        <f>"2017-03-18 10:40:39"</f>
        <v>2017-03-18 10:40:39</v>
      </c>
      <c r="M2795" s="2">
        <v>1.1574074074074073E-5</v>
      </c>
      <c r="N2795" s="1" t="s">
        <v>26</v>
      </c>
      <c r="O2795" s="1" t="s">
        <v>27</v>
      </c>
      <c r="P2795" s="2">
        <v>1.1574074074074073E-4</v>
      </c>
      <c r="Q2795" s="1" t="str">
        <f>""</f>
        <v/>
      </c>
      <c r="R2795" s="1">
        <v>0</v>
      </c>
      <c r="S2795" s="1" t="str">
        <f>""</f>
        <v/>
      </c>
      <c r="T2795" s="1" t="s">
        <v>29</v>
      </c>
      <c r="U2795" s="1" t="s">
        <v>30</v>
      </c>
      <c r="V2795" s="1">
        <v>0</v>
      </c>
    </row>
    <row r="2796" spans="2:22" x14ac:dyDescent="0.15">
      <c r="B2796" s="1" t="str">
        <f>"157****4678"</f>
        <v>157****4678</v>
      </c>
      <c r="C2796" s="1" t="s">
        <v>23</v>
      </c>
      <c r="D2796" s="1" t="str">
        <f t="shared" si="278"/>
        <v>89177328</v>
      </c>
      <c r="E2796" s="1" t="s">
        <v>24</v>
      </c>
      <c r="F2796" s="1" t="str">
        <f t="shared" si="279"/>
        <v>0010</v>
      </c>
      <c r="G2796" s="1" t="str">
        <f>""</f>
        <v/>
      </c>
      <c r="H2796" s="1" t="str">
        <f>"0010"</f>
        <v>0010</v>
      </c>
      <c r="I2796" s="1" t="s">
        <v>71</v>
      </c>
      <c r="J2796" s="1" t="str">
        <f>"01043989719"</f>
        <v>01043989719</v>
      </c>
      <c r="K2796" s="1" t="str">
        <f>"2017-03-18 10:37:45"</f>
        <v>2017-03-18 10:37:45</v>
      </c>
      <c r="L2796" s="1" t="str">
        <f>"2017-03-18 10:37:56"</f>
        <v>2017-03-18 10:37:56</v>
      </c>
      <c r="M2796" s="2">
        <v>0</v>
      </c>
      <c r="N2796" s="1" t="s">
        <v>26</v>
      </c>
      <c r="O2796" s="1" t="s">
        <v>34</v>
      </c>
      <c r="P2796" s="2">
        <v>1.273148148148148E-4</v>
      </c>
      <c r="Q2796" s="1" t="str">
        <f>""</f>
        <v/>
      </c>
      <c r="R2796" s="1">
        <v>0</v>
      </c>
      <c r="S2796" s="1" t="str">
        <f>""</f>
        <v/>
      </c>
      <c r="T2796" s="1" t="s">
        <v>29</v>
      </c>
      <c r="U2796" s="1" t="s">
        <v>30</v>
      </c>
      <c r="V2796" s="1">
        <v>0</v>
      </c>
    </row>
    <row r="2797" spans="2:22" x14ac:dyDescent="0.15">
      <c r="B2797" s="1" t="str">
        <f>"133****9597"</f>
        <v>133****9597</v>
      </c>
      <c r="C2797" s="1" t="s">
        <v>23</v>
      </c>
      <c r="D2797" s="1" t="str">
        <f t="shared" si="278"/>
        <v>89177328</v>
      </c>
      <c r="E2797" s="1" t="s">
        <v>24</v>
      </c>
      <c r="F2797" s="1" t="str">
        <f t="shared" si="279"/>
        <v>0010</v>
      </c>
      <c r="G2797" s="1" t="str">
        <f>""</f>
        <v/>
      </c>
      <c r="H2797" s="1" t="str">
        <f>"0033"</f>
        <v>0033</v>
      </c>
      <c r="I2797" s="1" t="s">
        <v>106</v>
      </c>
      <c r="J2797" s="1" t="str">
        <f>"01043977567"</f>
        <v>01043977567</v>
      </c>
      <c r="K2797" s="1" t="str">
        <f>"2017-03-18 10:30:37"</f>
        <v>2017-03-18 10:30:37</v>
      </c>
      <c r="L2797" s="1" t="str">
        <f>"2017-03-18 10:30:44"</f>
        <v>2017-03-18 10:30:44</v>
      </c>
      <c r="M2797" s="2">
        <v>3.0324074074074073E-3</v>
      </c>
      <c r="N2797" s="1" t="s">
        <v>26</v>
      </c>
      <c r="O2797" s="1" t="s">
        <v>27</v>
      </c>
      <c r="P2797" s="2">
        <v>3.1134259259259257E-3</v>
      </c>
      <c r="Q2797" s="1" t="s">
        <v>2005</v>
      </c>
      <c r="R2797" s="1">
        <v>0</v>
      </c>
      <c r="S2797" s="1" t="str">
        <f>""</f>
        <v/>
      </c>
      <c r="T2797" s="1" t="s">
        <v>29</v>
      </c>
      <c r="U2797" s="1" t="s">
        <v>30</v>
      </c>
      <c r="V2797" s="1">
        <v>0</v>
      </c>
    </row>
    <row r="2798" spans="2:22" x14ac:dyDescent="0.15">
      <c r="B2798" s="1" t="str">
        <f>"155****0186"</f>
        <v>155****0186</v>
      </c>
      <c r="C2798" s="1" t="s">
        <v>23</v>
      </c>
      <c r="D2798" s="1" t="str">
        <f t="shared" si="278"/>
        <v>89177328</v>
      </c>
      <c r="E2798" s="1" t="s">
        <v>24</v>
      </c>
      <c r="F2798" s="1" t="str">
        <f t="shared" si="279"/>
        <v>0010</v>
      </c>
      <c r="G2798" s="1" t="str">
        <f>""</f>
        <v/>
      </c>
      <c r="H2798" s="1" t="str">
        <f>"0017"</f>
        <v>0017</v>
      </c>
      <c r="I2798" s="1" t="s">
        <v>135</v>
      </c>
      <c r="J2798" s="1" t="str">
        <f>"01043989717"</f>
        <v>01043989717</v>
      </c>
      <c r="K2798" s="1" t="str">
        <f>"2017-03-18 10:28:13"</f>
        <v>2017-03-18 10:28:13</v>
      </c>
      <c r="L2798" s="1" t="str">
        <f>"2017-03-18 10:28:18"</f>
        <v>2017-03-18 10:28:18</v>
      </c>
      <c r="M2798" s="2">
        <v>8.9814814814814809E-3</v>
      </c>
      <c r="N2798" s="1" t="s">
        <v>26</v>
      </c>
      <c r="O2798" s="1" t="s">
        <v>27</v>
      </c>
      <c r="P2798" s="2">
        <v>9.0393518518518522E-3</v>
      </c>
      <c r="Q2798" s="1" t="s">
        <v>2006</v>
      </c>
      <c r="R2798" s="1">
        <v>0</v>
      </c>
      <c r="S2798" s="1" t="str">
        <f>""</f>
        <v/>
      </c>
      <c r="T2798" s="1" t="s">
        <v>29</v>
      </c>
      <c r="U2798" s="1" t="s">
        <v>30</v>
      </c>
      <c r="V2798" s="1">
        <v>0</v>
      </c>
    </row>
    <row r="2799" spans="2:22" x14ac:dyDescent="0.15">
      <c r="B2799" s="1" t="str">
        <f>"134****8924"</f>
        <v>134****8924</v>
      </c>
      <c r="C2799" s="1" t="s">
        <v>23</v>
      </c>
      <c r="D2799" s="1" t="str">
        <f t="shared" si="278"/>
        <v>89177328</v>
      </c>
      <c r="E2799" s="1" t="s">
        <v>24</v>
      </c>
      <c r="F2799" s="1" t="str">
        <f t="shared" si="279"/>
        <v>0010</v>
      </c>
      <c r="G2799" s="1" t="str">
        <f>""</f>
        <v/>
      </c>
      <c r="H2799" s="1" t="str">
        <f>"0032"</f>
        <v>0032</v>
      </c>
      <c r="I2799" s="1" t="s">
        <v>119</v>
      </c>
      <c r="J2799" s="1" t="str">
        <f>"01043977566"</f>
        <v>01043977566</v>
      </c>
      <c r="K2799" s="1" t="str">
        <f>"2017-03-18 10:27:51"</f>
        <v>2017-03-18 10:27:51</v>
      </c>
      <c r="L2799" s="1" t="str">
        <f>"2017-03-18 10:28:02"</f>
        <v>2017-03-18 10:28:02</v>
      </c>
      <c r="M2799" s="2">
        <v>3.425925925925926E-3</v>
      </c>
      <c r="N2799" s="1" t="s">
        <v>26</v>
      </c>
      <c r="O2799" s="1" t="s">
        <v>34</v>
      </c>
      <c r="P2799" s="2">
        <v>3.5532407407407405E-3</v>
      </c>
      <c r="Q2799" s="1" t="s">
        <v>2007</v>
      </c>
      <c r="R2799" s="1">
        <v>0</v>
      </c>
      <c r="S2799" s="1" t="str">
        <f>""</f>
        <v/>
      </c>
      <c r="T2799" s="1" t="s">
        <v>29</v>
      </c>
      <c r="U2799" s="1" t="s">
        <v>30</v>
      </c>
      <c r="V2799" s="1">
        <v>0</v>
      </c>
    </row>
    <row r="2800" spans="2:22" x14ac:dyDescent="0.15">
      <c r="B2800" s="1" t="str">
        <f>"186****3456"</f>
        <v>186****3456</v>
      </c>
      <c r="C2800" s="1" t="s">
        <v>23</v>
      </c>
      <c r="D2800" s="1" t="str">
        <f t="shared" si="278"/>
        <v>89177328</v>
      </c>
      <c r="E2800" s="1" t="s">
        <v>24</v>
      </c>
      <c r="F2800" s="1" t="str">
        <f t="shared" si="279"/>
        <v>0010</v>
      </c>
      <c r="G2800" s="1" t="str">
        <f>""</f>
        <v/>
      </c>
      <c r="H2800" s="1" t="str">
        <f>"0017"</f>
        <v>0017</v>
      </c>
      <c r="I2800" s="1" t="s">
        <v>135</v>
      </c>
      <c r="J2800" s="1" t="str">
        <f>"01043989717"</f>
        <v>01043989717</v>
      </c>
      <c r="K2800" s="1" t="str">
        <f>"2017-03-18 10:25:05"</f>
        <v>2017-03-18 10:25:05</v>
      </c>
      <c r="L2800" s="1" t="str">
        <f>"2017-03-18 10:25:13"</f>
        <v>2017-03-18 10:25:13</v>
      </c>
      <c r="M2800" s="2">
        <v>1.0416666666666667E-4</v>
      </c>
      <c r="N2800" s="1" t="s">
        <v>26</v>
      </c>
      <c r="O2800" s="1" t="s">
        <v>27</v>
      </c>
      <c r="P2800" s="2">
        <v>1.9675925925925926E-4</v>
      </c>
      <c r="Q2800" s="1" t="s">
        <v>2008</v>
      </c>
      <c r="R2800" s="1">
        <v>0</v>
      </c>
      <c r="S2800" s="1" t="str">
        <f>""</f>
        <v/>
      </c>
      <c r="T2800" s="1" t="s">
        <v>29</v>
      </c>
      <c r="U2800" s="1" t="s">
        <v>30</v>
      </c>
      <c r="V2800" s="1">
        <v>0</v>
      </c>
    </row>
    <row r="2801" spans="2:22" x14ac:dyDescent="0.15">
      <c r="B2801" s="1" t="str">
        <f>"116114"</f>
        <v>116114</v>
      </c>
      <c r="C2801" s="1" t="s">
        <v>159</v>
      </c>
      <c r="D2801" s="1" t="str">
        <f t="shared" si="278"/>
        <v>89177328</v>
      </c>
      <c r="E2801" s="1" t="s">
        <v>24</v>
      </c>
      <c r="F2801" s="1" t="str">
        <f t="shared" si="279"/>
        <v>0010</v>
      </c>
      <c r="G2801" s="1" t="str">
        <f>""</f>
        <v/>
      </c>
      <c r="H2801" s="1" t="str">
        <f>"0035"</f>
        <v>0035</v>
      </c>
      <c r="I2801" s="1" t="s">
        <v>25</v>
      </c>
      <c r="J2801" s="1" t="str">
        <f>"01043977569"</f>
        <v>01043977569</v>
      </c>
      <c r="K2801" s="1" t="str">
        <f>"2017-03-18 10:24:15"</f>
        <v>2017-03-18 10:24:15</v>
      </c>
      <c r="L2801" s="1" t="str">
        <f>"2017-03-18 10:24:30"</f>
        <v>2017-03-18 10:24:30</v>
      </c>
      <c r="M2801" s="2">
        <v>5.7870370370370366E-5</v>
      </c>
      <c r="N2801" s="1" t="s">
        <v>26</v>
      </c>
      <c r="O2801" s="1" t="s">
        <v>27</v>
      </c>
      <c r="P2801" s="2">
        <v>2.3148148148148146E-4</v>
      </c>
      <c r="Q2801" s="1" t="str">
        <f>""</f>
        <v/>
      </c>
      <c r="R2801" s="1">
        <v>0</v>
      </c>
      <c r="S2801" s="1" t="str">
        <f>""</f>
        <v/>
      </c>
      <c r="T2801" s="1" t="s">
        <v>29</v>
      </c>
      <c r="U2801" s="1" t="s">
        <v>30</v>
      </c>
      <c r="V2801" s="1">
        <v>0</v>
      </c>
    </row>
    <row r="2802" spans="2:22" x14ac:dyDescent="0.15">
      <c r="B2802" s="1" t="str">
        <f>"186****6789"</f>
        <v>186****6789</v>
      </c>
      <c r="C2802" s="1" t="s">
        <v>23</v>
      </c>
      <c r="D2802" s="1" t="str">
        <f t="shared" si="278"/>
        <v>89177328</v>
      </c>
      <c r="E2802" s="1" t="s">
        <v>24</v>
      </c>
      <c r="F2802" s="1" t="str">
        <f t="shared" si="279"/>
        <v>0010</v>
      </c>
      <c r="G2802" s="1" t="str">
        <f>""</f>
        <v/>
      </c>
      <c r="H2802" s="1" t="str">
        <f>"0032"</f>
        <v>0032</v>
      </c>
      <c r="I2802" s="1" t="s">
        <v>119</v>
      </c>
      <c r="J2802" s="1" t="str">
        <f>"01043977566"</f>
        <v>01043977566</v>
      </c>
      <c r="K2802" s="1" t="str">
        <f>"2017-03-18 10:23:59"</f>
        <v>2017-03-18 10:23:59</v>
      </c>
      <c r="L2802" s="1" t="str">
        <f>"2017-03-18 10:24:13"</f>
        <v>2017-03-18 10:24:13</v>
      </c>
      <c r="M2802" s="2">
        <v>6.8287037037037025E-4</v>
      </c>
      <c r="N2802" s="1" t="s">
        <v>26</v>
      </c>
      <c r="O2802" s="1" t="s">
        <v>34</v>
      </c>
      <c r="P2802" s="2">
        <v>8.449074074074075E-4</v>
      </c>
      <c r="Q2802" s="1" t="s">
        <v>2009</v>
      </c>
      <c r="R2802" s="1">
        <v>0</v>
      </c>
      <c r="S2802" s="1" t="str">
        <f>""</f>
        <v/>
      </c>
      <c r="T2802" s="1" t="s">
        <v>29</v>
      </c>
      <c r="U2802" s="1" t="s">
        <v>30</v>
      </c>
      <c r="V2802" s="1">
        <v>0</v>
      </c>
    </row>
    <row r="2803" spans="2:22" x14ac:dyDescent="0.15">
      <c r="B2803" s="1" t="str">
        <f>"159****9700"</f>
        <v>159****9700</v>
      </c>
      <c r="C2803" s="1" t="s">
        <v>188</v>
      </c>
      <c r="D2803" s="1" t="str">
        <f t="shared" si="278"/>
        <v>89177328</v>
      </c>
      <c r="E2803" s="1" t="s">
        <v>24</v>
      </c>
      <c r="F2803" s="1" t="str">
        <f t="shared" si="279"/>
        <v>0010</v>
      </c>
      <c r="G2803" s="1" t="str">
        <f>""</f>
        <v/>
      </c>
      <c r="H2803" s="1" t="str">
        <f>"0018"</f>
        <v>0018</v>
      </c>
      <c r="I2803" s="1" t="s">
        <v>36</v>
      </c>
      <c r="J2803" s="1" t="str">
        <f>"01043989718"</f>
        <v>01043989718</v>
      </c>
      <c r="K2803" s="1" t="str">
        <f>"2017-03-18 10:21:35"</f>
        <v>2017-03-18 10:21:35</v>
      </c>
      <c r="L2803" s="1" t="str">
        <f>"2017-03-18 10:21:42"</f>
        <v>2017-03-18 10:21:42</v>
      </c>
      <c r="M2803" s="2">
        <v>5.6134259259259271E-3</v>
      </c>
      <c r="N2803" s="1" t="s">
        <v>26</v>
      </c>
      <c r="O2803" s="1" t="s">
        <v>34</v>
      </c>
      <c r="P2803" s="2">
        <v>5.6944444444444438E-3</v>
      </c>
      <c r="Q2803" s="1" t="s">
        <v>2010</v>
      </c>
      <c r="R2803" s="1">
        <v>0</v>
      </c>
      <c r="S2803" s="1" t="str">
        <f>""</f>
        <v/>
      </c>
      <c r="T2803" s="1" t="s">
        <v>29</v>
      </c>
      <c r="U2803" s="1" t="s">
        <v>30</v>
      </c>
      <c r="V2803" s="1">
        <v>0</v>
      </c>
    </row>
    <row r="2804" spans="2:22" x14ac:dyDescent="0.15">
      <c r="B2804" s="1" t="str">
        <f>"130****5656"</f>
        <v>130****5656</v>
      </c>
      <c r="C2804" s="1" t="s">
        <v>112</v>
      </c>
      <c r="D2804" s="1" t="str">
        <f t="shared" si="278"/>
        <v>89177328</v>
      </c>
      <c r="E2804" s="1" t="s">
        <v>24</v>
      </c>
      <c r="F2804" s="1" t="str">
        <f t="shared" si="279"/>
        <v>0010</v>
      </c>
      <c r="G2804" s="1" t="str">
        <f>""</f>
        <v/>
      </c>
      <c r="H2804" s="1" t="str">
        <f>"0018"</f>
        <v>0018</v>
      </c>
      <c r="I2804" s="1" t="s">
        <v>36</v>
      </c>
      <c r="J2804" s="1" t="str">
        <f>"01043989718"</f>
        <v>01043989718</v>
      </c>
      <c r="K2804" s="1" t="str">
        <f>"2017-03-18 10:21:07"</f>
        <v>2017-03-18 10:21:07</v>
      </c>
      <c r="L2804" s="1" t="str">
        <f>"-"</f>
        <v>-</v>
      </c>
      <c r="M2804" s="2">
        <v>0</v>
      </c>
      <c r="N2804" s="1" t="s">
        <v>33</v>
      </c>
      <c r="O2804" s="1" t="s">
        <v>34</v>
      </c>
      <c r="P2804" s="2">
        <v>8.1018518518518516E-5</v>
      </c>
      <c r="Q2804" s="1" t="str">
        <f>""</f>
        <v/>
      </c>
      <c r="R2804" s="1">
        <v>0</v>
      </c>
      <c r="S2804" s="1" t="str">
        <f>""</f>
        <v/>
      </c>
      <c r="T2804" s="1" t="s">
        <v>29</v>
      </c>
      <c r="U2804" s="1" t="s">
        <v>30</v>
      </c>
      <c r="V2804" s="1">
        <v>0</v>
      </c>
    </row>
    <row r="2805" spans="2:22" x14ac:dyDescent="0.15">
      <c r="B2805" s="1" t="str">
        <f>"157****4678"</f>
        <v>157****4678</v>
      </c>
      <c r="C2805" s="1" t="s">
        <v>23</v>
      </c>
      <c r="D2805" s="1" t="str">
        <f t="shared" si="278"/>
        <v>89177328</v>
      </c>
      <c r="E2805" s="1" t="s">
        <v>24</v>
      </c>
      <c r="F2805" s="1" t="str">
        <f t="shared" si="279"/>
        <v>0010</v>
      </c>
      <c r="G2805" s="1" t="str">
        <f>""</f>
        <v/>
      </c>
      <c r="H2805" s="1" t="str">
        <f>"0018"</f>
        <v>0018</v>
      </c>
      <c r="I2805" s="1" t="s">
        <v>36</v>
      </c>
      <c r="J2805" s="1" t="str">
        <f>"01043989718"</f>
        <v>01043989718</v>
      </c>
      <c r="K2805" s="1" t="str">
        <f>"2017-03-18 10:20:28"</f>
        <v>2017-03-18 10:20:28</v>
      </c>
      <c r="L2805" s="1" t="str">
        <f>"2017-03-18 10:20:37"</f>
        <v>2017-03-18 10:20:37</v>
      </c>
      <c r="M2805" s="2">
        <v>1.1574074074074073E-4</v>
      </c>
      <c r="N2805" s="1" t="s">
        <v>26</v>
      </c>
      <c r="O2805" s="1" t="s">
        <v>34</v>
      </c>
      <c r="P2805" s="2">
        <v>2.199074074074074E-4</v>
      </c>
      <c r="Q2805" s="1" t="s">
        <v>2011</v>
      </c>
      <c r="R2805" s="1">
        <v>0</v>
      </c>
      <c r="S2805" s="1" t="str">
        <f>""</f>
        <v/>
      </c>
      <c r="T2805" s="1" t="s">
        <v>29</v>
      </c>
      <c r="U2805" s="1" t="s">
        <v>30</v>
      </c>
      <c r="V2805" s="1">
        <v>0</v>
      </c>
    </row>
    <row r="2806" spans="2:22" x14ac:dyDescent="0.15">
      <c r="B2806" s="1" t="str">
        <f>"183****4280"</f>
        <v>183****4280</v>
      </c>
      <c r="C2806" s="1" t="s">
        <v>23</v>
      </c>
      <c r="D2806" s="1" t="str">
        <f t="shared" si="278"/>
        <v>89177328</v>
      </c>
      <c r="E2806" s="1" t="s">
        <v>24</v>
      </c>
      <c r="F2806" s="1" t="str">
        <f t="shared" si="279"/>
        <v>0010</v>
      </c>
      <c r="G2806" s="1" t="str">
        <f>""</f>
        <v/>
      </c>
      <c r="H2806" s="1" t="str">
        <f>"0018"</f>
        <v>0018</v>
      </c>
      <c r="I2806" s="1" t="s">
        <v>36</v>
      </c>
      <c r="J2806" s="1" t="str">
        <f>"01043989718"</f>
        <v>01043989718</v>
      </c>
      <c r="K2806" s="1" t="str">
        <f>"2017-03-18 10:19:18"</f>
        <v>2017-03-18 10:19:18</v>
      </c>
      <c r="L2806" s="1" t="str">
        <f>"-"</f>
        <v>-</v>
      </c>
      <c r="M2806" s="2">
        <v>0</v>
      </c>
      <c r="N2806" s="1" t="s">
        <v>33</v>
      </c>
      <c r="O2806" s="1" t="s">
        <v>34</v>
      </c>
      <c r="P2806" s="2">
        <v>2.3148148148148147E-5</v>
      </c>
      <c r="Q2806" s="1" t="str">
        <f>""</f>
        <v/>
      </c>
      <c r="R2806" s="1">
        <v>0</v>
      </c>
      <c r="S2806" s="1" t="str">
        <f>""</f>
        <v/>
      </c>
      <c r="T2806" s="1" t="s">
        <v>29</v>
      </c>
      <c r="U2806" s="1" t="s">
        <v>30</v>
      </c>
      <c r="V2806" s="1">
        <v>0</v>
      </c>
    </row>
    <row r="2807" spans="2:22" x14ac:dyDescent="0.15">
      <c r="B2807" s="1" t="str">
        <f>"155****1133"</f>
        <v>155****1133</v>
      </c>
      <c r="C2807" s="1" t="s">
        <v>2012</v>
      </c>
      <c r="D2807" s="1" t="str">
        <f t="shared" si="278"/>
        <v>89177328</v>
      </c>
      <c r="E2807" s="1" t="s">
        <v>24</v>
      </c>
      <c r="F2807" s="1" t="str">
        <f t="shared" si="279"/>
        <v>0010</v>
      </c>
      <c r="G2807" s="1" t="str">
        <f>""</f>
        <v/>
      </c>
      <c r="H2807" s="1" t="str">
        <f>"0018"</f>
        <v>0018</v>
      </c>
      <c r="I2807" s="1" t="s">
        <v>36</v>
      </c>
      <c r="J2807" s="1" t="str">
        <f>"01043989718"</f>
        <v>01043989718</v>
      </c>
      <c r="K2807" s="1" t="str">
        <f>"2017-03-18 10:11:48"</f>
        <v>2017-03-18 10:11:48</v>
      </c>
      <c r="L2807" s="1" t="str">
        <f>"-"</f>
        <v>-</v>
      </c>
      <c r="M2807" s="2">
        <v>0</v>
      </c>
      <c r="N2807" s="1" t="s">
        <v>33</v>
      </c>
      <c r="O2807" s="1" t="s">
        <v>34</v>
      </c>
      <c r="P2807" s="2">
        <v>2.3148148148148147E-5</v>
      </c>
      <c r="Q2807" s="1" t="str">
        <f>""</f>
        <v/>
      </c>
      <c r="R2807" s="1">
        <v>0</v>
      </c>
      <c r="S2807" s="1" t="str">
        <f>""</f>
        <v/>
      </c>
      <c r="T2807" s="1" t="s">
        <v>29</v>
      </c>
      <c r="U2807" s="1" t="s">
        <v>30</v>
      </c>
      <c r="V2807" s="1">
        <v>0</v>
      </c>
    </row>
    <row r="2808" spans="2:22" x14ac:dyDescent="0.15">
      <c r="B2808" s="1" t="str">
        <f>"137****0163"</f>
        <v>137****0163</v>
      </c>
      <c r="C2808" s="1" t="s">
        <v>78</v>
      </c>
      <c r="D2808" s="1" t="str">
        <f t="shared" si="278"/>
        <v>89177328</v>
      </c>
      <c r="E2808" s="1" t="s">
        <v>24</v>
      </c>
      <c r="F2808" s="1" t="str">
        <f t="shared" si="279"/>
        <v>0010</v>
      </c>
      <c r="G2808" s="1" t="str">
        <f>""</f>
        <v/>
      </c>
      <c r="H2808" s="1" t="str">
        <f>"0010"</f>
        <v>0010</v>
      </c>
      <c r="I2808" s="1" t="s">
        <v>71</v>
      </c>
      <c r="J2808" s="1" t="str">
        <f>"01043989719"</f>
        <v>01043989719</v>
      </c>
      <c r="K2808" s="1" t="str">
        <f>"2017-03-18 10:10:34"</f>
        <v>2017-03-18 10:10:34</v>
      </c>
      <c r="L2808" s="1" t="str">
        <f>"2017-03-18 10:10:38"</f>
        <v>2017-03-18 10:10:38</v>
      </c>
      <c r="M2808" s="2">
        <v>1.0081018518518519E-2</v>
      </c>
      <c r="N2808" s="1" t="s">
        <v>26</v>
      </c>
      <c r="O2808" s="1" t="s">
        <v>27</v>
      </c>
      <c r="P2808" s="2">
        <v>1.0127314814814815E-2</v>
      </c>
      <c r="Q2808" s="1" t="s">
        <v>2013</v>
      </c>
      <c r="R2808" s="1">
        <v>0</v>
      </c>
      <c r="S2808" s="1" t="str">
        <f>""</f>
        <v/>
      </c>
      <c r="T2808" s="1" t="s">
        <v>29</v>
      </c>
      <c r="U2808" s="1" t="s">
        <v>30</v>
      </c>
      <c r="V2808" s="1">
        <v>0</v>
      </c>
    </row>
    <row r="2809" spans="2:22" x14ac:dyDescent="0.15">
      <c r="B2809" s="1" t="str">
        <f>"157****4678"</f>
        <v>157****4678</v>
      </c>
      <c r="C2809" s="1" t="s">
        <v>23</v>
      </c>
      <c r="D2809" s="1" t="str">
        <f t="shared" si="278"/>
        <v>89177328</v>
      </c>
      <c r="E2809" s="1" t="s">
        <v>24</v>
      </c>
      <c r="F2809" s="1" t="str">
        <f t="shared" si="279"/>
        <v>0010</v>
      </c>
      <c r="G2809" s="1" t="str">
        <f>""</f>
        <v/>
      </c>
      <c r="H2809" s="1" t="str">
        <f>"0010"</f>
        <v>0010</v>
      </c>
      <c r="I2809" s="1" t="s">
        <v>71</v>
      </c>
      <c r="J2809" s="1" t="str">
        <f>"01043989719"</f>
        <v>01043989719</v>
      </c>
      <c r="K2809" s="1" t="str">
        <f>"2017-03-18 10:08:44"</f>
        <v>2017-03-18 10:08:44</v>
      </c>
      <c r="L2809" s="1" t="str">
        <f>"-"</f>
        <v>-</v>
      </c>
      <c r="M2809" s="2">
        <v>0</v>
      </c>
      <c r="N2809" s="1" t="s">
        <v>33</v>
      </c>
      <c r="O2809" s="1" t="s">
        <v>34</v>
      </c>
      <c r="P2809" s="2">
        <v>8.1018518518518516E-5</v>
      </c>
      <c r="Q2809" s="1" t="str">
        <f>""</f>
        <v/>
      </c>
      <c r="R2809" s="1">
        <v>0</v>
      </c>
      <c r="S2809" s="1" t="str">
        <f>""</f>
        <v/>
      </c>
      <c r="T2809" s="1" t="s">
        <v>29</v>
      </c>
      <c r="U2809" s="1" t="s">
        <v>30</v>
      </c>
      <c r="V2809" s="1">
        <v>0</v>
      </c>
    </row>
    <row r="2810" spans="2:22" x14ac:dyDescent="0.15">
      <c r="B2810" s="1" t="str">
        <f>"157****4678"</f>
        <v>157****4678</v>
      </c>
      <c r="C2810" s="1" t="s">
        <v>23</v>
      </c>
      <c r="D2810" s="1" t="str">
        <f t="shared" si="278"/>
        <v>89177328</v>
      </c>
      <c r="E2810" s="1" t="s">
        <v>24</v>
      </c>
      <c r="F2810" s="1" t="str">
        <f t="shared" si="279"/>
        <v>0010</v>
      </c>
      <c r="G2810" s="1" t="str">
        <f>""</f>
        <v/>
      </c>
      <c r="H2810" s="1" t="str">
        <f>"0018"</f>
        <v>0018</v>
      </c>
      <c r="I2810" s="1" t="s">
        <v>36</v>
      </c>
      <c r="J2810" s="1" t="str">
        <f>"01043989718"</f>
        <v>01043989718</v>
      </c>
      <c r="K2810" s="1" t="str">
        <f>"2017-03-18 10:04:02"</f>
        <v>2017-03-18 10:04:02</v>
      </c>
      <c r="L2810" s="1" t="str">
        <f>"-"</f>
        <v>-</v>
      </c>
      <c r="M2810" s="2">
        <v>0</v>
      </c>
      <c r="N2810" s="1" t="s">
        <v>33</v>
      </c>
      <c r="O2810" s="1" t="s">
        <v>34</v>
      </c>
      <c r="P2810" s="2">
        <v>1.0416666666666667E-4</v>
      </c>
      <c r="Q2810" s="1" t="str">
        <f>""</f>
        <v/>
      </c>
      <c r="R2810" s="1">
        <v>0</v>
      </c>
      <c r="S2810" s="1" t="str">
        <f>""</f>
        <v/>
      </c>
      <c r="T2810" s="1" t="s">
        <v>29</v>
      </c>
      <c r="U2810" s="1" t="s">
        <v>30</v>
      </c>
      <c r="V2810" s="1">
        <v>0</v>
      </c>
    </row>
    <row r="2811" spans="2:22" x14ac:dyDescent="0.15">
      <c r="B2811" s="1" t="str">
        <f>"186****4060"</f>
        <v>186****4060</v>
      </c>
      <c r="C2811" s="1" t="s">
        <v>283</v>
      </c>
      <c r="D2811" s="1" t="str">
        <f t="shared" si="278"/>
        <v>89177328</v>
      </c>
      <c r="E2811" s="1" t="s">
        <v>24</v>
      </c>
      <c r="F2811" s="1" t="str">
        <f t="shared" si="279"/>
        <v>0010</v>
      </c>
      <c r="G2811" s="1" t="str">
        <f>""</f>
        <v/>
      </c>
      <c r="H2811" s="1" t="str">
        <f>"0018"</f>
        <v>0018</v>
      </c>
      <c r="I2811" s="1" t="s">
        <v>36</v>
      </c>
      <c r="J2811" s="1" t="str">
        <f>"01043989718"</f>
        <v>01043989718</v>
      </c>
      <c r="K2811" s="1" t="str">
        <f>"2017-03-18 10:00:59"</f>
        <v>2017-03-18 10:00:59</v>
      </c>
      <c r="L2811" s="1" t="str">
        <f>"-"</f>
        <v>-</v>
      </c>
      <c r="M2811" s="2">
        <v>0</v>
      </c>
      <c r="N2811" s="1" t="s">
        <v>33</v>
      </c>
      <c r="O2811" s="1" t="s">
        <v>34</v>
      </c>
      <c r="P2811" s="2">
        <v>1.1574074074074073E-5</v>
      </c>
      <c r="Q2811" s="1" t="str">
        <f>""</f>
        <v/>
      </c>
      <c r="R2811" s="1">
        <v>0</v>
      </c>
      <c r="S2811" s="1" t="str">
        <f>""</f>
        <v/>
      </c>
      <c r="T2811" s="1" t="s">
        <v>29</v>
      </c>
      <c r="U2811" s="1" t="s">
        <v>30</v>
      </c>
      <c r="V2811" s="1">
        <v>0</v>
      </c>
    </row>
    <row r="2812" spans="2:22" x14ac:dyDescent="0.15">
      <c r="B2812" s="1" t="str">
        <f>"187****1079"</f>
        <v>187****1079</v>
      </c>
      <c r="C2812" s="1" t="s">
        <v>150</v>
      </c>
      <c r="D2812" s="1" t="str">
        <f>"4000108333"</f>
        <v>4000108333</v>
      </c>
      <c r="E2812" s="1" t="s">
        <v>53</v>
      </c>
      <c r="F2812" s="1" t="str">
        <f>"0000"</f>
        <v>0000</v>
      </c>
      <c r="G2812" s="1" t="str">
        <f>""</f>
        <v/>
      </c>
      <c r="H2812" s="1" t="str">
        <f>"0035"</f>
        <v>0035</v>
      </c>
      <c r="I2812" s="1" t="s">
        <v>25</v>
      </c>
      <c r="J2812" s="1" t="str">
        <f>"01043977569"</f>
        <v>01043977569</v>
      </c>
      <c r="K2812" s="1" t="str">
        <f>"2017-03-18 09:50:24"</f>
        <v>2017-03-18 09:50:24</v>
      </c>
      <c r="L2812" s="1" t="str">
        <f>"2017-03-18 09:51:02"</f>
        <v>2017-03-18 09:51:02</v>
      </c>
      <c r="M2812" s="2">
        <v>1.800925925925926E-2</v>
      </c>
      <c r="N2812" s="1" t="s">
        <v>26</v>
      </c>
      <c r="O2812" s="1" t="s">
        <v>34</v>
      </c>
      <c r="P2812" s="2">
        <v>1.8449074074074073E-2</v>
      </c>
      <c r="Q2812" s="1" t="s">
        <v>2014</v>
      </c>
      <c r="R2812" s="1">
        <v>3.24</v>
      </c>
      <c r="S2812" s="1" t="str">
        <f>""</f>
        <v/>
      </c>
      <c r="T2812" s="1" t="s">
        <v>29</v>
      </c>
      <c r="U2812" s="1" t="s">
        <v>30</v>
      </c>
      <c r="V2812" s="1">
        <v>0</v>
      </c>
    </row>
    <row r="2813" spans="2:22" x14ac:dyDescent="0.15">
      <c r="B2813" s="1" t="str">
        <f>"138****6239"</f>
        <v>138****6239</v>
      </c>
      <c r="C2813" s="1" t="s">
        <v>23</v>
      </c>
      <c r="D2813" s="1" t="str">
        <f t="shared" ref="D2813:D2825" si="280">"89177328"</f>
        <v>89177328</v>
      </c>
      <c r="E2813" s="1" t="s">
        <v>24</v>
      </c>
      <c r="F2813" s="1" t="str">
        <f t="shared" ref="F2813:F2825" si="281">"0010"</f>
        <v>0010</v>
      </c>
      <c r="G2813" s="1" t="str">
        <f>""</f>
        <v/>
      </c>
      <c r="H2813" s="1" t="str">
        <f>"0032"</f>
        <v>0032</v>
      </c>
      <c r="I2813" s="1" t="s">
        <v>119</v>
      </c>
      <c r="J2813" s="1" t="str">
        <f>"01043977566"</f>
        <v>01043977566</v>
      </c>
      <c r="K2813" s="1" t="str">
        <f>"2017-03-18 09:42:19"</f>
        <v>2017-03-18 09:42:19</v>
      </c>
      <c r="L2813" s="1" t="str">
        <f>"2017-03-18 09:42:29"</f>
        <v>2017-03-18 09:42:29</v>
      </c>
      <c r="M2813" s="2">
        <v>3.5879629629629635E-4</v>
      </c>
      <c r="N2813" s="1" t="s">
        <v>26</v>
      </c>
      <c r="O2813" s="1" t="s">
        <v>34</v>
      </c>
      <c r="P2813" s="2">
        <v>4.7453703703703704E-4</v>
      </c>
      <c r="Q2813" s="1" t="s">
        <v>2015</v>
      </c>
      <c r="R2813" s="1">
        <v>0</v>
      </c>
      <c r="S2813" s="1" t="str">
        <f>""</f>
        <v/>
      </c>
      <c r="T2813" s="1" t="s">
        <v>29</v>
      </c>
      <c r="U2813" s="1" t="s">
        <v>30</v>
      </c>
      <c r="V2813" s="1">
        <v>0</v>
      </c>
    </row>
    <row r="2814" spans="2:22" x14ac:dyDescent="0.15">
      <c r="B2814" s="1" t="str">
        <f>"135****6131"</f>
        <v>135****6131</v>
      </c>
      <c r="C2814" s="1" t="s">
        <v>23</v>
      </c>
      <c r="D2814" s="1" t="str">
        <f t="shared" si="280"/>
        <v>89177328</v>
      </c>
      <c r="E2814" s="1" t="s">
        <v>24</v>
      </c>
      <c r="F2814" s="1" t="str">
        <f t="shared" si="281"/>
        <v>0010</v>
      </c>
      <c r="G2814" s="1" t="str">
        <f>""</f>
        <v/>
      </c>
      <c r="H2814" s="1" t="str">
        <f>"0035"</f>
        <v>0035</v>
      </c>
      <c r="I2814" s="1" t="s">
        <v>25</v>
      </c>
      <c r="J2814" s="1" t="str">
        <f>"01043977569"</f>
        <v>01043977569</v>
      </c>
      <c r="K2814" s="1" t="str">
        <f>"2017-03-18 09:38:47"</f>
        <v>2017-03-18 09:38:47</v>
      </c>
      <c r="L2814" s="1" t="str">
        <f>"2017-03-18 09:38:59"</f>
        <v>2017-03-18 09:38:59</v>
      </c>
      <c r="M2814" s="2">
        <v>4.0624999999999993E-3</v>
      </c>
      <c r="N2814" s="1" t="s">
        <v>26</v>
      </c>
      <c r="O2814" s="1" t="s">
        <v>27</v>
      </c>
      <c r="P2814" s="2">
        <v>4.2013888888888891E-3</v>
      </c>
      <c r="Q2814" s="1" t="s">
        <v>2016</v>
      </c>
      <c r="R2814" s="1">
        <v>0</v>
      </c>
      <c r="S2814" s="1" t="str">
        <f>""</f>
        <v/>
      </c>
      <c r="T2814" s="1" t="s">
        <v>29</v>
      </c>
      <c r="U2814" s="1" t="s">
        <v>30</v>
      </c>
      <c r="V2814" s="1">
        <v>0</v>
      </c>
    </row>
    <row r="2815" spans="2:22" x14ac:dyDescent="0.15">
      <c r="B2815" s="1" t="str">
        <f>"136****1514"</f>
        <v>136****1514</v>
      </c>
      <c r="C2815" s="1" t="s">
        <v>23</v>
      </c>
      <c r="D2815" s="1" t="str">
        <f t="shared" si="280"/>
        <v>89177328</v>
      </c>
      <c r="E2815" s="1" t="s">
        <v>24</v>
      </c>
      <c r="F2815" s="1" t="str">
        <f t="shared" si="281"/>
        <v>0010</v>
      </c>
      <c r="G2815" s="1" t="str">
        <f>""</f>
        <v/>
      </c>
      <c r="H2815" s="1" t="str">
        <f>"0017"</f>
        <v>0017</v>
      </c>
      <c r="I2815" s="1" t="s">
        <v>135</v>
      </c>
      <c r="J2815" s="1" t="str">
        <f>"01043989717"</f>
        <v>01043989717</v>
      </c>
      <c r="K2815" s="1" t="str">
        <f>"2017-03-18 09:35:46"</f>
        <v>2017-03-18 09:35:46</v>
      </c>
      <c r="L2815" s="1" t="str">
        <f>"2017-03-18 09:35:53"</f>
        <v>2017-03-18 09:35:53</v>
      </c>
      <c r="M2815" s="2">
        <v>7.3495370370370372E-3</v>
      </c>
      <c r="N2815" s="1" t="s">
        <v>26</v>
      </c>
      <c r="O2815" s="1" t="s">
        <v>27</v>
      </c>
      <c r="P2815" s="2">
        <v>7.4305555555555548E-3</v>
      </c>
      <c r="Q2815" s="1" t="s">
        <v>2017</v>
      </c>
      <c r="R2815" s="1">
        <v>0</v>
      </c>
      <c r="S2815" s="1" t="str">
        <f>""</f>
        <v/>
      </c>
      <c r="T2815" s="1" t="s">
        <v>29</v>
      </c>
      <c r="U2815" s="1" t="s">
        <v>30</v>
      </c>
      <c r="V2815" s="1">
        <v>0</v>
      </c>
    </row>
    <row r="2816" spans="2:22" x14ac:dyDescent="0.15">
      <c r="B2816" s="1" t="str">
        <f>"134****0728"</f>
        <v>134****0728</v>
      </c>
      <c r="C2816" s="1" t="s">
        <v>23</v>
      </c>
      <c r="D2816" s="1" t="str">
        <f t="shared" si="280"/>
        <v>89177328</v>
      </c>
      <c r="E2816" s="1" t="s">
        <v>24</v>
      </c>
      <c r="F2816" s="1" t="str">
        <f t="shared" si="281"/>
        <v>0010</v>
      </c>
      <c r="G2816" s="1" t="str">
        <f>""</f>
        <v/>
      </c>
      <c r="H2816" s="1" t="str">
        <f>"0018"</f>
        <v>0018</v>
      </c>
      <c r="I2816" s="1" t="s">
        <v>36</v>
      </c>
      <c r="J2816" s="1" t="str">
        <f>"01043989718"</f>
        <v>01043989718</v>
      </c>
      <c r="K2816" s="1" t="str">
        <f>"2017-03-18 09:33:57"</f>
        <v>2017-03-18 09:33:57</v>
      </c>
      <c r="L2816" s="1" t="str">
        <f>"2017-03-18 09:34:02"</f>
        <v>2017-03-18 09:34:02</v>
      </c>
      <c r="M2816" s="2">
        <v>1.0127314814814815E-2</v>
      </c>
      <c r="N2816" s="1" t="s">
        <v>26</v>
      </c>
      <c r="O2816" s="1" t="s">
        <v>34</v>
      </c>
      <c r="P2816" s="2">
        <v>1.0185185185185184E-2</v>
      </c>
      <c r="Q2816" s="1" t="s">
        <v>2018</v>
      </c>
      <c r="R2816" s="1">
        <v>0</v>
      </c>
      <c r="S2816" s="1" t="str">
        <f>""</f>
        <v/>
      </c>
      <c r="T2816" s="1" t="s">
        <v>29</v>
      </c>
      <c r="U2816" s="1" t="s">
        <v>30</v>
      </c>
      <c r="V2816" s="1">
        <v>0</v>
      </c>
    </row>
    <row r="2817" spans="2:22" x14ac:dyDescent="0.15">
      <c r="B2817" s="1" t="str">
        <f>"135****6237"</f>
        <v>135****6237</v>
      </c>
      <c r="C2817" s="1" t="s">
        <v>23</v>
      </c>
      <c r="D2817" s="1" t="str">
        <f t="shared" si="280"/>
        <v>89177328</v>
      </c>
      <c r="E2817" s="1" t="s">
        <v>24</v>
      </c>
      <c r="F2817" s="1" t="str">
        <f t="shared" si="281"/>
        <v>0010</v>
      </c>
      <c r="G2817" s="1" t="str">
        <f>""</f>
        <v/>
      </c>
      <c r="H2817" s="1" t="str">
        <f>"0032"</f>
        <v>0032</v>
      </c>
      <c r="I2817" s="1" t="s">
        <v>119</v>
      </c>
      <c r="J2817" s="1" t="str">
        <f>"01043977566"</f>
        <v>01043977566</v>
      </c>
      <c r="K2817" s="1" t="str">
        <f>"2017-03-18 09:18:09"</f>
        <v>2017-03-18 09:18:09</v>
      </c>
      <c r="L2817" s="1" t="str">
        <f>"2017-03-18 09:18:20"</f>
        <v>2017-03-18 09:18:20</v>
      </c>
      <c r="M2817" s="2">
        <v>2.8356481481481479E-3</v>
      </c>
      <c r="N2817" s="1" t="s">
        <v>26</v>
      </c>
      <c r="O2817" s="1" t="s">
        <v>34</v>
      </c>
      <c r="P2817" s="2">
        <v>2.9629629629629628E-3</v>
      </c>
      <c r="Q2817" s="1" t="s">
        <v>2019</v>
      </c>
      <c r="R2817" s="1">
        <v>0</v>
      </c>
      <c r="S2817" s="1" t="str">
        <f>""</f>
        <v/>
      </c>
      <c r="T2817" s="1" t="s">
        <v>29</v>
      </c>
      <c r="U2817" s="1" t="s">
        <v>30</v>
      </c>
      <c r="V2817" s="1">
        <v>0</v>
      </c>
    </row>
    <row r="2818" spans="2:22" x14ac:dyDescent="0.15">
      <c r="B2818" s="1" t="str">
        <f>"185****7941"</f>
        <v>185****7941</v>
      </c>
      <c r="C2818" s="1" t="s">
        <v>23</v>
      </c>
      <c r="D2818" s="1" t="str">
        <f t="shared" si="280"/>
        <v>89177328</v>
      </c>
      <c r="E2818" s="1" t="s">
        <v>24</v>
      </c>
      <c r="F2818" s="1" t="str">
        <f t="shared" si="281"/>
        <v>0010</v>
      </c>
      <c r="G2818" s="1" t="str">
        <f>""</f>
        <v/>
      </c>
      <c r="H2818" s="1" t="str">
        <f>"0018"</f>
        <v>0018</v>
      </c>
      <c r="I2818" s="1" t="s">
        <v>36</v>
      </c>
      <c r="J2818" s="1" t="str">
        <f>"01043989718"</f>
        <v>01043989718</v>
      </c>
      <c r="K2818" s="1" t="str">
        <f>"2017-03-18 09:03:32"</f>
        <v>2017-03-18 09:03:32</v>
      </c>
      <c r="L2818" s="1" t="str">
        <f>"2017-03-18 09:03:36"</f>
        <v>2017-03-18 09:03:36</v>
      </c>
      <c r="M2818" s="2">
        <v>6.7939814814814816E-3</v>
      </c>
      <c r="N2818" s="1" t="s">
        <v>26</v>
      </c>
      <c r="O2818" s="1" t="s">
        <v>34</v>
      </c>
      <c r="P2818" s="2">
        <v>6.8402777777777776E-3</v>
      </c>
      <c r="Q2818" s="1" t="s">
        <v>2020</v>
      </c>
      <c r="R2818" s="1">
        <v>0</v>
      </c>
      <c r="S2818" s="1" t="str">
        <f>""</f>
        <v/>
      </c>
      <c r="T2818" s="1" t="s">
        <v>29</v>
      </c>
      <c r="U2818" s="1" t="s">
        <v>30</v>
      </c>
      <c r="V2818" s="1">
        <v>0</v>
      </c>
    </row>
    <row r="2819" spans="2:22" x14ac:dyDescent="0.15">
      <c r="B2819" s="1" t="str">
        <f>"139****8985"</f>
        <v>139****8985</v>
      </c>
      <c r="C2819" s="1" t="s">
        <v>2021</v>
      </c>
      <c r="D2819" s="1" t="str">
        <f t="shared" si="280"/>
        <v>89177328</v>
      </c>
      <c r="E2819" s="1" t="s">
        <v>24</v>
      </c>
      <c r="F2819" s="1" t="str">
        <f t="shared" si="281"/>
        <v>0010</v>
      </c>
      <c r="G2819" s="1" t="str">
        <f>""</f>
        <v/>
      </c>
      <c r="H2819" s="1" t="str">
        <f>"0032"</f>
        <v>0032</v>
      </c>
      <c r="I2819" s="1" t="s">
        <v>119</v>
      </c>
      <c r="J2819" s="1" t="str">
        <f>"01043977566"</f>
        <v>01043977566</v>
      </c>
      <c r="K2819" s="1" t="str">
        <f>"2017-03-18 08:55:18"</f>
        <v>2017-03-18 08:55:18</v>
      </c>
      <c r="L2819" s="1" t="str">
        <f>"2017-03-18 08:55:33"</f>
        <v>2017-03-18 08:55:33</v>
      </c>
      <c r="M2819" s="2">
        <v>8.449074074074075E-4</v>
      </c>
      <c r="N2819" s="1" t="s">
        <v>26</v>
      </c>
      <c r="O2819" s="1" t="s">
        <v>34</v>
      </c>
      <c r="P2819" s="2">
        <v>1.0185185185185186E-3</v>
      </c>
      <c r="Q2819" s="1" t="s">
        <v>2022</v>
      </c>
      <c r="R2819" s="1">
        <v>0</v>
      </c>
      <c r="S2819" s="1" t="str">
        <f>""</f>
        <v/>
      </c>
      <c r="T2819" s="1" t="s">
        <v>29</v>
      </c>
      <c r="U2819" s="1" t="s">
        <v>30</v>
      </c>
      <c r="V2819" s="1">
        <v>0</v>
      </c>
    </row>
    <row r="2820" spans="2:22" x14ac:dyDescent="0.15">
      <c r="B2820" s="1" t="str">
        <f>"177****6853"</f>
        <v>177****6853</v>
      </c>
      <c r="C2820" s="1" t="s">
        <v>23</v>
      </c>
      <c r="D2820" s="1" t="str">
        <f t="shared" si="280"/>
        <v>89177328</v>
      </c>
      <c r="E2820" s="1" t="s">
        <v>24</v>
      </c>
      <c r="F2820" s="1" t="str">
        <f t="shared" si="281"/>
        <v>0010</v>
      </c>
      <c r="G2820" s="1" t="str">
        <f>""</f>
        <v/>
      </c>
      <c r="H2820" s="1" t="str">
        <f>"0018"</f>
        <v>0018</v>
      </c>
      <c r="I2820" s="1" t="s">
        <v>36</v>
      </c>
      <c r="J2820" s="1" t="str">
        <f>"01043989718"</f>
        <v>01043989718</v>
      </c>
      <c r="K2820" s="1" t="str">
        <f>"2017-03-18 08:54:20"</f>
        <v>2017-03-18 08:54:20</v>
      </c>
      <c r="L2820" s="1" t="str">
        <f>"2017-03-18 08:54:26"</f>
        <v>2017-03-18 08:54:26</v>
      </c>
      <c r="M2820" s="2">
        <v>2.0370370370370373E-3</v>
      </c>
      <c r="N2820" s="1" t="s">
        <v>26</v>
      </c>
      <c r="O2820" s="1" t="s">
        <v>27</v>
      </c>
      <c r="P2820" s="2">
        <v>2.1064814814814813E-3</v>
      </c>
      <c r="Q2820" s="1" t="s">
        <v>2023</v>
      </c>
      <c r="R2820" s="1">
        <v>0</v>
      </c>
      <c r="S2820" s="1" t="str">
        <f>""</f>
        <v/>
      </c>
      <c r="T2820" s="1" t="s">
        <v>29</v>
      </c>
      <c r="U2820" s="1" t="s">
        <v>30</v>
      </c>
      <c r="V2820" s="1">
        <v>0</v>
      </c>
    </row>
    <row r="2821" spans="2:22" x14ac:dyDescent="0.15">
      <c r="B2821" s="1" t="str">
        <f>"186****0510"</f>
        <v>186****0510</v>
      </c>
      <c r="C2821" s="1" t="s">
        <v>23</v>
      </c>
      <c r="D2821" s="1" t="str">
        <f t="shared" si="280"/>
        <v>89177328</v>
      </c>
      <c r="E2821" s="1" t="s">
        <v>24</v>
      </c>
      <c r="F2821" s="1" t="str">
        <f t="shared" si="281"/>
        <v>0010</v>
      </c>
      <c r="G2821" s="1" t="str">
        <f>""</f>
        <v/>
      </c>
      <c r="H2821" s="1" t="str">
        <f>"0018"</f>
        <v>0018</v>
      </c>
      <c r="I2821" s="1" t="s">
        <v>36</v>
      </c>
      <c r="J2821" s="1" t="str">
        <f>"01043989718"</f>
        <v>01043989718</v>
      </c>
      <c r="K2821" s="1" t="str">
        <f>"2017-03-18 08:50:53"</f>
        <v>2017-03-18 08:50:53</v>
      </c>
      <c r="L2821" s="1" t="str">
        <f>"2017-03-18 08:51:00"</f>
        <v>2017-03-18 08:51:00</v>
      </c>
      <c r="M2821" s="2">
        <v>8.6805555555555551E-4</v>
      </c>
      <c r="N2821" s="1" t="s">
        <v>26</v>
      </c>
      <c r="O2821" s="1" t="s">
        <v>34</v>
      </c>
      <c r="P2821" s="2">
        <v>9.4907407407407408E-4</v>
      </c>
      <c r="Q2821" s="1" t="s">
        <v>2024</v>
      </c>
      <c r="R2821" s="1">
        <v>0</v>
      </c>
      <c r="S2821" s="1" t="str">
        <f>""</f>
        <v/>
      </c>
      <c r="T2821" s="1" t="s">
        <v>29</v>
      </c>
      <c r="U2821" s="1" t="s">
        <v>30</v>
      </c>
      <c r="V2821" s="1">
        <v>0</v>
      </c>
    </row>
    <row r="2822" spans="2:22" x14ac:dyDescent="0.15">
      <c r="B2822" s="1" t="str">
        <f>"186****0510"</f>
        <v>186****0510</v>
      </c>
      <c r="C2822" s="1" t="s">
        <v>23</v>
      </c>
      <c r="D2822" s="1" t="str">
        <f t="shared" si="280"/>
        <v>89177328</v>
      </c>
      <c r="E2822" s="1" t="s">
        <v>24</v>
      </c>
      <c r="F2822" s="1" t="str">
        <f t="shared" si="281"/>
        <v>0010</v>
      </c>
      <c r="G2822" s="1" t="str">
        <f>""</f>
        <v/>
      </c>
      <c r="H2822" s="1" t="str">
        <f>"0017"</f>
        <v>0017</v>
      </c>
      <c r="I2822" s="1" t="s">
        <v>135</v>
      </c>
      <c r="J2822" s="1" t="str">
        <f>"01043989717"</f>
        <v>01043989717</v>
      </c>
      <c r="K2822" s="1" t="str">
        <f>"2017-03-18 08:42:13"</f>
        <v>2017-03-18 08:42:13</v>
      </c>
      <c r="L2822" s="1" t="str">
        <f>"2017-03-18 08:42:41"</f>
        <v>2017-03-18 08:42:41</v>
      </c>
      <c r="M2822" s="2">
        <v>3.4606481481481485E-3</v>
      </c>
      <c r="N2822" s="1" t="s">
        <v>26</v>
      </c>
      <c r="O2822" s="1" t="s">
        <v>27</v>
      </c>
      <c r="P2822" s="2">
        <v>3.7847222222222223E-3</v>
      </c>
      <c r="Q2822" s="1" t="s">
        <v>2025</v>
      </c>
      <c r="R2822" s="1">
        <v>0</v>
      </c>
      <c r="S2822" s="1" t="str">
        <f>""</f>
        <v/>
      </c>
      <c r="T2822" s="1" t="s">
        <v>29</v>
      </c>
      <c r="U2822" s="1" t="s">
        <v>30</v>
      </c>
      <c r="V2822" s="1">
        <v>0</v>
      </c>
    </row>
    <row r="2823" spans="2:22" x14ac:dyDescent="0.15">
      <c r="B2823" s="1" t="str">
        <f>"139****3375"</f>
        <v>139****3375</v>
      </c>
      <c r="C2823" s="1" t="s">
        <v>126</v>
      </c>
      <c r="D2823" s="1" t="str">
        <f t="shared" si="280"/>
        <v>89177328</v>
      </c>
      <c r="E2823" s="1" t="s">
        <v>24</v>
      </c>
      <c r="F2823" s="1" t="str">
        <f t="shared" si="281"/>
        <v>0010</v>
      </c>
      <c r="G2823" s="1" t="str">
        <f>""</f>
        <v/>
      </c>
      <c r="H2823" s="1" t="str">
        <f>"0032"</f>
        <v>0032</v>
      </c>
      <c r="I2823" s="1" t="s">
        <v>119</v>
      </c>
      <c r="J2823" s="1" t="str">
        <f>"01043977566"</f>
        <v>01043977566</v>
      </c>
      <c r="K2823" s="1" t="str">
        <f>"2017-03-18 08:39:06"</f>
        <v>2017-03-18 08:39:06</v>
      </c>
      <c r="L2823" s="1" t="str">
        <f>"-"</f>
        <v>-</v>
      </c>
      <c r="M2823" s="2">
        <v>0</v>
      </c>
      <c r="N2823" s="1" t="s">
        <v>33</v>
      </c>
      <c r="O2823" s="1" t="s">
        <v>34</v>
      </c>
      <c r="P2823" s="2">
        <v>1.1574074074074073E-5</v>
      </c>
      <c r="Q2823" s="1" t="str">
        <f>""</f>
        <v/>
      </c>
      <c r="R2823" s="1">
        <v>0</v>
      </c>
      <c r="S2823" s="1" t="str">
        <f>""</f>
        <v/>
      </c>
      <c r="T2823" s="1" t="s">
        <v>29</v>
      </c>
      <c r="U2823" s="1" t="s">
        <v>30</v>
      </c>
      <c r="V2823" s="1">
        <v>0</v>
      </c>
    </row>
    <row r="2824" spans="2:22" x14ac:dyDescent="0.15">
      <c r="B2824" s="1" t="str">
        <f>"139****0255"</f>
        <v>139****0255</v>
      </c>
      <c r="C2824" s="1" t="s">
        <v>23</v>
      </c>
      <c r="D2824" s="1" t="str">
        <f t="shared" si="280"/>
        <v>89177328</v>
      </c>
      <c r="E2824" s="1" t="s">
        <v>24</v>
      </c>
      <c r="F2824" s="1" t="str">
        <f t="shared" si="281"/>
        <v>0010</v>
      </c>
      <c r="G2824" s="1" t="str">
        <f>""</f>
        <v/>
      </c>
      <c r="H2824" s="1" t="str">
        <f>"0012"</f>
        <v>0012</v>
      </c>
      <c r="I2824" s="1" t="s">
        <v>612</v>
      </c>
      <c r="J2824" s="1" t="str">
        <f>"01043989720"</f>
        <v>01043989720</v>
      </c>
      <c r="K2824" s="1" t="str">
        <f>"2017-03-18 08:23:09"</f>
        <v>2017-03-18 08:23:09</v>
      </c>
      <c r="L2824" s="1" t="str">
        <f>"2017-03-18 08:23:18"</f>
        <v>2017-03-18 08:23:18</v>
      </c>
      <c r="M2824" s="2">
        <v>4.2361111111111106E-3</v>
      </c>
      <c r="N2824" s="1" t="s">
        <v>26</v>
      </c>
      <c r="O2824" s="1" t="s">
        <v>34</v>
      </c>
      <c r="P2824" s="2">
        <v>4.340277777777778E-3</v>
      </c>
      <c r="Q2824" s="1" t="s">
        <v>2026</v>
      </c>
      <c r="R2824" s="1">
        <v>0</v>
      </c>
      <c r="S2824" s="1" t="str">
        <f>""</f>
        <v/>
      </c>
      <c r="T2824" s="1" t="s">
        <v>29</v>
      </c>
      <c r="U2824" s="1" t="s">
        <v>30</v>
      </c>
      <c r="V2824" s="1">
        <v>0</v>
      </c>
    </row>
    <row r="2825" spans="2:22" x14ac:dyDescent="0.15">
      <c r="B2825" s="1" t="str">
        <f>"176****2261"</f>
        <v>176****2261</v>
      </c>
      <c r="C2825" s="1" t="s">
        <v>44</v>
      </c>
      <c r="D2825" s="1" t="str">
        <f t="shared" si="280"/>
        <v>89177328</v>
      </c>
      <c r="E2825" s="1" t="s">
        <v>24</v>
      </c>
      <c r="F2825" s="1" t="str">
        <f t="shared" si="281"/>
        <v>0010</v>
      </c>
      <c r="G2825" s="1" t="str">
        <f>""</f>
        <v/>
      </c>
      <c r="H2825" s="1" t="str">
        <f>"0012"</f>
        <v>0012</v>
      </c>
      <c r="I2825" s="1" t="s">
        <v>612</v>
      </c>
      <c r="J2825" s="1" t="str">
        <f>"01043989720"</f>
        <v>01043989720</v>
      </c>
      <c r="K2825" s="1" t="str">
        <f>"2017-03-18 08:07:23"</f>
        <v>2017-03-18 08:07:23</v>
      </c>
      <c r="L2825" s="1" t="str">
        <f>"2017-03-18 08:07:38"</f>
        <v>2017-03-18 08:07:38</v>
      </c>
      <c r="M2825" s="2">
        <v>4.6759259259259263E-3</v>
      </c>
      <c r="N2825" s="1" t="s">
        <v>26</v>
      </c>
      <c r="O2825" s="1" t="s">
        <v>27</v>
      </c>
      <c r="P2825" s="2">
        <v>4.8495370370370368E-3</v>
      </c>
      <c r="Q2825" s="1" t="s">
        <v>2027</v>
      </c>
      <c r="R2825" s="1">
        <v>0</v>
      </c>
      <c r="S2825" s="1" t="str">
        <f>""</f>
        <v/>
      </c>
      <c r="T2825" s="1" t="s">
        <v>29</v>
      </c>
      <c r="U2825" s="1" t="s">
        <v>30</v>
      </c>
      <c r="V2825" s="1">
        <v>0</v>
      </c>
    </row>
    <row r="2826" spans="2:22" x14ac:dyDescent="0.15">
      <c r="B2826" s="1" t="str">
        <f>"155****9216"</f>
        <v>155****9216</v>
      </c>
      <c r="C2826" s="1" t="s">
        <v>78</v>
      </c>
      <c r="D2826" s="1" t="str">
        <f>"4000108333"</f>
        <v>4000108333</v>
      </c>
      <c r="E2826" s="1" t="s">
        <v>414</v>
      </c>
      <c r="F2826" s="1" t="str">
        <f>""</f>
        <v/>
      </c>
      <c r="G2826" s="1" t="str">
        <f>""</f>
        <v/>
      </c>
      <c r="H2826" s="1" t="str">
        <f>""</f>
        <v/>
      </c>
      <c r="I2826" s="1" t="str">
        <f>""</f>
        <v/>
      </c>
      <c r="J2826" s="1" t="str">
        <f>""</f>
        <v/>
      </c>
      <c r="K2826" s="1" t="str">
        <f>"2017-03-18 07:25:03"</f>
        <v>2017-03-18 07:25:03</v>
      </c>
      <c r="L2826" s="1" t="str">
        <f>"-"</f>
        <v>-</v>
      </c>
      <c r="M2826" s="2">
        <v>0</v>
      </c>
      <c r="N2826" s="1" t="s">
        <v>55</v>
      </c>
      <c r="O2826" s="1" t="s">
        <v>34</v>
      </c>
      <c r="P2826" s="2">
        <v>2.0833333333333335E-4</v>
      </c>
      <c r="Q2826" s="1" t="str">
        <f>""</f>
        <v/>
      </c>
      <c r="R2826" s="1">
        <v>0.12</v>
      </c>
      <c r="S2826" s="1" t="str">
        <f>""</f>
        <v/>
      </c>
      <c r="T2826" s="1" t="s">
        <v>183</v>
      </c>
      <c r="U2826" s="1" t="s">
        <v>30</v>
      </c>
      <c r="V2826" s="1">
        <v>0</v>
      </c>
    </row>
    <row r="2827" spans="2:22" x14ac:dyDescent="0.15">
      <c r="B2827" s="1" t="str">
        <f>"187****9685"</f>
        <v>187****9685</v>
      </c>
      <c r="C2827" s="1" t="s">
        <v>2028</v>
      </c>
      <c r="D2827" s="1" t="str">
        <f t="shared" ref="D2827:D2836" si="282">"89177328"</f>
        <v>89177328</v>
      </c>
      <c r="E2827" s="1" t="s">
        <v>24</v>
      </c>
      <c r="F2827" s="1" t="str">
        <f t="shared" ref="F2827:F2836" si="283">"0010"</f>
        <v>0010</v>
      </c>
      <c r="G2827" s="1" t="str">
        <f>""</f>
        <v/>
      </c>
      <c r="H2827" s="1" t="str">
        <f>"0018"</f>
        <v>0018</v>
      </c>
      <c r="I2827" s="1" t="s">
        <v>36</v>
      </c>
      <c r="J2827" s="1" t="str">
        <f>"01043989718"</f>
        <v>01043989718</v>
      </c>
      <c r="K2827" s="1" t="str">
        <f>"2017-03-17 20:40:42"</f>
        <v>2017-03-17 20:40:42</v>
      </c>
      <c r="L2827" s="1" t="str">
        <f>"2017-03-17 20:40:47"</f>
        <v>2017-03-17 20:40:47</v>
      </c>
      <c r="M2827" s="2">
        <v>4.3981481481481484E-3</v>
      </c>
      <c r="N2827" s="1" t="s">
        <v>26</v>
      </c>
      <c r="O2827" s="1" t="s">
        <v>34</v>
      </c>
      <c r="P2827" s="2">
        <v>4.4560185185185189E-3</v>
      </c>
      <c r="Q2827" s="1" t="s">
        <v>2029</v>
      </c>
      <c r="R2827" s="1">
        <v>0</v>
      </c>
      <c r="S2827" s="1" t="str">
        <f>""</f>
        <v/>
      </c>
      <c r="T2827" s="1" t="s">
        <v>29</v>
      </c>
      <c r="U2827" s="1" t="s">
        <v>30</v>
      </c>
      <c r="V2827" s="1">
        <v>0</v>
      </c>
    </row>
    <row r="2828" spans="2:22" x14ac:dyDescent="0.15">
      <c r="B2828" s="1" t="str">
        <f>"116114"</f>
        <v>116114</v>
      </c>
      <c r="C2828" s="1" t="s">
        <v>159</v>
      </c>
      <c r="D2828" s="1" t="str">
        <f t="shared" si="282"/>
        <v>89177328</v>
      </c>
      <c r="E2828" s="1" t="s">
        <v>24</v>
      </c>
      <c r="F2828" s="1" t="str">
        <f t="shared" si="283"/>
        <v>0010</v>
      </c>
      <c r="G2828" s="1" t="str">
        <f>""</f>
        <v/>
      </c>
      <c r="H2828" s="1" t="str">
        <f>"0018"</f>
        <v>0018</v>
      </c>
      <c r="I2828" s="1" t="s">
        <v>36</v>
      </c>
      <c r="J2828" s="1" t="str">
        <f>"01043989718"</f>
        <v>01043989718</v>
      </c>
      <c r="K2828" s="1" t="str">
        <f>"2017-03-17 20:35:05"</f>
        <v>2017-03-17 20:35:05</v>
      </c>
      <c r="L2828" s="1" t="str">
        <f>"-"</f>
        <v>-</v>
      </c>
      <c r="M2828" s="2">
        <v>0</v>
      </c>
      <c r="N2828" s="1" t="s">
        <v>33</v>
      </c>
      <c r="O2828" s="1" t="s">
        <v>34</v>
      </c>
      <c r="P2828" s="2">
        <v>1.1574074074074073E-5</v>
      </c>
      <c r="Q2828" s="1" t="str">
        <f>""</f>
        <v/>
      </c>
      <c r="R2828" s="1">
        <v>0</v>
      </c>
      <c r="S2828" s="1" t="str">
        <f>""</f>
        <v/>
      </c>
      <c r="T2828" s="1" t="s">
        <v>29</v>
      </c>
      <c r="U2828" s="1" t="s">
        <v>30</v>
      </c>
      <c r="V2828" s="1">
        <v>0</v>
      </c>
    </row>
    <row r="2829" spans="2:22" x14ac:dyDescent="0.15">
      <c r="B2829" s="1" t="str">
        <f>"010****4927"</f>
        <v>010****4927</v>
      </c>
      <c r="C2829" s="1" t="s">
        <v>23</v>
      </c>
      <c r="D2829" s="1" t="str">
        <f t="shared" si="282"/>
        <v>89177328</v>
      </c>
      <c r="E2829" s="1" t="s">
        <v>24</v>
      </c>
      <c r="F2829" s="1" t="str">
        <f t="shared" si="283"/>
        <v>0010</v>
      </c>
      <c r="G2829" s="1" t="str">
        <f>""</f>
        <v/>
      </c>
      <c r="H2829" s="1" t="str">
        <f>"0017"</f>
        <v>0017</v>
      </c>
      <c r="I2829" s="1" t="s">
        <v>135</v>
      </c>
      <c r="J2829" s="1" t="str">
        <f>"01043989717"</f>
        <v>01043989717</v>
      </c>
      <c r="K2829" s="1" t="str">
        <f>"2017-03-17 20:32:41"</f>
        <v>2017-03-17 20:32:41</v>
      </c>
      <c r="L2829" s="1" t="str">
        <f>"2017-03-17 20:32:48"</f>
        <v>2017-03-17 20:32:48</v>
      </c>
      <c r="M2829" s="2">
        <v>8.5879629629629622E-3</v>
      </c>
      <c r="N2829" s="1" t="s">
        <v>26</v>
      </c>
      <c r="O2829" s="1" t="s">
        <v>27</v>
      </c>
      <c r="P2829" s="2">
        <v>8.6689814814814806E-3</v>
      </c>
      <c r="Q2829" s="1" t="s">
        <v>2030</v>
      </c>
      <c r="R2829" s="1">
        <v>0</v>
      </c>
      <c r="S2829" s="1" t="str">
        <f>""</f>
        <v/>
      </c>
      <c r="T2829" s="1" t="s">
        <v>29</v>
      </c>
      <c r="U2829" s="1" t="s">
        <v>30</v>
      </c>
      <c r="V2829" s="1">
        <v>0</v>
      </c>
    </row>
    <row r="2830" spans="2:22" x14ac:dyDescent="0.15">
      <c r="B2830" s="1" t="str">
        <f>"186****8776"</f>
        <v>186****8776</v>
      </c>
      <c r="C2830" s="1" t="s">
        <v>188</v>
      </c>
      <c r="D2830" s="1" t="str">
        <f t="shared" si="282"/>
        <v>89177328</v>
      </c>
      <c r="E2830" s="1" t="s">
        <v>24</v>
      </c>
      <c r="F2830" s="1" t="str">
        <f t="shared" si="283"/>
        <v>0010</v>
      </c>
      <c r="G2830" s="1" t="str">
        <f>""</f>
        <v/>
      </c>
      <c r="H2830" s="1" t="str">
        <f>"0035"</f>
        <v>0035</v>
      </c>
      <c r="I2830" s="1" t="s">
        <v>25</v>
      </c>
      <c r="J2830" s="1" t="str">
        <f>"01043977569"</f>
        <v>01043977569</v>
      </c>
      <c r="K2830" s="1" t="str">
        <f>"2017-03-17 20:29:45"</f>
        <v>2017-03-17 20:29:45</v>
      </c>
      <c r="L2830" s="1" t="str">
        <f>"2017-03-17 20:29:52"</f>
        <v>2017-03-17 20:29:52</v>
      </c>
      <c r="M2830" s="2">
        <v>5.8217592592592592E-3</v>
      </c>
      <c r="N2830" s="1" t="s">
        <v>26</v>
      </c>
      <c r="O2830" s="1" t="s">
        <v>27</v>
      </c>
      <c r="P2830" s="2">
        <v>5.9027777777777776E-3</v>
      </c>
      <c r="Q2830" s="1" t="s">
        <v>2031</v>
      </c>
      <c r="R2830" s="1">
        <v>0</v>
      </c>
      <c r="S2830" s="1" t="str">
        <f>""</f>
        <v/>
      </c>
      <c r="T2830" s="1" t="s">
        <v>29</v>
      </c>
      <c r="U2830" s="1" t="s">
        <v>30</v>
      </c>
      <c r="V2830" s="1">
        <v>0</v>
      </c>
    </row>
    <row r="2831" spans="2:22" x14ac:dyDescent="0.15">
      <c r="B2831" s="1" t="str">
        <f>"133****5285"</f>
        <v>133****5285</v>
      </c>
      <c r="C2831" s="1" t="s">
        <v>23</v>
      </c>
      <c r="D2831" s="1" t="str">
        <f t="shared" si="282"/>
        <v>89177328</v>
      </c>
      <c r="E2831" s="1" t="s">
        <v>24</v>
      </c>
      <c r="F2831" s="1" t="str">
        <f t="shared" si="283"/>
        <v>0010</v>
      </c>
      <c r="G2831" s="1" t="str">
        <f>""</f>
        <v/>
      </c>
      <c r="H2831" s="1" t="str">
        <f>"0018"</f>
        <v>0018</v>
      </c>
      <c r="I2831" s="1" t="s">
        <v>36</v>
      </c>
      <c r="J2831" s="1" t="str">
        <f>"01043989718"</f>
        <v>01043989718</v>
      </c>
      <c r="K2831" s="1" t="str">
        <f>"2017-03-17 20:27:51"</f>
        <v>2017-03-17 20:27:51</v>
      </c>
      <c r="L2831" s="1" t="str">
        <f>"2017-03-17 20:27:55"</f>
        <v>2017-03-17 20:27:55</v>
      </c>
      <c r="M2831" s="2">
        <v>4.7337962962962958E-3</v>
      </c>
      <c r="N2831" s="1" t="s">
        <v>26</v>
      </c>
      <c r="O2831" s="1" t="s">
        <v>34</v>
      </c>
      <c r="P2831" s="2">
        <v>4.7800925925925919E-3</v>
      </c>
      <c r="Q2831" s="1" t="s">
        <v>2032</v>
      </c>
      <c r="R2831" s="1">
        <v>0</v>
      </c>
      <c r="S2831" s="1" t="str">
        <f>""</f>
        <v/>
      </c>
      <c r="T2831" s="1" t="s">
        <v>29</v>
      </c>
      <c r="U2831" s="1" t="s">
        <v>30</v>
      </c>
      <c r="V2831" s="1">
        <v>0</v>
      </c>
    </row>
    <row r="2832" spans="2:22" x14ac:dyDescent="0.15">
      <c r="B2832" s="1" t="str">
        <f>"153****6519"</f>
        <v>153****6519</v>
      </c>
      <c r="C2832" s="1" t="s">
        <v>23</v>
      </c>
      <c r="D2832" s="1" t="str">
        <f t="shared" si="282"/>
        <v>89177328</v>
      </c>
      <c r="E2832" s="1" t="s">
        <v>24</v>
      </c>
      <c r="F2832" s="1" t="str">
        <f t="shared" si="283"/>
        <v>0010</v>
      </c>
      <c r="G2832" s="1" t="str">
        <f>""</f>
        <v/>
      </c>
      <c r="H2832" s="1" t="str">
        <f>"0017"</f>
        <v>0017</v>
      </c>
      <c r="I2832" s="1" t="s">
        <v>135</v>
      </c>
      <c r="J2832" s="1" t="str">
        <f>"01043989717"</f>
        <v>01043989717</v>
      </c>
      <c r="K2832" s="1" t="str">
        <f>"2017-03-17 20:22:27"</f>
        <v>2017-03-17 20:22:27</v>
      </c>
      <c r="L2832" s="1" t="str">
        <f>"2017-03-17 20:22:32"</f>
        <v>2017-03-17 20:22:32</v>
      </c>
      <c r="M2832" s="2">
        <v>5.0000000000000001E-3</v>
      </c>
      <c r="N2832" s="1" t="s">
        <v>26</v>
      </c>
      <c r="O2832" s="1" t="s">
        <v>27</v>
      </c>
      <c r="P2832" s="2">
        <v>5.0578703703703706E-3</v>
      </c>
      <c r="Q2832" s="1" t="s">
        <v>2033</v>
      </c>
      <c r="R2832" s="1">
        <v>0</v>
      </c>
      <c r="S2832" s="1" t="str">
        <f>""</f>
        <v/>
      </c>
      <c r="T2832" s="1" t="s">
        <v>29</v>
      </c>
      <c r="U2832" s="1" t="s">
        <v>30</v>
      </c>
      <c r="V2832" s="1">
        <v>0</v>
      </c>
    </row>
    <row r="2833" spans="2:22" x14ac:dyDescent="0.15">
      <c r="B2833" s="1" t="str">
        <f>"010****2056"</f>
        <v>010****2056</v>
      </c>
      <c r="C2833" s="1" t="s">
        <v>23</v>
      </c>
      <c r="D2833" s="1" t="str">
        <f t="shared" si="282"/>
        <v>89177328</v>
      </c>
      <c r="E2833" s="1" t="s">
        <v>24</v>
      </c>
      <c r="F2833" s="1" t="str">
        <f t="shared" si="283"/>
        <v>0010</v>
      </c>
      <c r="G2833" s="1" t="str">
        <f>""</f>
        <v/>
      </c>
      <c r="H2833" s="1" t="str">
        <f>"0018"</f>
        <v>0018</v>
      </c>
      <c r="I2833" s="1" t="s">
        <v>36</v>
      </c>
      <c r="J2833" s="1" t="str">
        <f>"01043989718"</f>
        <v>01043989718</v>
      </c>
      <c r="K2833" s="1" t="str">
        <f>"2017-03-17 20:14:36"</f>
        <v>2017-03-17 20:14:36</v>
      </c>
      <c r="L2833" s="1" t="str">
        <f>"2017-03-17 20:14:42"</f>
        <v>2017-03-17 20:14:42</v>
      </c>
      <c r="M2833" s="2">
        <v>6.2962962962962964E-3</v>
      </c>
      <c r="N2833" s="1" t="s">
        <v>26</v>
      </c>
      <c r="O2833" s="1" t="s">
        <v>34</v>
      </c>
      <c r="P2833" s="2">
        <v>6.3657407407407404E-3</v>
      </c>
      <c r="Q2833" s="1" t="s">
        <v>2034</v>
      </c>
      <c r="R2833" s="1">
        <v>0</v>
      </c>
      <c r="S2833" s="1" t="str">
        <f>""</f>
        <v/>
      </c>
      <c r="T2833" s="1" t="s">
        <v>29</v>
      </c>
      <c r="U2833" s="1" t="s">
        <v>30</v>
      </c>
      <c r="V2833" s="1">
        <v>0</v>
      </c>
    </row>
    <row r="2834" spans="2:22" x14ac:dyDescent="0.15">
      <c r="B2834" s="1" t="str">
        <f>"157****3773"</f>
        <v>157****3773</v>
      </c>
      <c r="C2834" s="1" t="s">
        <v>81</v>
      </c>
      <c r="D2834" s="1" t="str">
        <f t="shared" si="282"/>
        <v>89177328</v>
      </c>
      <c r="E2834" s="1" t="s">
        <v>24</v>
      </c>
      <c r="F2834" s="1" t="str">
        <f t="shared" si="283"/>
        <v>0010</v>
      </c>
      <c r="G2834" s="1" t="str">
        <f>""</f>
        <v/>
      </c>
      <c r="H2834" s="1" t="str">
        <f>"0035"</f>
        <v>0035</v>
      </c>
      <c r="I2834" s="1" t="s">
        <v>25</v>
      </c>
      <c r="J2834" s="1" t="str">
        <f>"01043977569"</f>
        <v>01043977569</v>
      </c>
      <c r="K2834" s="1" t="str">
        <f>"2017-03-17 19:52:20"</f>
        <v>2017-03-17 19:52:20</v>
      </c>
      <c r="L2834" s="1" t="str">
        <f>"2017-03-17 19:52:28"</f>
        <v>2017-03-17 19:52:28</v>
      </c>
      <c r="M2834" s="2">
        <v>6.7129629629629625E-4</v>
      </c>
      <c r="N2834" s="1" t="s">
        <v>26</v>
      </c>
      <c r="O2834" s="1" t="s">
        <v>27</v>
      </c>
      <c r="P2834" s="2">
        <v>7.6388888888888893E-4</v>
      </c>
      <c r="Q2834" s="1" t="s">
        <v>2035</v>
      </c>
      <c r="R2834" s="1">
        <v>0</v>
      </c>
      <c r="S2834" s="1" t="str">
        <f>""</f>
        <v/>
      </c>
      <c r="T2834" s="1" t="s">
        <v>29</v>
      </c>
      <c r="U2834" s="1" t="s">
        <v>30</v>
      </c>
      <c r="V2834" s="1">
        <v>0</v>
      </c>
    </row>
    <row r="2835" spans="2:22" x14ac:dyDescent="0.15">
      <c r="B2835" s="1" t="str">
        <f>"159****3930"</f>
        <v>159****3930</v>
      </c>
      <c r="C2835" s="1" t="s">
        <v>137</v>
      </c>
      <c r="D2835" s="1" t="str">
        <f t="shared" si="282"/>
        <v>89177328</v>
      </c>
      <c r="E2835" s="1" t="s">
        <v>24</v>
      </c>
      <c r="F2835" s="1" t="str">
        <f t="shared" si="283"/>
        <v>0010</v>
      </c>
      <c r="G2835" s="1" t="str">
        <f>""</f>
        <v/>
      </c>
      <c r="H2835" s="1" t="str">
        <f>"0035"</f>
        <v>0035</v>
      </c>
      <c r="I2835" s="1" t="s">
        <v>25</v>
      </c>
      <c r="J2835" s="1" t="str">
        <f>"01043977569"</f>
        <v>01043977569</v>
      </c>
      <c r="K2835" s="1" t="str">
        <f>"2017-03-17 19:30:08"</f>
        <v>2017-03-17 19:30:08</v>
      </c>
      <c r="L2835" s="1" t="str">
        <f>"2017-03-17 19:30:16"</f>
        <v>2017-03-17 19:30:16</v>
      </c>
      <c r="M2835" s="2">
        <v>2.3495370370370371E-3</v>
      </c>
      <c r="N2835" s="1" t="s">
        <v>26</v>
      </c>
      <c r="O2835" s="1" t="s">
        <v>27</v>
      </c>
      <c r="P2835" s="2">
        <v>2.4421296296296296E-3</v>
      </c>
      <c r="Q2835" s="1" t="s">
        <v>2036</v>
      </c>
      <c r="R2835" s="1">
        <v>0</v>
      </c>
      <c r="S2835" s="1" t="str">
        <f>""</f>
        <v/>
      </c>
      <c r="T2835" s="1" t="s">
        <v>29</v>
      </c>
      <c r="U2835" s="1" t="s">
        <v>30</v>
      </c>
      <c r="V2835" s="1">
        <v>0</v>
      </c>
    </row>
    <row r="2836" spans="2:22" x14ac:dyDescent="0.15">
      <c r="B2836" s="1" t="str">
        <f>"136****3351"</f>
        <v>136****3351</v>
      </c>
      <c r="C2836" s="1" t="s">
        <v>23</v>
      </c>
      <c r="D2836" s="1" t="str">
        <f t="shared" si="282"/>
        <v>89177328</v>
      </c>
      <c r="E2836" s="1" t="s">
        <v>24</v>
      </c>
      <c r="F2836" s="1" t="str">
        <f t="shared" si="283"/>
        <v>0010</v>
      </c>
      <c r="G2836" s="1" t="str">
        <f>""</f>
        <v/>
      </c>
      <c r="H2836" s="1" t="str">
        <f>"0010"</f>
        <v>0010</v>
      </c>
      <c r="I2836" s="1" t="s">
        <v>71</v>
      </c>
      <c r="J2836" s="1" t="str">
        <f>"01043989719"</f>
        <v>01043989719</v>
      </c>
      <c r="K2836" s="1" t="str">
        <f>"2017-03-17 19:30:00"</f>
        <v>2017-03-17 19:30:00</v>
      </c>
      <c r="L2836" s="1" t="str">
        <f>"2017-03-17 19:30:09"</f>
        <v>2017-03-17 19:30:09</v>
      </c>
      <c r="M2836" s="2">
        <v>6.5856481481481469E-3</v>
      </c>
      <c r="N2836" s="1" t="s">
        <v>26</v>
      </c>
      <c r="O2836" s="1" t="s">
        <v>27</v>
      </c>
      <c r="P2836" s="2">
        <v>6.6898148148148142E-3</v>
      </c>
      <c r="Q2836" s="1" t="s">
        <v>2037</v>
      </c>
      <c r="R2836" s="1">
        <v>0</v>
      </c>
      <c r="S2836" s="1" t="str">
        <f>""</f>
        <v/>
      </c>
      <c r="T2836" s="1" t="s">
        <v>29</v>
      </c>
      <c r="U2836" s="1" t="s">
        <v>30</v>
      </c>
      <c r="V2836" s="1">
        <v>0</v>
      </c>
    </row>
    <row r="2837" spans="2:22" x14ac:dyDescent="0.15">
      <c r="B2837" s="1" t="str">
        <f>"137****5129"</f>
        <v>137****5129</v>
      </c>
      <c r="C2837" s="1" t="s">
        <v>2038</v>
      </c>
      <c r="D2837" s="1" t="str">
        <f>"4000108333"</f>
        <v>4000108333</v>
      </c>
      <c r="E2837" s="1" t="s">
        <v>53</v>
      </c>
      <c r="F2837" s="1" t="str">
        <f>"0000"</f>
        <v>0000</v>
      </c>
      <c r="G2837" s="1" t="str">
        <f>""</f>
        <v/>
      </c>
      <c r="H2837" s="1" t="str">
        <f>"0010"</f>
        <v>0010</v>
      </c>
      <c r="I2837" s="1" t="s">
        <v>71</v>
      </c>
      <c r="J2837" s="1" t="str">
        <f>"01043989719"</f>
        <v>01043989719</v>
      </c>
      <c r="K2837" s="1" t="str">
        <f>"2017-03-17 19:15:36"</f>
        <v>2017-03-17 19:15:36</v>
      </c>
      <c r="L2837" s="1" t="str">
        <f>"2017-03-17 19:16:08"</f>
        <v>2017-03-17 19:16:08</v>
      </c>
      <c r="M2837" s="2">
        <v>8.6805555555555559E-3</v>
      </c>
      <c r="N2837" s="1" t="s">
        <v>26</v>
      </c>
      <c r="O2837" s="1" t="s">
        <v>27</v>
      </c>
      <c r="P2837" s="2">
        <v>9.0509259259259258E-3</v>
      </c>
      <c r="Q2837" s="1" t="s">
        <v>2039</v>
      </c>
      <c r="R2837" s="1">
        <v>1.68</v>
      </c>
      <c r="S2837" s="1" t="str">
        <f>""</f>
        <v/>
      </c>
      <c r="T2837" s="1" t="s">
        <v>29</v>
      </c>
      <c r="U2837" s="1" t="s">
        <v>30</v>
      </c>
      <c r="V2837" s="1">
        <v>0</v>
      </c>
    </row>
    <row r="2838" spans="2:22" x14ac:dyDescent="0.15">
      <c r="B2838" s="1" t="str">
        <f>"0310116114"</f>
        <v>0310116114</v>
      </c>
      <c r="C2838" s="1" t="s">
        <v>97</v>
      </c>
      <c r="D2838" s="1" t="str">
        <f t="shared" ref="D2838:D2849" si="284">"89177328"</f>
        <v>89177328</v>
      </c>
      <c r="E2838" s="1" t="s">
        <v>24</v>
      </c>
      <c r="F2838" s="1" t="str">
        <f t="shared" ref="F2838:F2849" si="285">"0010"</f>
        <v>0010</v>
      </c>
      <c r="G2838" s="1" t="str">
        <f>""</f>
        <v/>
      </c>
      <c r="H2838" s="1" t="str">
        <f>""</f>
        <v/>
      </c>
      <c r="I2838" s="1" t="str">
        <f>""</f>
        <v/>
      </c>
      <c r="J2838" s="1" t="str">
        <f>""</f>
        <v/>
      </c>
      <c r="K2838" s="1" t="str">
        <f>"2017-03-17 18:43:29"</f>
        <v>2017-03-17 18:43:29</v>
      </c>
      <c r="L2838" s="1" t="str">
        <f>"-"</f>
        <v>-</v>
      </c>
      <c r="M2838" s="2">
        <v>0</v>
      </c>
      <c r="N2838" s="1" t="s">
        <v>55</v>
      </c>
      <c r="O2838" s="1" t="s">
        <v>34</v>
      </c>
      <c r="P2838" s="2">
        <v>1.5972222222222221E-3</v>
      </c>
      <c r="Q2838" s="1" t="str">
        <f>""</f>
        <v/>
      </c>
      <c r="R2838" s="1">
        <v>0</v>
      </c>
      <c r="S2838" s="1" t="str">
        <f>""</f>
        <v/>
      </c>
      <c r="T2838" s="1" t="s">
        <v>29</v>
      </c>
      <c r="U2838" s="1" t="s">
        <v>30</v>
      </c>
      <c r="V2838" s="1">
        <v>0</v>
      </c>
    </row>
    <row r="2839" spans="2:22" x14ac:dyDescent="0.15">
      <c r="B2839" s="1" t="str">
        <f>"186****1807"</f>
        <v>186****1807</v>
      </c>
      <c r="C2839" s="1" t="s">
        <v>23</v>
      </c>
      <c r="D2839" s="1" t="str">
        <f t="shared" si="284"/>
        <v>89177328</v>
      </c>
      <c r="E2839" s="1" t="s">
        <v>24</v>
      </c>
      <c r="F2839" s="1" t="str">
        <f t="shared" si="285"/>
        <v>0010</v>
      </c>
      <c r="G2839" s="1" t="str">
        <f>""</f>
        <v/>
      </c>
      <c r="H2839" s="1" t="str">
        <f>"0017"</f>
        <v>0017</v>
      </c>
      <c r="I2839" s="1" t="s">
        <v>135</v>
      </c>
      <c r="J2839" s="1" t="str">
        <f>"01043989717"</f>
        <v>01043989717</v>
      </c>
      <c r="K2839" s="1" t="str">
        <f>"2017-03-17 18:43:13"</f>
        <v>2017-03-17 18:43:13</v>
      </c>
      <c r="L2839" s="1" t="str">
        <f>"2017-03-17 18:44:11"</f>
        <v>2017-03-17 18:44:11</v>
      </c>
      <c r="M2839" s="2">
        <v>8.2870370370370372E-3</v>
      </c>
      <c r="N2839" s="1" t="s">
        <v>26</v>
      </c>
      <c r="O2839" s="1" t="s">
        <v>27</v>
      </c>
      <c r="P2839" s="2">
        <v>8.9583333333333338E-3</v>
      </c>
      <c r="Q2839" s="1" t="s">
        <v>2040</v>
      </c>
      <c r="R2839" s="1">
        <v>0</v>
      </c>
      <c r="S2839" s="1" t="str">
        <f>""</f>
        <v/>
      </c>
      <c r="T2839" s="1" t="s">
        <v>29</v>
      </c>
      <c r="U2839" s="1" t="s">
        <v>30</v>
      </c>
      <c r="V2839" s="1">
        <v>0</v>
      </c>
    </row>
    <row r="2840" spans="2:22" x14ac:dyDescent="0.15">
      <c r="B2840" s="1" t="str">
        <f>"189****8142"</f>
        <v>189****8142</v>
      </c>
      <c r="C2840" s="1" t="s">
        <v>23</v>
      </c>
      <c r="D2840" s="1" t="str">
        <f t="shared" si="284"/>
        <v>89177328</v>
      </c>
      <c r="E2840" s="1" t="s">
        <v>24</v>
      </c>
      <c r="F2840" s="1" t="str">
        <f t="shared" si="285"/>
        <v>0010</v>
      </c>
      <c r="G2840" s="1" t="str">
        <f>""</f>
        <v/>
      </c>
      <c r="H2840" s="1" t="str">
        <f>"0032"</f>
        <v>0032</v>
      </c>
      <c r="I2840" s="1" t="s">
        <v>119</v>
      </c>
      <c r="J2840" s="1" t="str">
        <f>"01043977566"</f>
        <v>01043977566</v>
      </c>
      <c r="K2840" s="1" t="str">
        <f>"2017-03-17 18:37:41"</f>
        <v>2017-03-17 18:37:41</v>
      </c>
      <c r="L2840" s="1" t="str">
        <f>"2017-03-17 18:37:56"</f>
        <v>2017-03-17 18:37:56</v>
      </c>
      <c r="M2840" s="2">
        <v>6.3773148148148148E-3</v>
      </c>
      <c r="N2840" s="1" t="s">
        <v>26</v>
      </c>
      <c r="O2840" s="1" t="s">
        <v>34</v>
      </c>
      <c r="P2840" s="2">
        <v>6.5509259259259262E-3</v>
      </c>
      <c r="Q2840" s="1" t="s">
        <v>2041</v>
      </c>
      <c r="R2840" s="1">
        <v>0</v>
      </c>
      <c r="S2840" s="1" t="str">
        <f>""</f>
        <v/>
      </c>
      <c r="T2840" s="1" t="s">
        <v>29</v>
      </c>
      <c r="U2840" s="1" t="s">
        <v>30</v>
      </c>
      <c r="V2840" s="1">
        <v>0</v>
      </c>
    </row>
    <row r="2841" spans="2:22" x14ac:dyDescent="0.15">
      <c r="B2841" s="1" t="str">
        <f>"136****8092"</f>
        <v>136****8092</v>
      </c>
      <c r="C2841" s="1" t="s">
        <v>23</v>
      </c>
      <c r="D2841" s="1" t="str">
        <f t="shared" si="284"/>
        <v>89177328</v>
      </c>
      <c r="E2841" s="1" t="s">
        <v>24</v>
      </c>
      <c r="F2841" s="1" t="str">
        <f t="shared" si="285"/>
        <v>0010</v>
      </c>
      <c r="G2841" s="1" t="str">
        <f>""</f>
        <v/>
      </c>
      <c r="H2841" s="1" t="str">
        <f>""</f>
        <v/>
      </c>
      <c r="I2841" s="1" t="str">
        <f>""</f>
        <v/>
      </c>
      <c r="J2841" s="1" t="str">
        <f>""</f>
        <v/>
      </c>
      <c r="K2841" s="1" t="str">
        <f>"2017-03-17 18:34:27"</f>
        <v>2017-03-17 18:34:27</v>
      </c>
      <c r="L2841" s="1" t="str">
        <f>"-"</f>
        <v>-</v>
      </c>
      <c r="M2841" s="2">
        <v>0</v>
      </c>
      <c r="N2841" s="1" t="s">
        <v>55</v>
      </c>
      <c r="O2841" s="1" t="s">
        <v>34</v>
      </c>
      <c r="P2841" s="2">
        <v>8.449074074074075E-4</v>
      </c>
      <c r="Q2841" s="1" t="str">
        <f>""</f>
        <v/>
      </c>
      <c r="R2841" s="1">
        <v>0</v>
      </c>
      <c r="S2841" s="1" t="str">
        <f>""</f>
        <v/>
      </c>
      <c r="T2841" s="1" t="s">
        <v>29</v>
      </c>
      <c r="U2841" s="1" t="s">
        <v>30</v>
      </c>
      <c r="V2841" s="1">
        <v>0</v>
      </c>
    </row>
    <row r="2842" spans="2:22" x14ac:dyDescent="0.15">
      <c r="B2842" s="1" t="str">
        <f>"037****3506"</f>
        <v>037****3506</v>
      </c>
      <c r="C2842" s="1" t="s">
        <v>1928</v>
      </c>
      <c r="D2842" s="1" t="str">
        <f t="shared" si="284"/>
        <v>89177328</v>
      </c>
      <c r="E2842" s="1" t="s">
        <v>24</v>
      </c>
      <c r="F2842" s="1" t="str">
        <f t="shared" si="285"/>
        <v>0010</v>
      </c>
      <c r="G2842" s="1" t="str">
        <f>""</f>
        <v/>
      </c>
      <c r="H2842" s="1" t="str">
        <f>"0032"</f>
        <v>0032</v>
      </c>
      <c r="I2842" s="1" t="s">
        <v>119</v>
      </c>
      <c r="J2842" s="1" t="str">
        <f>"01043977566"</f>
        <v>01043977566</v>
      </c>
      <c r="K2842" s="1" t="str">
        <f>"2017-03-17 18:28:29"</f>
        <v>2017-03-17 18:28:29</v>
      </c>
      <c r="L2842" s="1" t="str">
        <f>"2017-03-17 18:28:41"</f>
        <v>2017-03-17 18:28:41</v>
      </c>
      <c r="M2842" s="2">
        <v>5.8449074074074072E-3</v>
      </c>
      <c r="N2842" s="1" t="s">
        <v>26</v>
      </c>
      <c r="O2842" s="1" t="s">
        <v>34</v>
      </c>
      <c r="P2842" s="2">
        <v>5.9837962962962961E-3</v>
      </c>
      <c r="Q2842" s="1" t="s">
        <v>2042</v>
      </c>
      <c r="R2842" s="1">
        <v>0</v>
      </c>
      <c r="S2842" s="1" t="str">
        <f>""</f>
        <v/>
      </c>
      <c r="T2842" s="1" t="s">
        <v>29</v>
      </c>
      <c r="U2842" s="1" t="s">
        <v>30</v>
      </c>
      <c r="V2842" s="1">
        <v>0</v>
      </c>
    </row>
    <row r="2843" spans="2:22" x14ac:dyDescent="0.15">
      <c r="B2843" s="1" t="str">
        <f>"010****1486"</f>
        <v>010****1486</v>
      </c>
      <c r="C2843" s="1" t="s">
        <v>23</v>
      </c>
      <c r="D2843" s="1" t="str">
        <f t="shared" si="284"/>
        <v>89177328</v>
      </c>
      <c r="E2843" s="1" t="s">
        <v>24</v>
      </c>
      <c r="F2843" s="1" t="str">
        <f t="shared" si="285"/>
        <v>0010</v>
      </c>
      <c r="G2843" s="1" t="str">
        <f>""</f>
        <v/>
      </c>
      <c r="H2843" s="1" t="str">
        <f>"0017"</f>
        <v>0017</v>
      </c>
      <c r="I2843" s="1" t="s">
        <v>135</v>
      </c>
      <c r="J2843" s="1" t="str">
        <f>"01043989717"</f>
        <v>01043989717</v>
      </c>
      <c r="K2843" s="1" t="str">
        <f>"2017-03-17 18:27:47"</f>
        <v>2017-03-17 18:27:47</v>
      </c>
      <c r="L2843" s="1" t="str">
        <f>"2017-03-17 18:27:53"</f>
        <v>2017-03-17 18:27:53</v>
      </c>
      <c r="M2843" s="2">
        <v>1.1215277777777777E-2</v>
      </c>
      <c r="N2843" s="1" t="s">
        <v>26</v>
      </c>
      <c r="O2843" s="1" t="s">
        <v>34</v>
      </c>
      <c r="P2843" s="2">
        <v>1.1284722222222222E-2</v>
      </c>
      <c r="Q2843" s="1" t="s">
        <v>2043</v>
      </c>
      <c r="R2843" s="1">
        <v>0</v>
      </c>
      <c r="S2843" s="1" t="str">
        <f>""</f>
        <v/>
      </c>
      <c r="T2843" s="1" t="s">
        <v>29</v>
      </c>
      <c r="U2843" s="1" t="s">
        <v>30</v>
      </c>
      <c r="V2843" s="1">
        <v>0</v>
      </c>
    </row>
    <row r="2844" spans="2:22" x14ac:dyDescent="0.15">
      <c r="B2844" s="1" t="str">
        <f>"189****7882"</f>
        <v>189****7882</v>
      </c>
      <c r="C2844" s="1" t="s">
        <v>23</v>
      </c>
      <c r="D2844" s="1" t="str">
        <f t="shared" si="284"/>
        <v>89177328</v>
      </c>
      <c r="E2844" s="1" t="s">
        <v>24</v>
      </c>
      <c r="F2844" s="1" t="str">
        <f t="shared" si="285"/>
        <v>0010</v>
      </c>
      <c r="G2844" s="1" t="str">
        <f>""</f>
        <v/>
      </c>
      <c r="H2844" s="1" t="str">
        <f>"0017"</f>
        <v>0017</v>
      </c>
      <c r="I2844" s="1" t="s">
        <v>135</v>
      </c>
      <c r="J2844" s="1" t="str">
        <f>"01043989717"</f>
        <v>01043989717</v>
      </c>
      <c r="K2844" s="1" t="str">
        <f>"2017-03-17 18:20:49"</f>
        <v>2017-03-17 18:20:49</v>
      </c>
      <c r="L2844" s="1" t="str">
        <f>"2017-03-17 18:21:17"</f>
        <v>2017-03-17 18:21:17</v>
      </c>
      <c r="M2844" s="2">
        <v>3.3333333333333335E-3</v>
      </c>
      <c r="N2844" s="1" t="s">
        <v>26</v>
      </c>
      <c r="O2844" s="1" t="s">
        <v>27</v>
      </c>
      <c r="P2844" s="2">
        <v>3.6574074074074074E-3</v>
      </c>
      <c r="Q2844" s="1" t="s">
        <v>2044</v>
      </c>
      <c r="R2844" s="1">
        <v>0</v>
      </c>
      <c r="S2844" s="1" t="str">
        <f>""</f>
        <v/>
      </c>
      <c r="T2844" s="1" t="s">
        <v>29</v>
      </c>
      <c r="U2844" s="1" t="s">
        <v>30</v>
      </c>
      <c r="V2844" s="1">
        <v>0</v>
      </c>
    </row>
    <row r="2845" spans="2:22" x14ac:dyDescent="0.15">
      <c r="B2845" s="1" t="str">
        <f>"131****8062"</f>
        <v>131****8062</v>
      </c>
      <c r="C2845" s="1" t="s">
        <v>568</v>
      </c>
      <c r="D2845" s="1" t="str">
        <f t="shared" si="284"/>
        <v>89177328</v>
      </c>
      <c r="E2845" s="1" t="s">
        <v>24</v>
      </c>
      <c r="F2845" s="1" t="str">
        <f t="shared" si="285"/>
        <v>0010</v>
      </c>
      <c r="G2845" s="1" t="str">
        <f>""</f>
        <v/>
      </c>
      <c r="H2845" s="1" t="str">
        <f>"0032"</f>
        <v>0032</v>
      </c>
      <c r="I2845" s="1" t="s">
        <v>119</v>
      </c>
      <c r="J2845" s="1" t="str">
        <f>"01043977566"</f>
        <v>01043977566</v>
      </c>
      <c r="K2845" s="1" t="str">
        <f>"2017-03-17 18:08:26"</f>
        <v>2017-03-17 18:08:26</v>
      </c>
      <c r="L2845" s="1" t="str">
        <f>"2017-03-17 18:08:35"</f>
        <v>2017-03-17 18:08:35</v>
      </c>
      <c r="M2845" s="2">
        <v>8.217592592592594E-3</v>
      </c>
      <c r="N2845" s="1" t="s">
        <v>26</v>
      </c>
      <c r="O2845" s="1" t="s">
        <v>34</v>
      </c>
      <c r="P2845" s="2">
        <v>8.3217592592592596E-3</v>
      </c>
      <c r="Q2845" s="1" t="s">
        <v>2045</v>
      </c>
      <c r="R2845" s="1">
        <v>0</v>
      </c>
      <c r="S2845" s="1" t="str">
        <f>""</f>
        <v/>
      </c>
      <c r="T2845" s="1" t="s">
        <v>29</v>
      </c>
      <c r="U2845" s="1" t="s">
        <v>30</v>
      </c>
      <c r="V2845" s="1">
        <v>0</v>
      </c>
    </row>
    <row r="2846" spans="2:22" x14ac:dyDescent="0.15">
      <c r="B2846" s="1" t="str">
        <f>"186****1807"</f>
        <v>186****1807</v>
      </c>
      <c r="C2846" s="1" t="s">
        <v>23</v>
      </c>
      <c r="D2846" s="1" t="str">
        <f t="shared" si="284"/>
        <v>89177328</v>
      </c>
      <c r="E2846" s="1" t="s">
        <v>24</v>
      </c>
      <c r="F2846" s="1" t="str">
        <f t="shared" si="285"/>
        <v>0010</v>
      </c>
      <c r="G2846" s="1" t="str">
        <f>""</f>
        <v/>
      </c>
      <c r="H2846" s="1" t="str">
        <f>"0032"</f>
        <v>0032</v>
      </c>
      <c r="I2846" s="1" t="s">
        <v>119</v>
      </c>
      <c r="J2846" s="1" t="str">
        <f>"01043977566"</f>
        <v>01043977566</v>
      </c>
      <c r="K2846" s="1" t="str">
        <f>"2017-03-17 18:04:31"</f>
        <v>2017-03-17 18:04:31</v>
      </c>
      <c r="L2846" s="1" t="str">
        <f>"-"</f>
        <v>-</v>
      </c>
      <c r="M2846" s="2">
        <v>0</v>
      </c>
      <c r="N2846" s="1" t="s">
        <v>33</v>
      </c>
      <c r="O2846" s="1" t="s">
        <v>34</v>
      </c>
      <c r="P2846" s="2">
        <v>2.3148148148148147E-5</v>
      </c>
      <c r="Q2846" s="1" t="str">
        <f>""</f>
        <v/>
      </c>
      <c r="R2846" s="1">
        <v>0</v>
      </c>
      <c r="S2846" s="1" t="str">
        <f>""</f>
        <v/>
      </c>
      <c r="T2846" s="1" t="s">
        <v>29</v>
      </c>
      <c r="U2846" s="1" t="s">
        <v>30</v>
      </c>
      <c r="V2846" s="1">
        <v>0</v>
      </c>
    </row>
    <row r="2847" spans="2:22" x14ac:dyDescent="0.15">
      <c r="B2847" s="1" t="str">
        <f>"130****4255"</f>
        <v>130****4255</v>
      </c>
      <c r="C2847" s="1" t="s">
        <v>23</v>
      </c>
      <c r="D2847" s="1" t="str">
        <f t="shared" si="284"/>
        <v>89177328</v>
      </c>
      <c r="E2847" s="1" t="s">
        <v>24</v>
      </c>
      <c r="F2847" s="1" t="str">
        <f t="shared" si="285"/>
        <v>0010</v>
      </c>
      <c r="G2847" s="1" t="str">
        <f>""</f>
        <v/>
      </c>
      <c r="H2847" s="1" t="str">
        <f>"0017"</f>
        <v>0017</v>
      </c>
      <c r="I2847" s="1" t="s">
        <v>135</v>
      </c>
      <c r="J2847" s="1" t="str">
        <f>"01043989717"</f>
        <v>01043989717</v>
      </c>
      <c r="K2847" s="1" t="str">
        <f>"2017-03-17 17:59:00"</f>
        <v>2017-03-17 17:59:00</v>
      </c>
      <c r="L2847" s="1" t="str">
        <f>"2017-03-17 17:59:06"</f>
        <v>2017-03-17 17:59:06</v>
      </c>
      <c r="M2847" s="2">
        <v>9.7916666666666655E-3</v>
      </c>
      <c r="N2847" s="1" t="s">
        <v>26</v>
      </c>
      <c r="O2847" s="1" t="s">
        <v>27</v>
      </c>
      <c r="P2847" s="2">
        <v>9.8611111111111104E-3</v>
      </c>
      <c r="Q2847" s="1" t="s">
        <v>2046</v>
      </c>
      <c r="R2847" s="1">
        <v>0</v>
      </c>
      <c r="S2847" s="1" t="str">
        <f>""</f>
        <v/>
      </c>
      <c r="T2847" s="1" t="s">
        <v>29</v>
      </c>
      <c r="U2847" s="1" t="s">
        <v>30</v>
      </c>
      <c r="V2847" s="1">
        <v>0</v>
      </c>
    </row>
    <row r="2848" spans="2:22" x14ac:dyDescent="0.15">
      <c r="B2848" s="1" t="str">
        <f>"137****5775"</f>
        <v>137****5775</v>
      </c>
      <c r="C2848" s="1" t="s">
        <v>44</v>
      </c>
      <c r="D2848" s="1" t="str">
        <f t="shared" si="284"/>
        <v>89177328</v>
      </c>
      <c r="E2848" s="1" t="s">
        <v>24</v>
      </c>
      <c r="F2848" s="1" t="str">
        <f t="shared" si="285"/>
        <v>0010</v>
      </c>
      <c r="G2848" s="1" t="str">
        <f>""</f>
        <v/>
      </c>
      <c r="H2848" s="1" t="str">
        <f>"0032"</f>
        <v>0032</v>
      </c>
      <c r="I2848" s="1" t="s">
        <v>119</v>
      </c>
      <c r="J2848" s="1" t="str">
        <f>"01043977566"</f>
        <v>01043977566</v>
      </c>
      <c r="K2848" s="1" t="str">
        <f>"2017-03-17 17:52:15"</f>
        <v>2017-03-17 17:52:15</v>
      </c>
      <c r="L2848" s="1" t="str">
        <f>"2017-03-17 17:52:25"</f>
        <v>2017-03-17 17:52:25</v>
      </c>
      <c r="M2848" s="2">
        <v>7.1527777777777787E-3</v>
      </c>
      <c r="N2848" s="1" t="s">
        <v>26</v>
      </c>
      <c r="O2848" s="1" t="s">
        <v>34</v>
      </c>
      <c r="P2848" s="2">
        <v>7.2685185185185188E-3</v>
      </c>
      <c r="Q2848" s="1" t="s">
        <v>2047</v>
      </c>
      <c r="R2848" s="1">
        <v>0</v>
      </c>
      <c r="S2848" s="1" t="str">
        <f>""</f>
        <v/>
      </c>
      <c r="T2848" s="1" t="s">
        <v>29</v>
      </c>
      <c r="U2848" s="1" t="s">
        <v>30</v>
      </c>
      <c r="V2848" s="1">
        <v>0</v>
      </c>
    </row>
    <row r="2849" spans="2:22" x14ac:dyDescent="0.15">
      <c r="B2849" s="1" t="str">
        <f>"138****9032"</f>
        <v>138****9032</v>
      </c>
      <c r="C2849" s="1" t="s">
        <v>126</v>
      </c>
      <c r="D2849" s="1" t="str">
        <f t="shared" si="284"/>
        <v>89177328</v>
      </c>
      <c r="E2849" s="1" t="s">
        <v>24</v>
      </c>
      <c r="F2849" s="1" t="str">
        <f t="shared" si="285"/>
        <v>0010</v>
      </c>
      <c r="G2849" s="1" t="str">
        <f>""</f>
        <v/>
      </c>
      <c r="H2849" s="1" t="str">
        <f>"0017"</f>
        <v>0017</v>
      </c>
      <c r="I2849" s="1" t="s">
        <v>135</v>
      </c>
      <c r="J2849" s="1" t="str">
        <f>"01043989717"</f>
        <v>01043989717</v>
      </c>
      <c r="K2849" s="1" t="str">
        <f>"2017-03-17 17:46:07"</f>
        <v>2017-03-17 17:46:07</v>
      </c>
      <c r="L2849" s="1" t="str">
        <f>"2017-03-17 17:46:13"</f>
        <v>2017-03-17 17:46:13</v>
      </c>
      <c r="M2849" s="2">
        <v>7.0949074074074074E-3</v>
      </c>
      <c r="N2849" s="1" t="s">
        <v>26</v>
      </c>
      <c r="O2849" s="1" t="s">
        <v>27</v>
      </c>
      <c r="P2849" s="2">
        <v>7.1643518518518514E-3</v>
      </c>
      <c r="Q2849" s="1" t="s">
        <v>2048</v>
      </c>
      <c r="R2849" s="1">
        <v>0</v>
      </c>
      <c r="S2849" s="1" t="str">
        <f>""</f>
        <v/>
      </c>
      <c r="T2849" s="1" t="s">
        <v>29</v>
      </c>
      <c r="U2849" s="1" t="s">
        <v>30</v>
      </c>
      <c r="V2849" s="1">
        <v>0</v>
      </c>
    </row>
    <row r="2850" spans="2:22" x14ac:dyDescent="0.15">
      <c r="B2850" s="1" t="str">
        <f>"136****9326"</f>
        <v>136****9326</v>
      </c>
      <c r="C2850" s="1" t="s">
        <v>23</v>
      </c>
      <c r="D2850" s="1" t="str">
        <f>"4000108333"</f>
        <v>4000108333</v>
      </c>
      <c r="E2850" s="1" t="s">
        <v>53</v>
      </c>
      <c r="F2850" s="1" t="str">
        <f>"333"</f>
        <v>333</v>
      </c>
      <c r="G2850" s="1" t="s">
        <v>952</v>
      </c>
      <c r="H2850" s="1" t="str">
        <f>""</f>
        <v/>
      </c>
      <c r="I2850" s="1" t="str">
        <f>""</f>
        <v/>
      </c>
      <c r="J2850" s="1" t="str">
        <f>"13718091869"</f>
        <v>13718091869</v>
      </c>
      <c r="K2850" s="1" t="str">
        <f>"2017-03-17 17:32:43"</f>
        <v>2017-03-17 17:32:43</v>
      </c>
      <c r="L2850" s="1" t="str">
        <f>"2017-03-17 17:33:35"</f>
        <v>2017-03-17 17:33:35</v>
      </c>
      <c r="M2850" s="2">
        <v>2.8703703703703708E-3</v>
      </c>
      <c r="N2850" s="1" t="s">
        <v>26</v>
      </c>
      <c r="O2850" s="1" t="s">
        <v>27</v>
      </c>
      <c r="P2850" s="2">
        <v>3.472222222222222E-3</v>
      </c>
      <c r="Q2850" s="1" t="s">
        <v>2049</v>
      </c>
      <c r="R2850" s="1">
        <v>0.6</v>
      </c>
      <c r="S2850" s="1" t="str">
        <f>""</f>
        <v/>
      </c>
      <c r="T2850" s="1" t="s">
        <v>29</v>
      </c>
      <c r="U2850" s="1" t="s">
        <v>30</v>
      </c>
      <c r="V2850" s="1">
        <v>0</v>
      </c>
    </row>
    <row r="2851" spans="2:22" x14ac:dyDescent="0.15">
      <c r="B2851" s="1" t="str">
        <f>"137****0566"</f>
        <v>137****0566</v>
      </c>
      <c r="C2851" s="1" t="s">
        <v>2050</v>
      </c>
      <c r="D2851" s="1" t="str">
        <f t="shared" ref="D2851:D2868" si="286">"89177328"</f>
        <v>89177328</v>
      </c>
      <c r="E2851" s="1" t="s">
        <v>24</v>
      </c>
      <c r="F2851" s="1" t="str">
        <f t="shared" ref="F2851:F2868" si="287">"0010"</f>
        <v>0010</v>
      </c>
      <c r="G2851" s="1" t="str">
        <f>""</f>
        <v/>
      </c>
      <c r="H2851" s="1" t="str">
        <f>"0017"</f>
        <v>0017</v>
      </c>
      <c r="I2851" s="1" t="s">
        <v>135</v>
      </c>
      <c r="J2851" s="1" t="str">
        <f>"01043989717"</f>
        <v>01043989717</v>
      </c>
      <c r="K2851" s="1" t="str">
        <f>"2017-03-17 17:30:13"</f>
        <v>2017-03-17 17:30:13</v>
      </c>
      <c r="L2851" s="1" t="str">
        <f>"2017-03-17 17:30:19"</f>
        <v>2017-03-17 17:30:19</v>
      </c>
      <c r="M2851" s="2">
        <v>5.6712962962962956E-4</v>
      </c>
      <c r="N2851" s="1" t="s">
        <v>26</v>
      </c>
      <c r="O2851" s="1" t="s">
        <v>27</v>
      </c>
      <c r="P2851" s="2">
        <v>6.3657407407407402E-4</v>
      </c>
      <c r="Q2851" s="1" t="s">
        <v>2051</v>
      </c>
      <c r="R2851" s="1">
        <v>0</v>
      </c>
      <c r="S2851" s="1" t="str">
        <f>""</f>
        <v/>
      </c>
      <c r="T2851" s="1" t="s">
        <v>29</v>
      </c>
      <c r="U2851" s="1" t="s">
        <v>30</v>
      </c>
      <c r="V2851" s="1">
        <v>0</v>
      </c>
    </row>
    <row r="2852" spans="2:22" x14ac:dyDescent="0.15">
      <c r="B2852" s="1" t="str">
        <f>"137****0219"</f>
        <v>137****0219</v>
      </c>
      <c r="C2852" s="1" t="s">
        <v>109</v>
      </c>
      <c r="D2852" s="1" t="str">
        <f t="shared" si="286"/>
        <v>89177328</v>
      </c>
      <c r="E2852" s="1" t="s">
        <v>24</v>
      </c>
      <c r="F2852" s="1" t="str">
        <f t="shared" si="287"/>
        <v>0010</v>
      </c>
      <c r="G2852" s="1" t="str">
        <f>""</f>
        <v/>
      </c>
      <c r="H2852" s="1" t="str">
        <f>"0032"</f>
        <v>0032</v>
      </c>
      <c r="I2852" s="1" t="s">
        <v>119</v>
      </c>
      <c r="J2852" s="1" t="str">
        <f>"01043977566"</f>
        <v>01043977566</v>
      </c>
      <c r="K2852" s="1" t="str">
        <f>"2017-03-17 17:21:40"</f>
        <v>2017-03-17 17:21:40</v>
      </c>
      <c r="L2852" s="1" t="str">
        <f>"2017-03-17 17:21:50"</f>
        <v>2017-03-17 17:21:50</v>
      </c>
      <c r="M2852" s="2">
        <v>1.0532407407407407E-2</v>
      </c>
      <c r="N2852" s="1" t="s">
        <v>26</v>
      </c>
      <c r="O2852" s="1" t="s">
        <v>34</v>
      </c>
      <c r="P2852" s="2">
        <v>1.064814814814815E-2</v>
      </c>
      <c r="Q2852" s="1" t="s">
        <v>2052</v>
      </c>
      <c r="R2852" s="1">
        <v>0</v>
      </c>
      <c r="S2852" s="1" t="str">
        <f>""</f>
        <v/>
      </c>
      <c r="T2852" s="1" t="s">
        <v>29</v>
      </c>
      <c r="U2852" s="1" t="s">
        <v>30</v>
      </c>
      <c r="V2852" s="1">
        <v>0</v>
      </c>
    </row>
    <row r="2853" spans="2:22" x14ac:dyDescent="0.15">
      <c r="B2853" s="1" t="str">
        <f>"114"</f>
        <v>114</v>
      </c>
      <c r="C2853" s="1" t="s">
        <v>159</v>
      </c>
      <c r="D2853" s="1" t="str">
        <f t="shared" si="286"/>
        <v>89177328</v>
      </c>
      <c r="E2853" s="1" t="s">
        <v>24</v>
      </c>
      <c r="F2853" s="1" t="str">
        <f t="shared" si="287"/>
        <v>0010</v>
      </c>
      <c r="G2853" s="1" t="str">
        <f>""</f>
        <v/>
      </c>
      <c r="H2853" s="1" t="str">
        <f>"0018"</f>
        <v>0018</v>
      </c>
      <c r="I2853" s="1" t="s">
        <v>36</v>
      </c>
      <c r="J2853" s="1" t="str">
        <f>"01043989718"</f>
        <v>01043989718</v>
      </c>
      <c r="K2853" s="1" t="str">
        <f>"2017-03-17 17:06:14"</f>
        <v>2017-03-17 17:06:14</v>
      </c>
      <c r="L2853" s="1" t="str">
        <f>"2017-03-17 17:06:19"</f>
        <v>2017-03-17 17:06:19</v>
      </c>
      <c r="M2853" s="2">
        <v>5.3240740740740744E-4</v>
      </c>
      <c r="N2853" s="1" t="s">
        <v>26</v>
      </c>
      <c r="O2853" s="1" t="s">
        <v>34</v>
      </c>
      <c r="P2853" s="2">
        <v>5.9027777777777778E-4</v>
      </c>
      <c r="Q2853" s="1" t="s">
        <v>2053</v>
      </c>
      <c r="R2853" s="1">
        <v>0</v>
      </c>
      <c r="S2853" s="1" t="str">
        <f>""</f>
        <v/>
      </c>
      <c r="T2853" s="1" t="s">
        <v>29</v>
      </c>
      <c r="U2853" s="1" t="s">
        <v>30</v>
      </c>
      <c r="V2853" s="1">
        <v>0</v>
      </c>
    </row>
    <row r="2854" spans="2:22" x14ac:dyDescent="0.15">
      <c r="B2854" s="1" t="str">
        <f>"010****1956"</f>
        <v>010****1956</v>
      </c>
      <c r="C2854" s="1" t="s">
        <v>23</v>
      </c>
      <c r="D2854" s="1" t="str">
        <f t="shared" si="286"/>
        <v>89177328</v>
      </c>
      <c r="E2854" s="1" t="s">
        <v>24</v>
      </c>
      <c r="F2854" s="1" t="str">
        <f t="shared" si="287"/>
        <v>0010</v>
      </c>
      <c r="G2854" s="1" t="str">
        <f>""</f>
        <v/>
      </c>
      <c r="H2854" s="1" t="str">
        <f>"0017"</f>
        <v>0017</v>
      </c>
      <c r="I2854" s="1" t="s">
        <v>135</v>
      </c>
      <c r="J2854" s="1" t="str">
        <f>"01043989717"</f>
        <v>01043989717</v>
      </c>
      <c r="K2854" s="1" t="str">
        <f>"2017-03-17 16:40:45"</f>
        <v>2017-03-17 16:40:45</v>
      </c>
      <c r="L2854" s="1" t="str">
        <f>"2017-03-17 16:40:52"</f>
        <v>2017-03-17 16:40:52</v>
      </c>
      <c r="M2854" s="2">
        <v>6.3773148148148148E-3</v>
      </c>
      <c r="N2854" s="1" t="s">
        <v>26</v>
      </c>
      <c r="O2854" s="1" t="s">
        <v>34</v>
      </c>
      <c r="P2854" s="2">
        <v>6.4583333333333333E-3</v>
      </c>
      <c r="Q2854" s="1" t="s">
        <v>2054</v>
      </c>
      <c r="R2854" s="1">
        <v>0</v>
      </c>
      <c r="S2854" s="1" t="str">
        <f>""</f>
        <v/>
      </c>
      <c r="T2854" s="1" t="s">
        <v>29</v>
      </c>
      <c r="U2854" s="1" t="s">
        <v>30</v>
      </c>
      <c r="V2854" s="1">
        <v>0</v>
      </c>
    </row>
    <row r="2855" spans="2:22" x14ac:dyDescent="0.15">
      <c r="B2855" s="1" t="str">
        <f>"188****3221"</f>
        <v>188****3221</v>
      </c>
      <c r="C2855" s="1" t="s">
        <v>23</v>
      </c>
      <c r="D2855" s="1" t="str">
        <f t="shared" si="286"/>
        <v>89177328</v>
      </c>
      <c r="E2855" s="1" t="s">
        <v>24</v>
      </c>
      <c r="F2855" s="1" t="str">
        <f t="shared" si="287"/>
        <v>0010</v>
      </c>
      <c r="G2855" s="1" t="str">
        <f>""</f>
        <v/>
      </c>
      <c r="H2855" s="1" t="str">
        <f>"0035"</f>
        <v>0035</v>
      </c>
      <c r="I2855" s="1" t="s">
        <v>25</v>
      </c>
      <c r="J2855" s="1" t="str">
        <f>"01043977569"</f>
        <v>01043977569</v>
      </c>
      <c r="K2855" s="1" t="str">
        <f>"2017-03-17 16:37:39"</f>
        <v>2017-03-17 16:37:39</v>
      </c>
      <c r="L2855" s="1" t="str">
        <f>"2017-03-17 16:37:48"</f>
        <v>2017-03-17 16:37:48</v>
      </c>
      <c r="M2855" s="2">
        <v>4.4212962962962956E-3</v>
      </c>
      <c r="N2855" s="1" t="s">
        <v>26</v>
      </c>
      <c r="O2855" s="1" t="s">
        <v>27</v>
      </c>
      <c r="P2855" s="2">
        <v>4.5254629629629629E-3</v>
      </c>
      <c r="Q2855" s="1" t="s">
        <v>2055</v>
      </c>
      <c r="R2855" s="1">
        <v>0</v>
      </c>
      <c r="S2855" s="1" t="str">
        <f>""</f>
        <v/>
      </c>
      <c r="T2855" s="1" t="s">
        <v>29</v>
      </c>
      <c r="U2855" s="1" t="s">
        <v>30</v>
      </c>
      <c r="V2855" s="1">
        <v>0</v>
      </c>
    </row>
    <row r="2856" spans="2:22" x14ac:dyDescent="0.15">
      <c r="B2856" s="1" t="str">
        <f>"010****8899"</f>
        <v>010****8899</v>
      </c>
      <c r="C2856" s="1" t="s">
        <v>23</v>
      </c>
      <c r="D2856" s="1" t="str">
        <f t="shared" si="286"/>
        <v>89177328</v>
      </c>
      <c r="E2856" s="1" t="s">
        <v>24</v>
      </c>
      <c r="F2856" s="1" t="str">
        <f t="shared" si="287"/>
        <v>0010</v>
      </c>
      <c r="G2856" s="1" t="str">
        <f>""</f>
        <v/>
      </c>
      <c r="H2856" s="1" t="str">
        <f>"0034"</f>
        <v>0034</v>
      </c>
      <c r="I2856" s="1" t="s">
        <v>31</v>
      </c>
      <c r="J2856" s="1" t="str">
        <f>"01043977568"</f>
        <v>01043977568</v>
      </c>
      <c r="K2856" s="1" t="str">
        <f>"2017-03-17 16:36:29"</f>
        <v>2017-03-17 16:36:29</v>
      </c>
      <c r="L2856" s="1" t="str">
        <f>"2017-03-17 16:36:37"</f>
        <v>2017-03-17 16:36:37</v>
      </c>
      <c r="M2856" s="2">
        <v>1.0439814814814813E-2</v>
      </c>
      <c r="N2856" s="1" t="s">
        <v>26</v>
      </c>
      <c r="O2856" s="1" t="s">
        <v>34</v>
      </c>
      <c r="P2856" s="2">
        <v>1.0532407407407407E-2</v>
      </c>
      <c r="Q2856" s="1" t="s">
        <v>2056</v>
      </c>
      <c r="R2856" s="1">
        <v>0</v>
      </c>
      <c r="S2856" s="1" t="str">
        <f>""</f>
        <v/>
      </c>
      <c r="T2856" s="1" t="s">
        <v>29</v>
      </c>
      <c r="U2856" s="1" t="s">
        <v>30</v>
      </c>
      <c r="V2856" s="1">
        <v>0</v>
      </c>
    </row>
    <row r="2857" spans="2:22" x14ac:dyDescent="0.15">
      <c r="B2857" s="1" t="str">
        <f>"133****2919"</f>
        <v>133****2919</v>
      </c>
      <c r="C2857" s="1" t="s">
        <v>23</v>
      </c>
      <c r="D2857" s="1" t="str">
        <f t="shared" si="286"/>
        <v>89177328</v>
      </c>
      <c r="E2857" s="1" t="s">
        <v>24</v>
      </c>
      <c r="F2857" s="1" t="str">
        <f t="shared" si="287"/>
        <v>0010</v>
      </c>
      <c r="G2857" s="1" t="str">
        <f>""</f>
        <v/>
      </c>
      <c r="H2857" s="1" t="str">
        <f>"0017"</f>
        <v>0017</v>
      </c>
      <c r="I2857" s="1" t="s">
        <v>135</v>
      </c>
      <c r="J2857" s="1" t="str">
        <f>"01043989717"</f>
        <v>01043989717</v>
      </c>
      <c r="K2857" s="1" t="str">
        <f>"2017-03-17 16:29:21"</f>
        <v>2017-03-17 16:29:21</v>
      </c>
      <c r="L2857" s="1" t="str">
        <f>"-"</f>
        <v>-</v>
      </c>
      <c r="M2857" s="2">
        <v>0</v>
      </c>
      <c r="N2857" s="1" t="s">
        <v>33</v>
      </c>
      <c r="O2857" s="1" t="s">
        <v>34</v>
      </c>
      <c r="P2857" s="2">
        <v>2.3148148148148147E-5</v>
      </c>
      <c r="Q2857" s="1" t="str">
        <f>""</f>
        <v/>
      </c>
      <c r="R2857" s="1">
        <v>0</v>
      </c>
      <c r="S2857" s="1" t="str">
        <f>""</f>
        <v/>
      </c>
      <c r="T2857" s="1" t="s">
        <v>29</v>
      </c>
      <c r="U2857" s="1" t="s">
        <v>30</v>
      </c>
      <c r="V2857" s="1">
        <v>0</v>
      </c>
    </row>
    <row r="2858" spans="2:22" x14ac:dyDescent="0.15">
      <c r="B2858" s="1" t="str">
        <f>"131****8821"</f>
        <v>131****8821</v>
      </c>
      <c r="C2858" s="1" t="s">
        <v>23</v>
      </c>
      <c r="D2858" s="1" t="str">
        <f t="shared" si="286"/>
        <v>89177328</v>
      </c>
      <c r="E2858" s="1" t="s">
        <v>24</v>
      </c>
      <c r="F2858" s="1" t="str">
        <f t="shared" si="287"/>
        <v>0010</v>
      </c>
      <c r="G2858" s="1" t="str">
        <f>""</f>
        <v/>
      </c>
      <c r="H2858" s="1" t="str">
        <f>"0018"</f>
        <v>0018</v>
      </c>
      <c r="I2858" s="1" t="s">
        <v>36</v>
      </c>
      <c r="J2858" s="1" t="str">
        <f>"01043989718"</f>
        <v>01043989718</v>
      </c>
      <c r="K2858" s="1" t="str">
        <f>"2017-03-17 16:27:41"</f>
        <v>2017-03-17 16:27:41</v>
      </c>
      <c r="L2858" s="1" t="str">
        <f>"2017-03-17 16:27:47"</f>
        <v>2017-03-17 16:27:47</v>
      </c>
      <c r="M2858" s="2">
        <v>1.0879629629629629E-3</v>
      </c>
      <c r="N2858" s="1" t="s">
        <v>26</v>
      </c>
      <c r="O2858" s="1" t="s">
        <v>34</v>
      </c>
      <c r="P2858" s="2">
        <v>1.1574074074074073E-3</v>
      </c>
      <c r="Q2858" s="1" t="s">
        <v>2057</v>
      </c>
      <c r="R2858" s="1">
        <v>0</v>
      </c>
      <c r="S2858" s="1" t="str">
        <f>""</f>
        <v/>
      </c>
      <c r="T2858" s="1" t="s">
        <v>29</v>
      </c>
      <c r="U2858" s="1" t="s">
        <v>30</v>
      </c>
      <c r="V2858" s="1">
        <v>0</v>
      </c>
    </row>
    <row r="2859" spans="2:22" x14ac:dyDescent="0.15">
      <c r="B2859" s="1" t="str">
        <f>"151****3299"</f>
        <v>151****3299</v>
      </c>
      <c r="C2859" s="1" t="s">
        <v>458</v>
      </c>
      <c r="D2859" s="1" t="str">
        <f t="shared" si="286"/>
        <v>89177328</v>
      </c>
      <c r="E2859" s="1" t="s">
        <v>24</v>
      </c>
      <c r="F2859" s="1" t="str">
        <f t="shared" si="287"/>
        <v>0010</v>
      </c>
      <c r="G2859" s="1" t="str">
        <f>""</f>
        <v/>
      </c>
      <c r="H2859" s="1" t="str">
        <f>"0018"</f>
        <v>0018</v>
      </c>
      <c r="I2859" s="1" t="s">
        <v>36</v>
      </c>
      <c r="J2859" s="1" t="str">
        <f>"01043989718"</f>
        <v>01043989718</v>
      </c>
      <c r="K2859" s="1" t="str">
        <f>"2017-03-17 16:25:32"</f>
        <v>2017-03-17 16:25:32</v>
      </c>
      <c r="L2859" s="1" t="str">
        <f>"2017-03-17 16:25:37"</f>
        <v>2017-03-17 16:25:37</v>
      </c>
      <c r="M2859" s="2">
        <v>2.3148148148148147E-5</v>
      </c>
      <c r="N2859" s="1" t="s">
        <v>26</v>
      </c>
      <c r="O2859" s="1" t="s">
        <v>34</v>
      </c>
      <c r="P2859" s="2">
        <v>8.1018518518518516E-5</v>
      </c>
      <c r="Q2859" s="1" t="str">
        <f>""</f>
        <v/>
      </c>
      <c r="R2859" s="1">
        <v>0</v>
      </c>
      <c r="S2859" s="1" t="str">
        <f>""</f>
        <v/>
      </c>
      <c r="T2859" s="1" t="s">
        <v>29</v>
      </c>
      <c r="U2859" s="1" t="s">
        <v>30</v>
      </c>
      <c r="V2859" s="1">
        <v>0</v>
      </c>
    </row>
    <row r="2860" spans="2:22" x14ac:dyDescent="0.15">
      <c r="B2860" s="1" t="str">
        <f>"010****3613"</f>
        <v>010****3613</v>
      </c>
      <c r="C2860" s="1" t="s">
        <v>23</v>
      </c>
      <c r="D2860" s="1" t="str">
        <f t="shared" si="286"/>
        <v>89177328</v>
      </c>
      <c r="E2860" s="1" t="s">
        <v>24</v>
      </c>
      <c r="F2860" s="1" t="str">
        <f t="shared" si="287"/>
        <v>0010</v>
      </c>
      <c r="G2860" s="1" t="str">
        <f>""</f>
        <v/>
      </c>
      <c r="H2860" s="1" t="str">
        <f>"0035"</f>
        <v>0035</v>
      </c>
      <c r="I2860" s="1" t="s">
        <v>25</v>
      </c>
      <c r="J2860" s="1" t="str">
        <f>"01043977569"</f>
        <v>01043977569</v>
      </c>
      <c r="K2860" s="1" t="str">
        <f>"2017-03-17 16:16:11"</f>
        <v>2017-03-17 16:16:11</v>
      </c>
      <c r="L2860" s="1" t="str">
        <f>"2017-03-17 16:16:18"</f>
        <v>2017-03-17 16:16:18</v>
      </c>
      <c r="M2860" s="2">
        <v>1.2789351851851852E-2</v>
      </c>
      <c r="N2860" s="1" t="s">
        <v>26</v>
      </c>
      <c r="O2860" s="1" t="s">
        <v>34</v>
      </c>
      <c r="P2860" s="2">
        <v>1.2870370370370372E-2</v>
      </c>
      <c r="Q2860" s="1" t="s">
        <v>2058</v>
      </c>
      <c r="R2860" s="1">
        <v>0</v>
      </c>
      <c r="S2860" s="1" t="str">
        <f>""</f>
        <v/>
      </c>
      <c r="T2860" s="1" t="s">
        <v>29</v>
      </c>
      <c r="U2860" s="1" t="s">
        <v>30</v>
      </c>
      <c r="V2860" s="1">
        <v>0</v>
      </c>
    </row>
    <row r="2861" spans="2:22" x14ac:dyDescent="0.15">
      <c r="B2861" s="1" t="str">
        <f>"185****3377"</f>
        <v>185****3377</v>
      </c>
      <c r="C2861" s="1" t="s">
        <v>51</v>
      </c>
      <c r="D2861" s="1" t="str">
        <f t="shared" si="286"/>
        <v>89177328</v>
      </c>
      <c r="E2861" s="1" t="s">
        <v>24</v>
      </c>
      <c r="F2861" s="1" t="str">
        <f t="shared" si="287"/>
        <v>0010</v>
      </c>
      <c r="G2861" s="1" t="str">
        <f>""</f>
        <v/>
      </c>
      <c r="H2861" s="1" t="str">
        <f>"0032"</f>
        <v>0032</v>
      </c>
      <c r="I2861" s="1" t="s">
        <v>119</v>
      </c>
      <c r="J2861" s="1" t="str">
        <f>"01043977566"</f>
        <v>01043977566</v>
      </c>
      <c r="K2861" s="1" t="str">
        <f>"2017-03-17 16:16:00"</f>
        <v>2017-03-17 16:16:00</v>
      </c>
      <c r="L2861" s="1" t="str">
        <f>"2017-03-17 16:16:10"</f>
        <v>2017-03-17 16:16:10</v>
      </c>
      <c r="M2861" s="2">
        <v>1.0578703703703703E-2</v>
      </c>
      <c r="N2861" s="1" t="s">
        <v>26</v>
      </c>
      <c r="O2861" s="1" t="s">
        <v>34</v>
      </c>
      <c r="P2861" s="2">
        <v>1.0694444444444444E-2</v>
      </c>
      <c r="Q2861" s="1" t="s">
        <v>2059</v>
      </c>
      <c r="R2861" s="1">
        <v>0</v>
      </c>
      <c r="S2861" s="1" t="str">
        <f>""</f>
        <v/>
      </c>
      <c r="T2861" s="1" t="s">
        <v>29</v>
      </c>
      <c r="U2861" s="1" t="s">
        <v>30</v>
      </c>
      <c r="V2861" s="1">
        <v>0</v>
      </c>
    </row>
    <row r="2862" spans="2:22" x14ac:dyDescent="0.15">
      <c r="B2862" s="1" t="str">
        <f>"151****0333"</f>
        <v>151****0333</v>
      </c>
      <c r="C2862" s="1" t="s">
        <v>132</v>
      </c>
      <c r="D2862" s="1" t="str">
        <f t="shared" si="286"/>
        <v>89177328</v>
      </c>
      <c r="E2862" s="1" t="s">
        <v>24</v>
      </c>
      <c r="F2862" s="1" t="str">
        <f t="shared" si="287"/>
        <v>0010</v>
      </c>
      <c r="G2862" s="1" t="str">
        <f>""</f>
        <v/>
      </c>
      <c r="H2862" s="1" t="str">
        <f>"0018"</f>
        <v>0018</v>
      </c>
      <c r="I2862" s="1" t="s">
        <v>36</v>
      </c>
      <c r="J2862" s="1" t="str">
        <f>"01043989718"</f>
        <v>01043989718</v>
      </c>
      <c r="K2862" s="1" t="str">
        <f>"2017-03-17 16:12:02"</f>
        <v>2017-03-17 16:12:02</v>
      </c>
      <c r="L2862" s="1" t="str">
        <f>"2017-03-17 16:12:07"</f>
        <v>2017-03-17 16:12:07</v>
      </c>
      <c r="M2862" s="2">
        <v>7.2569444444444443E-3</v>
      </c>
      <c r="N2862" s="1" t="s">
        <v>26</v>
      </c>
      <c r="O2862" s="1" t="s">
        <v>34</v>
      </c>
      <c r="P2862" s="2">
        <v>7.3148148148148148E-3</v>
      </c>
      <c r="Q2862" s="1" t="s">
        <v>2060</v>
      </c>
      <c r="R2862" s="1">
        <v>0</v>
      </c>
      <c r="S2862" s="1" t="str">
        <f>""</f>
        <v/>
      </c>
      <c r="T2862" s="1" t="s">
        <v>29</v>
      </c>
      <c r="U2862" s="1" t="s">
        <v>30</v>
      </c>
      <c r="V2862" s="1">
        <v>0</v>
      </c>
    </row>
    <row r="2863" spans="2:22" x14ac:dyDescent="0.15">
      <c r="B2863" s="1" t="str">
        <f>"158****1391"</f>
        <v>158****1391</v>
      </c>
      <c r="C2863" s="1" t="s">
        <v>23</v>
      </c>
      <c r="D2863" s="1" t="str">
        <f t="shared" si="286"/>
        <v>89177328</v>
      </c>
      <c r="E2863" s="1" t="s">
        <v>24</v>
      </c>
      <c r="F2863" s="1" t="str">
        <f t="shared" si="287"/>
        <v>0010</v>
      </c>
      <c r="G2863" s="1" t="str">
        <f>""</f>
        <v/>
      </c>
      <c r="H2863" s="1" t="str">
        <f>"0010"</f>
        <v>0010</v>
      </c>
      <c r="I2863" s="1" t="s">
        <v>71</v>
      </c>
      <c r="J2863" s="1" t="str">
        <f>"01043989719"</f>
        <v>01043989719</v>
      </c>
      <c r="K2863" s="1" t="str">
        <f>"2017-03-17 16:11:47"</f>
        <v>2017-03-17 16:11:47</v>
      </c>
      <c r="L2863" s="1" t="str">
        <f>"2017-03-17 16:11:58"</f>
        <v>2017-03-17 16:11:58</v>
      </c>
      <c r="M2863" s="2">
        <v>3.7615740740740739E-3</v>
      </c>
      <c r="N2863" s="1" t="s">
        <v>26</v>
      </c>
      <c r="O2863" s="1" t="s">
        <v>27</v>
      </c>
      <c r="P2863" s="2">
        <v>3.8888888888888883E-3</v>
      </c>
      <c r="Q2863" s="1" t="s">
        <v>2061</v>
      </c>
      <c r="R2863" s="1">
        <v>0</v>
      </c>
      <c r="S2863" s="1" t="str">
        <f>""</f>
        <v/>
      </c>
      <c r="T2863" s="1" t="s">
        <v>29</v>
      </c>
      <c r="U2863" s="1" t="s">
        <v>30</v>
      </c>
      <c r="V2863" s="1">
        <v>0</v>
      </c>
    </row>
    <row r="2864" spans="2:22" x14ac:dyDescent="0.15">
      <c r="B2864" s="1" t="str">
        <f>"139****3779"</f>
        <v>139****3779</v>
      </c>
      <c r="C2864" s="1" t="s">
        <v>69</v>
      </c>
      <c r="D2864" s="1" t="str">
        <f t="shared" si="286"/>
        <v>89177328</v>
      </c>
      <c r="E2864" s="1" t="s">
        <v>24</v>
      </c>
      <c r="F2864" s="1" t="str">
        <f t="shared" si="287"/>
        <v>0010</v>
      </c>
      <c r="G2864" s="1" t="str">
        <f>""</f>
        <v/>
      </c>
      <c r="H2864" s="1" t="str">
        <f>"0010"</f>
        <v>0010</v>
      </c>
      <c r="I2864" s="1" t="s">
        <v>71</v>
      </c>
      <c r="J2864" s="1" t="str">
        <f>"01043989719"</f>
        <v>01043989719</v>
      </c>
      <c r="K2864" s="1" t="str">
        <f>"2017-03-17 16:02:23"</f>
        <v>2017-03-17 16:02:23</v>
      </c>
      <c r="L2864" s="1" t="str">
        <f>"-"</f>
        <v>-</v>
      </c>
      <c r="M2864" s="2">
        <v>0</v>
      </c>
      <c r="N2864" s="1" t="s">
        <v>33</v>
      </c>
      <c r="O2864" s="1" t="s">
        <v>34</v>
      </c>
      <c r="P2864" s="2">
        <v>2.3148148148148147E-5</v>
      </c>
      <c r="Q2864" s="1" t="str">
        <f>""</f>
        <v/>
      </c>
      <c r="R2864" s="1">
        <v>0</v>
      </c>
      <c r="S2864" s="1" t="str">
        <f>""</f>
        <v/>
      </c>
      <c r="T2864" s="1" t="s">
        <v>29</v>
      </c>
      <c r="U2864" s="1" t="s">
        <v>30</v>
      </c>
      <c r="V2864" s="1">
        <v>0</v>
      </c>
    </row>
    <row r="2865" spans="2:22" x14ac:dyDescent="0.15">
      <c r="B2865" s="1" t="str">
        <f>"155****5386"</f>
        <v>155****5386</v>
      </c>
      <c r="C2865" s="1" t="s">
        <v>102</v>
      </c>
      <c r="D2865" s="1" t="str">
        <f t="shared" si="286"/>
        <v>89177328</v>
      </c>
      <c r="E2865" s="1" t="s">
        <v>24</v>
      </c>
      <c r="F2865" s="1" t="str">
        <f t="shared" si="287"/>
        <v>0010</v>
      </c>
      <c r="G2865" s="1" t="str">
        <f>""</f>
        <v/>
      </c>
      <c r="H2865" s="1" t="str">
        <f>"0010"</f>
        <v>0010</v>
      </c>
      <c r="I2865" s="1" t="s">
        <v>71</v>
      </c>
      <c r="J2865" s="1" t="str">
        <f>"01043989719"</f>
        <v>01043989719</v>
      </c>
      <c r="K2865" s="1" t="str">
        <f>"2017-03-17 15:42:44"</f>
        <v>2017-03-17 15:42:44</v>
      </c>
      <c r="L2865" s="1" t="str">
        <f>"2017-03-17 15:42:54"</f>
        <v>2017-03-17 15:42:54</v>
      </c>
      <c r="M2865" s="2">
        <v>7.0254629629629634E-3</v>
      </c>
      <c r="N2865" s="1" t="s">
        <v>26</v>
      </c>
      <c r="O2865" s="1" t="s">
        <v>27</v>
      </c>
      <c r="P2865" s="2">
        <v>7.1412037037037043E-3</v>
      </c>
      <c r="Q2865" s="1" t="s">
        <v>2062</v>
      </c>
      <c r="R2865" s="1">
        <v>0</v>
      </c>
      <c r="S2865" s="1" t="str">
        <f>""</f>
        <v/>
      </c>
      <c r="T2865" s="1" t="s">
        <v>29</v>
      </c>
      <c r="U2865" s="1" t="s">
        <v>30</v>
      </c>
      <c r="V2865" s="1">
        <v>0</v>
      </c>
    </row>
    <row r="2866" spans="2:22" x14ac:dyDescent="0.15">
      <c r="B2866" s="1" t="str">
        <f>"159****7879"</f>
        <v>159****7879</v>
      </c>
      <c r="C2866" s="1" t="s">
        <v>23</v>
      </c>
      <c r="D2866" s="1" t="str">
        <f t="shared" si="286"/>
        <v>89177328</v>
      </c>
      <c r="E2866" s="1" t="s">
        <v>24</v>
      </c>
      <c r="F2866" s="1" t="str">
        <f t="shared" si="287"/>
        <v>0010</v>
      </c>
      <c r="G2866" s="1" t="str">
        <f>""</f>
        <v/>
      </c>
      <c r="H2866" s="1" t="str">
        <f>"0017"</f>
        <v>0017</v>
      </c>
      <c r="I2866" s="1" t="s">
        <v>135</v>
      </c>
      <c r="J2866" s="1" t="str">
        <f>"01043989717"</f>
        <v>01043989717</v>
      </c>
      <c r="K2866" s="1" t="str">
        <f>"2017-03-17 15:36:38"</f>
        <v>2017-03-17 15:36:38</v>
      </c>
      <c r="L2866" s="1" t="str">
        <f>"2017-03-17 15:36:44"</f>
        <v>2017-03-17 15:36:44</v>
      </c>
      <c r="M2866" s="2">
        <v>1.5162037037037036E-3</v>
      </c>
      <c r="N2866" s="1" t="s">
        <v>26</v>
      </c>
      <c r="O2866" s="1" t="s">
        <v>27</v>
      </c>
      <c r="P2866" s="2">
        <v>1.5856481481481479E-3</v>
      </c>
      <c r="Q2866" s="1" t="s">
        <v>2063</v>
      </c>
      <c r="R2866" s="1">
        <v>0</v>
      </c>
      <c r="S2866" s="1" t="str">
        <f>""</f>
        <v/>
      </c>
      <c r="T2866" s="1" t="s">
        <v>29</v>
      </c>
      <c r="U2866" s="1" t="s">
        <v>30</v>
      </c>
      <c r="V2866" s="1">
        <v>0</v>
      </c>
    </row>
    <row r="2867" spans="2:22" x14ac:dyDescent="0.15">
      <c r="B2867" s="1" t="str">
        <f>"0313015701214201"</f>
        <v>0313015701214201</v>
      </c>
      <c r="C2867" s="1" t="s">
        <v>44</v>
      </c>
      <c r="D2867" s="1" t="str">
        <f t="shared" si="286"/>
        <v>89177328</v>
      </c>
      <c r="E2867" s="1" t="s">
        <v>24</v>
      </c>
      <c r="F2867" s="1" t="str">
        <f t="shared" si="287"/>
        <v>0010</v>
      </c>
      <c r="G2867" s="1" t="str">
        <f>""</f>
        <v/>
      </c>
      <c r="H2867" s="1" t="str">
        <f>"0010"</f>
        <v>0010</v>
      </c>
      <c r="I2867" s="1" t="s">
        <v>71</v>
      </c>
      <c r="J2867" s="1" t="str">
        <f>"01043989719"</f>
        <v>01043989719</v>
      </c>
      <c r="K2867" s="1" t="str">
        <f>"2017-03-17 15:24:58"</f>
        <v>2017-03-17 15:24:58</v>
      </c>
      <c r="L2867" s="1" t="str">
        <f>"2017-03-17 15:25:09"</f>
        <v>2017-03-17 15:25:09</v>
      </c>
      <c r="M2867" s="2">
        <v>3.0208333333333333E-3</v>
      </c>
      <c r="N2867" s="1" t="s">
        <v>26</v>
      </c>
      <c r="O2867" s="1" t="s">
        <v>27</v>
      </c>
      <c r="P2867" s="2">
        <v>3.1481481481481482E-3</v>
      </c>
      <c r="Q2867" s="1" t="s">
        <v>2064</v>
      </c>
      <c r="R2867" s="1">
        <v>0</v>
      </c>
      <c r="S2867" s="1" t="str">
        <f>""</f>
        <v/>
      </c>
      <c r="T2867" s="1" t="s">
        <v>29</v>
      </c>
      <c r="U2867" s="1" t="s">
        <v>30</v>
      </c>
      <c r="V2867" s="1">
        <v>0</v>
      </c>
    </row>
    <row r="2868" spans="2:22" x14ac:dyDescent="0.15">
      <c r="B2868" s="1" t="str">
        <f>"186****6259"</f>
        <v>186****6259</v>
      </c>
      <c r="C2868" s="1" t="s">
        <v>23</v>
      </c>
      <c r="D2868" s="1" t="str">
        <f t="shared" si="286"/>
        <v>89177328</v>
      </c>
      <c r="E2868" s="1" t="s">
        <v>24</v>
      </c>
      <c r="F2868" s="1" t="str">
        <f t="shared" si="287"/>
        <v>0010</v>
      </c>
      <c r="G2868" s="1" t="str">
        <f>""</f>
        <v/>
      </c>
      <c r="H2868" s="1" t="str">
        <f>"0033"</f>
        <v>0033</v>
      </c>
      <c r="I2868" s="1" t="s">
        <v>106</v>
      </c>
      <c r="J2868" s="1" t="str">
        <f>"01043977567"</f>
        <v>01043977567</v>
      </c>
      <c r="K2868" s="1" t="str">
        <f>"2017-03-17 15:19:38"</f>
        <v>2017-03-17 15:19:38</v>
      </c>
      <c r="L2868" s="1" t="str">
        <f>"2017-03-17 15:19:45"</f>
        <v>2017-03-17 15:19:45</v>
      </c>
      <c r="M2868" s="2">
        <v>3.5532407407407405E-3</v>
      </c>
      <c r="N2868" s="1" t="s">
        <v>26</v>
      </c>
      <c r="O2868" s="1" t="s">
        <v>27</v>
      </c>
      <c r="P2868" s="2">
        <v>3.6342592592592594E-3</v>
      </c>
      <c r="Q2868" s="1" t="s">
        <v>2065</v>
      </c>
      <c r="R2868" s="1">
        <v>0</v>
      </c>
      <c r="S2868" s="1" t="str">
        <f>""</f>
        <v/>
      </c>
      <c r="T2868" s="1" t="s">
        <v>29</v>
      </c>
      <c r="U2868" s="1" t="s">
        <v>30</v>
      </c>
      <c r="V2868" s="1">
        <v>0</v>
      </c>
    </row>
    <row r="2869" spans="2:22" x14ac:dyDescent="0.15">
      <c r="B2869" s="1" t="str">
        <f>"186****3456"</f>
        <v>186****3456</v>
      </c>
      <c r="C2869" s="1" t="s">
        <v>23</v>
      </c>
      <c r="D2869" s="1" t="str">
        <f>"4000108333"</f>
        <v>4000108333</v>
      </c>
      <c r="E2869" s="1" t="s">
        <v>53</v>
      </c>
      <c r="F2869" s="1" t="str">
        <f>"0000"</f>
        <v>0000</v>
      </c>
      <c r="G2869" s="1" t="str">
        <f>""</f>
        <v/>
      </c>
      <c r="H2869" s="1" t="str">
        <f>"0033"</f>
        <v>0033</v>
      </c>
      <c r="I2869" s="1" t="s">
        <v>106</v>
      </c>
      <c r="J2869" s="1" t="str">
        <f>"01043977567"</f>
        <v>01043977567</v>
      </c>
      <c r="K2869" s="1" t="str">
        <f>"2017-03-17 15:14:07"</f>
        <v>2017-03-17 15:14:07</v>
      </c>
      <c r="L2869" s="1" t="str">
        <f>"2017-03-17 15:14:28"</f>
        <v>2017-03-17 15:14:28</v>
      </c>
      <c r="M2869" s="2">
        <v>1.8518518518518518E-4</v>
      </c>
      <c r="N2869" s="1" t="s">
        <v>26</v>
      </c>
      <c r="O2869" s="1" t="s">
        <v>27</v>
      </c>
      <c r="P2869" s="2">
        <v>4.2824074074074075E-4</v>
      </c>
      <c r="Q2869" s="1" t="s">
        <v>2066</v>
      </c>
      <c r="R2869" s="1">
        <v>0.12</v>
      </c>
      <c r="S2869" s="1" t="str">
        <f>""</f>
        <v/>
      </c>
      <c r="T2869" s="1" t="s">
        <v>29</v>
      </c>
      <c r="U2869" s="1" t="s">
        <v>30</v>
      </c>
      <c r="V2869" s="1">
        <v>0</v>
      </c>
    </row>
    <row r="2870" spans="2:22" x14ac:dyDescent="0.15">
      <c r="B2870" s="1" t="str">
        <f>"136****9820"</f>
        <v>136****9820</v>
      </c>
      <c r="C2870" s="1" t="s">
        <v>23</v>
      </c>
      <c r="D2870" s="1" t="str">
        <f t="shared" ref="D2870:D2880" si="288">"89177328"</f>
        <v>89177328</v>
      </c>
      <c r="E2870" s="1" t="s">
        <v>24</v>
      </c>
      <c r="F2870" s="1" t="str">
        <f t="shared" ref="F2870:F2880" si="289">"0010"</f>
        <v>0010</v>
      </c>
      <c r="G2870" s="1" t="str">
        <f>""</f>
        <v/>
      </c>
      <c r="H2870" s="1" t="str">
        <f>"0034"</f>
        <v>0034</v>
      </c>
      <c r="I2870" s="1" t="s">
        <v>31</v>
      </c>
      <c r="J2870" s="1" t="str">
        <f>"01043977568"</f>
        <v>01043977568</v>
      </c>
      <c r="K2870" s="1" t="str">
        <f>"2017-03-17 15:12:17"</f>
        <v>2017-03-17 15:12:17</v>
      </c>
      <c r="L2870" s="1" t="str">
        <f>"2017-03-17 15:12:24"</f>
        <v>2017-03-17 15:12:24</v>
      </c>
      <c r="M2870" s="2">
        <v>3.9583333333333337E-3</v>
      </c>
      <c r="N2870" s="1" t="s">
        <v>26</v>
      </c>
      <c r="O2870" s="1" t="s">
        <v>34</v>
      </c>
      <c r="P2870" s="2">
        <v>4.0393518518518521E-3</v>
      </c>
      <c r="Q2870" s="1" t="s">
        <v>2067</v>
      </c>
      <c r="R2870" s="1">
        <v>0</v>
      </c>
      <c r="S2870" s="1" t="str">
        <f>""</f>
        <v/>
      </c>
      <c r="T2870" s="1" t="s">
        <v>29</v>
      </c>
      <c r="U2870" s="1" t="s">
        <v>30</v>
      </c>
      <c r="V2870" s="1">
        <v>0</v>
      </c>
    </row>
    <row r="2871" spans="2:22" x14ac:dyDescent="0.15">
      <c r="B2871" s="1" t="str">
        <f>"139****9977"</f>
        <v>139****9977</v>
      </c>
      <c r="C2871" s="1" t="s">
        <v>23</v>
      </c>
      <c r="D2871" s="1" t="str">
        <f t="shared" si="288"/>
        <v>89177328</v>
      </c>
      <c r="E2871" s="1" t="s">
        <v>24</v>
      </c>
      <c r="F2871" s="1" t="str">
        <f t="shared" si="289"/>
        <v>0010</v>
      </c>
      <c r="G2871" s="1" t="str">
        <f>""</f>
        <v/>
      </c>
      <c r="H2871" s="1" t="str">
        <f>"0035"</f>
        <v>0035</v>
      </c>
      <c r="I2871" s="1" t="s">
        <v>25</v>
      </c>
      <c r="J2871" s="1" t="str">
        <f>"01043977569"</f>
        <v>01043977569</v>
      </c>
      <c r="K2871" s="1" t="str">
        <f>"2017-03-17 15:11:36"</f>
        <v>2017-03-17 15:11:36</v>
      </c>
      <c r="L2871" s="1" t="str">
        <f>"2017-03-17 15:11:44"</f>
        <v>2017-03-17 15:11:44</v>
      </c>
      <c r="M2871" s="2">
        <v>4.386574074074074E-3</v>
      </c>
      <c r="N2871" s="1" t="s">
        <v>26</v>
      </c>
      <c r="O2871" s="1" t="s">
        <v>34</v>
      </c>
      <c r="P2871" s="2">
        <v>4.4791666666666669E-3</v>
      </c>
      <c r="Q2871" s="1" t="s">
        <v>2068</v>
      </c>
      <c r="R2871" s="1">
        <v>0</v>
      </c>
      <c r="S2871" s="1" t="str">
        <f>""</f>
        <v/>
      </c>
      <c r="T2871" s="1" t="s">
        <v>29</v>
      </c>
      <c r="U2871" s="1" t="s">
        <v>30</v>
      </c>
      <c r="V2871" s="1">
        <v>0</v>
      </c>
    </row>
    <row r="2872" spans="2:22" x14ac:dyDescent="0.15">
      <c r="B2872" s="1" t="str">
        <f>"187****0135"</f>
        <v>187****0135</v>
      </c>
      <c r="C2872" s="1" t="s">
        <v>97</v>
      </c>
      <c r="D2872" s="1" t="str">
        <f t="shared" si="288"/>
        <v>89177328</v>
      </c>
      <c r="E2872" s="1" t="s">
        <v>24</v>
      </c>
      <c r="F2872" s="1" t="str">
        <f t="shared" si="289"/>
        <v>0010</v>
      </c>
      <c r="G2872" s="1" t="str">
        <f>""</f>
        <v/>
      </c>
      <c r="H2872" s="1" t="str">
        <f>"0032"</f>
        <v>0032</v>
      </c>
      <c r="I2872" s="1" t="s">
        <v>119</v>
      </c>
      <c r="J2872" s="1" t="str">
        <f>"01043977566"</f>
        <v>01043977566</v>
      </c>
      <c r="K2872" s="1" t="str">
        <f>"2017-03-17 15:08:30"</f>
        <v>2017-03-17 15:08:30</v>
      </c>
      <c r="L2872" s="1" t="str">
        <f>"2017-03-17 15:08:39"</f>
        <v>2017-03-17 15:08:39</v>
      </c>
      <c r="M2872" s="2">
        <v>3.3217592592592591E-3</v>
      </c>
      <c r="N2872" s="1" t="s">
        <v>26</v>
      </c>
      <c r="O2872" s="1" t="s">
        <v>34</v>
      </c>
      <c r="P2872" s="2">
        <v>3.425925925925926E-3</v>
      </c>
      <c r="Q2872" s="1" t="s">
        <v>2069</v>
      </c>
      <c r="R2872" s="1">
        <v>0</v>
      </c>
      <c r="S2872" s="1" t="str">
        <f>""</f>
        <v/>
      </c>
      <c r="T2872" s="1" t="s">
        <v>29</v>
      </c>
      <c r="U2872" s="1" t="s">
        <v>30</v>
      </c>
      <c r="V2872" s="1">
        <v>0</v>
      </c>
    </row>
    <row r="2873" spans="2:22" x14ac:dyDescent="0.15">
      <c r="B2873" s="1" t="str">
        <f>"010****2725"</f>
        <v>010****2725</v>
      </c>
      <c r="C2873" s="1" t="s">
        <v>23</v>
      </c>
      <c r="D2873" s="1" t="str">
        <f t="shared" si="288"/>
        <v>89177328</v>
      </c>
      <c r="E2873" s="1" t="s">
        <v>24</v>
      </c>
      <c r="F2873" s="1" t="str">
        <f t="shared" si="289"/>
        <v>0010</v>
      </c>
      <c r="G2873" s="1" t="str">
        <f>""</f>
        <v/>
      </c>
      <c r="H2873" s="1" t="str">
        <f>"0017"</f>
        <v>0017</v>
      </c>
      <c r="I2873" s="1" t="s">
        <v>135</v>
      </c>
      <c r="J2873" s="1" t="str">
        <f>"01043989717"</f>
        <v>01043989717</v>
      </c>
      <c r="K2873" s="1" t="str">
        <f>"2017-03-17 15:02:36"</f>
        <v>2017-03-17 15:02:36</v>
      </c>
      <c r="L2873" s="1" t="str">
        <f>"2017-03-17 15:02:44"</f>
        <v>2017-03-17 15:02:44</v>
      </c>
      <c r="M2873" s="2">
        <v>1.5277777777777777E-2</v>
      </c>
      <c r="N2873" s="1" t="s">
        <v>26</v>
      </c>
      <c r="O2873" s="1" t="s">
        <v>34</v>
      </c>
      <c r="P2873" s="2">
        <v>1.5370370370370369E-2</v>
      </c>
      <c r="Q2873" s="1" t="s">
        <v>2070</v>
      </c>
      <c r="R2873" s="1">
        <v>0</v>
      </c>
      <c r="S2873" s="1" t="str">
        <f>""</f>
        <v/>
      </c>
      <c r="T2873" s="1" t="s">
        <v>29</v>
      </c>
      <c r="U2873" s="1" t="s">
        <v>30</v>
      </c>
      <c r="V2873" s="1">
        <v>0</v>
      </c>
    </row>
    <row r="2874" spans="2:22" x14ac:dyDescent="0.15">
      <c r="B2874" s="1" t="str">
        <f>"186****8296"</f>
        <v>186****8296</v>
      </c>
      <c r="C2874" s="1" t="s">
        <v>81</v>
      </c>
      <c r="D2874" s="1" t="str">
        <f t="shared" si="288"/>
        <v>89177328</v>
      </c>
      <c r="E2874" s="1" t="s">
        <v>24</v>
      </c>
      <c r="F2874" s="1" t="str">
        <f t="shared" si="289"/>
        <v>0010</v>
      </c>
      <c r="G2874" s="1" t="str">
        <f>""</f>
        <v/>
      </c>
      <c r="H2874" s="1" t="str">
        <f>"0018"</f>
        <v>0018</v>
      </c>
      <c r="I2874" s="1" t="s">
        <v>36</v>
      </c>
      <c r="J2874" s="1" t="str">
        <f>"01043989718"</f>
        <v>01043989718</v>
      </c>
      <c r="K2874" s="1" t="str">
        <f>"2017-03-17 14:59:56"</f>
        <v>2017-03-17 14:59:56</v>
      </c>
      <c r="L2874" s="1" t="str">
        <f>"2017-03-17 15:00:01"</f>
        <v>2017-03-17 15:00:01</v>
      </c>
      <c r="M2874" s="2">
        <v>7.1874999999999994E-3</v>
      </c>
      <c r="N2874" s="1" t="s">
        <v>26</v>
      </c>
      <c r="O2874" s="1" t="s">
        <v>34</v>
      </c>
      <c r="P2874" s="2">
        <v>7.2453703703703708E-3</v>
      </c>
      <c r="Q2874" s="1" t="s">
        <v>2071</v>
      </c>
      <c r="R2874" s="1">
        <v>0</v>
      </c>
      <c r="S2874" s="1" t="str">
        <f>""</f>
        <v/>
      </c>
      <c r="T2874" s="1" t="s">
        <v>29</v>
      </c>
      <c r="U2874" s="1" t="s">
        <v>30</v>
      </c>
      <c r="V2874" s="1">
        <v>0</v>
      </c>
    </row>
    <row r="2875" spans="2:22" x14ac:dyDescent="0.15">
      <c r="B2875" s="1" t="str">
        <f>"158****3410"</f>
        <v>158****3410</v>
      </c>
      <c r="C2875" s="1" t="s">
        <v>44</v>
      </c>
      <c r="D2875" s="1" t="str">
        <f t="shared" si="288"/>
        <v>89177328</v>
      </c>
      <c r="E2875" s="1" t="s">
        <v>24</v>
      </c>
      <c r="F2875" s="1" t="str">
        <f t="shared" si="289"/>
        <v>0010</v>
      </c>
      <c r="G2875" s="1" t="str">
        <f>""</f>
        <v/>
      </c>
      <c r="H2875" s="1" t="str">
        <f>"0035"</f>
        <v>0035</v>
      </c>
      <c r="I2875" s="1" t="s">
        <v>25</v>
      </c>
      <c r="J2875" s="1" t="str">
        <f>"01043977569"</f>
        <v>01043977569</v>
      </c>
      <c r="K2875" s="1" t="str">
        <f>"2017-03-17 14:50:39"</f>
        <v>2017-03-17 14:50:39</v>
      </c>
      <c r="L2875" s="1" t="str">
        <f>"2017-03-17 14:50:45"</f>
        <v>2017-03-17 14:50:45</v>
      </c>
      <c r="M2875" s="2">
        <v>4.8495370370370368E-3</v>
      </c>
      <c r="N2875" s="1" t="s">
        <v>26</v>
      </c>
      <c r="O2875" s="1" t="s">
        <v>27</v>
      </c>
      <c r="P2875" s="2">
        <v>4.9189814814814816E-3</v>
      </c>
      <c r="Q2875" s="1" t="s">
        <v>2072</v>
      </c>
      <c r="R2875" s="1">
        <v>0</v>
      </c>
      <c r="S2875" s="1" t="str">
        <f>""</f>
        <v/>
      </c>
      <c r="T2875" s="1" t="s">
        <v>29</v>
      </c>
      <c r="U2875" s="1" t="s">
        <v>30</v>
      </c>
      <c r="V2875" s="1">
        <v>0</v>
      </c>
    </row>
    <row r="2876" spans="2:22" x14ac:dyDescent="0.15">
      <c r="B2876" s="1" t="str">
        <f>"137****1151"</f>
        <v>137****1151</v>
      </c>
      <c r="C2876" s="1" t="s">
        <v>23</v>
      </c>
      <c r="D2876" s="1" t="str">
        <f t="shared" si="288"/>
        <v>89177328</v>
      </c>
      <c r="E2876" s="1" t="s">
        <v>24</v>
      </c>
      <c r="F2876" s="1" t="str">
        <f t="shared" si="289"/>
        <v>0010</v>
      </c>
      <c r="G2876" s="1" t="str">
        <f>""</f>
        <v/>
      </c>
      <c r="H2876" s="1" t="str">
        <f>"0035"</f>
        <v>0035</v>
      </c>
      <c r="I2876" s="1" t="s">
        <v>25</v>
      </c>
      <c r="J2876" s="1" t="str">
        <f>"01043977569"</f>
        <v>01043977569</v>
      </c>
      <c r="K2876" s="1" t="str">
        <f>"2017-03-17 14:38:18"</f>
        <v>2017-03-17 14:38:18</v>
      </c>
      <c r="L2876" s="1" t="str">
        <f>"2017-03-17 14:38:27"</f>
        <v>2017-03-17 14:38:27</v>
      </c>
      <c r="M2876" s="2">
        <v>5.4629629629629637E-3</v>
      </c>
      <c r="N2876" s="1" t="s">
        <v>26</v>
      </c>
      <c r="O2876" s="1" t="s">
        <v>27</v>
      </c>
      <c r="P2876" s="2">
        <v>5.5671296296296302E-3</v>
      </c>
      <c r="Q2876" s="1" t="s">
        <v>2073</v>
      </c>
      <c r="R2876" s="1">
        <v>0</v>
      </c>
      <c r="S2876" s="1" t="str">
        <f>""</f>
        <v/>
      </c>
      <c r="T2876" s="1" t="s">
        <v>29</v>
      </c>
      <c r="U2876" s="1" t="s">
        <v>30</v>
      </c>
      <c r="V2876" s="1">
        <v>0</v>
      </c>
    </row>
    <row r="2877" spans="2:22" x14ac:dyDescent="0.15">
      <c r="B2877" s="1" t="str">
        <f>"188****8863"</f>
        <v>188****8863</v>
      </c>
      <c r="C2877" s="1" t="s">
        <v>23</v>
      </c>
      <c r="D2877" s="1" t="str">
        <f t="shared" si="288"/>
        <v>89177328</v>
      </c>
      <c r="E2877" s="1" t="s">
        <v>24</v>
      </c>
      <c r="F2877" s="1" t="str">
        <f t="shared" si="289"/>
        <v>0010</v>
      </c>
      <c r="G2877" s="1" t="str">
        <f>""</f>
        <v/>
      </c>
      <c r="H2877" s="1" t="str">
        <f>"0031"</f>
        <v>0031</v>
      </c>
      <c r="I2877" s="1" t="s">
        <v>95</v>
      </c>
      <c r="J2877" s="1" t="str">
        <f>"01043977565"</f>
        <v>01043977565</v>
      </c>
      <c r="K2877" s="1" t="str">
        <f>"2017-03-17 14:37:48"</f>
        <v>2017-03-17 14:37:48</v>
      </c>
      <c r="L2877" s="1" t="str">
        <f>"2017-03-17 14:37:54"</f>
        <v>2017-03-17 14:37:54</v>
      </c>
      <c r="M2877" s="2">
        <v>1.0763888888888891E-2</v>
      </c>
      <c r="N2877" s="1" t="s">
        <v>26</v>
      </c>
      <c r="O2877" s="1" t="s">
        <v>27</v>
      </c>
      <c r="P2877" s="2">
        <v>1.0833333333333334E-2</v>
      </c>
      <c r="Q2877" s="1" t="s">
        <v>2074</v>
      </c>
      <c r="R2877" s="1">
        <v>0</v>
      </c>
      <c r="S2877" s="1" t="str">
        <f>""</f>
        <v/>
      </c>
      <c r="T2877" s="1" t="s">
        <v>29</v>
      </c>
      <c r="U2877" s="1" t="s">
        <v>30</v>
      </c>
      <c r="V2877" s="1">
        <v>0</v>
      </c>
    </row>
    <row r="2878" spans="2:22" x14ac:dyDescent="0.15">
      <c r="B2878" s="1" t="str">
        <f>"185****7661"</f>
        <v>185****7661</v>
      </c>
      <c r="C2878" s="1" t="s">
        <v>23</v>
      </c>
      <c r="D2878" s="1" t="str">
        <f t="shared" si="288"/>
        <v>89177328</v>
      </c>
      <c r="E2878" s="1" t="s">
        <v>24</v>
      </c>
      <c r="F2878" s="1" t="str">
        <f t="shared" si="289"/>
        <v>0010</v>
      </c>
      <c r="G2878" s="1" t="str">
        <f>""</f>
        <v/>
      </c>
      <c r="H2878" s="1" t="str">
        <f>"0031"</f>
        <v>0031</v>
      </c>
      <c r="I2878" s="1" t="s">
        <v>95</v>
      </c>
      <c r="J2878" s="1" t="str">
        <f>"01043977565"</f>
        <v>01043977565</v>
      </c>
      <c r="K2878" s="1" t="str">
        <f>"2017-03-17 14:31:32"</f>
        <v>2017-03-17 14:31:32</v>
      </c>
      <c r="L2878" s="1" t="str">
        <f>"2017-03-17 14:31:38"</f>
        <v>2017-03-17 14:31:38</v>
      </c>
      <c r="M2878" s="2">
        <v>1.4814814814814814E-3</v>
      </c>
      <c r="N2878" s="1" t="s">
        <v>26</v>
      </c>
      <c r="O2878" s="1" t="s">
        <v>34</v>
      </c>
      <c r="P2878" s="2">
        <v>1.5509259259259261E-3</v>
      </c>
      <c r="Q2878" s="1" t="s">
        <v>2075</v>
      </c>
      <c r="R2878" s="1">
        <v>0</v>
      </c>
      <c r="S2878" s="1" t="str">
        <f>""</f>
        <v/>
      </c>
      <c r="T2878" s="1" t="s">
        <v>29</v>
      </c>
      <c r="U2878" s="1" t="s">
        <v>30</v>
      </c>
      <c r="V2878" s="1">
        <v>0</v>
      </c>
    </row>
    <row r="2879" spans="2:22" x14ac:dyDescent="0.15">
      <c r="B2879" s="1" t="str">
        <f>"135****2961"</f>
        <v>135****2961</v>
      </c>
      <c r="C2879" s="1" t="s">
        <v>23</v>
      </c>
      <c r="D2879" s="1" t="str">
        <f t="shared" si="288"/>
        <v>89177328</v>
      </c>
      <c r="E2879" s="1" t="s">
        <v>24</v>
      </c>
      <c r="F2879" s="1" t="str">
        <f t="shared" si="289"/>
        <v>0010</v>
      </c>
      <c r="G2879" s="1" t="str">
        <f>""</f>
        <v/>
      </c>
      <c r="H2879" s="1" t="str">
        <f>"0018"</f>
        <v>0018</v>
      </c>
      <c r="I2879" s="1" t="s">
        <v>36</v>
      </c>
      <c r="J2879" s="1" t="str">
        <f>"01043989718"</f>
        <v>01043989718</v>
      </c>
      <c r="K2879" s="1" t="str">
        <f>"2017-03-17 14:30:28"</f>
        <v>2017-03-17 14:30:28</v>
      </c>
      <c r="L2879" s="1" t="str">
        <f>"2017-03-17 14:30:44"</f>
        <v>2017-03-17 14:30:44</v>
      </c>
      <c r="M2879" s="2">
        <v>2.9976851851851848E-3</v>
      </c>
      <c r="N2879" s="1" t="s">
        <v>26</v>
      </c>
      <c r="O2879" s="1" t="s">
        <v>27</v>
      </c>
      <c r="P2879" s="2">
        <v>3.1828703703703702E-3</v>
      </c>
      <c r="Q2879" s="1" t="s">
        <v>2076</v>
      </c>
      <c r="R2879" s="1">
        <v>0</v>
      </c>
      <c r="S2879" s="1" t="str">
        <f>""</f>
        <v/>
      </c>
      <c r="T2879" s="1" t="s">
        <v>29</v>
      </c>
      <c r="U2879" s="1" t="s">
        <v>30</v>
      </c>
      <c r="V2879" s="1">
        <v>0</v>
      </c>
    </row>
    <row r="2880" spans="2:22" x14ac:dyDescent="0.15">
      <c r="B2880" s="1" t="str">
        <f>"135****2961"</f>
        <v>135****2961</v>
      </c>
      <c r="C2880" s="1" t="s">
        <v>23</v>
      </c>
      <c r="D2880" s="1" t="str">
        <f t="shared" si="288"/>
        <v>89177328</v>
      </c>
      <c r="E2880" s="1" t="s">
        <v>24</v>
      </c>
      <c r="F2880" s="1" t="str">
        <f t="shared" si="289"/>
        <v>0010</v>
      </c>
      <c r="G2880" s="1" t="str">
        <f>""</f>
        <v/>
      </c>
      <c r="H2880" s="1" t="str">
        <f>"0017"</f>
        <v>0017</v>
      </c>
      <c r="I2880" s="1" t="s">
        <v>135</v>
      </c>
      <c r="J2880" s="1" t="str">
        <f>"01043989717"</f>
        <v>01043989717</v>
      </c>
      <c r="K2880" s="1" t="str">
        <f>"2017-03-17 14:23:57"</f>
        <v>2017-03-17 14:23:57</v>
      </c>
      <c r="L2880" s="1" t="str">
        <f>"2017-03-17 14:24:05"</f>
        <v>2017-03-17 14:24:05</v>
      </c>
      <c r="M2880" s="2">
        <v>3.9699074074074072E-3</v>
      </c>
      <c r="N2880" s="1" t="s">
        <v>26</v>
      </c>
      <c r="O2880" s="1" t="s">
        <v>27</v>
      </c>
      <c r="P2880" s="2">
        <v>4.0624999999999993E-3</v>
      </c>
      <c r="Q2880" s="1" t="s">
        <v>2077</v>
      </c>
      <c r="R2880" s="1">
        <v>0</v>
      </c>
      <c r="S2880" s="1" t="str">
        <f>""</f>
        <v/>
      </c>
      <c r="T2880" s="1" t="s">
        <v>29</v>
      </c>
      <c r="U2880" s="1" t="s">
        <v>30</v>
      </c>
      <c r="V2880" s="1">
        <v>0</v>
      </c>
    </row>
    <row r="2881" spans="2:22" x14ac:dyDescent="0.15">
      <c r="B2881" s="1" t="str">
        <f>"139****0290"</f>
        <v>139****0290</v>
      </c>
      <c r="C2881" s="1" t="s">
        <v>269</v>
      </c>
      <c r="D2881" s="1" t="str">
        <f>"4000108333"</f>
        <v>4000108333</v>
      </c>
      <c r="E2881" s="1" t="s">
        <v>53</v>
      </c>
      <c r="F2881" s="1" t="str">
        <f>"0000"</f>
        <v>0000</v>
      </c>
      <c r="G2881" s="1" t="str">
        <f>""</f>
        <v/>
      </c>
      <c r="H2881" s="1" t="str">
        <f>"0033"</f>
        <v>0033</v>
      </c>
      <c r="I2881" s="1" t="s">
        <v>106</v>
      </c>
      <c r="J2881" s="1" t="str">
        <f>"01043977567"</f>
        <v>01043977567</v>
      </c>
      <c r="K2881" s="1" t="str">
        <f>"2017-03-17 14:22:49"</f>
        <v>2017-03-17 14:22:49</v>
      </c>
      <c r="L2881" s="1" t="str">
        <f>"2017-03-17 14:23:18"</f>
        <v>2017-03-17 14:23:18</v>
      </c>
      <c r="M2881" s="2">
        <v>2.3402777777777783E-2</v>
      </c>
      <c r="N2881" s="1" t="s">
        <v>26</v>
      </c>
      <c r="O2881" s="1" t="s">
        <v>27</v>
      </c>
      <c r="P2881" s="2">
        <v>2.3738425925925923E-2</v>
      </c>
      <c r="Q2881" s="1" t="s">
        <v>2078</v>
      </c>
      <c r="R2881" s="1">
        <v>4.2</v>
      </c>
      <c r="S2881" s="1" t="str">
        <f>""</f>
        <v/>
      </c>
      <c r="T2881" s="1" t="s">
        <v>29</v>
      </c>
      <c r="U2881" s="1" t="s">
        <v>30</v>
      </c>
      <c r="V2881" s="1">
        <v>0</v>
      </c>
    </row>
    <row r="2882" spans="2:22" x14ac:dyDescent="0.15">
      <c r="B2882" s="1" t="str">
        <f>"135****2961"</f>
        <v>135****2961</v>
      </c>
      <c r="C2882" s="1" t="s">
        <v>23</v>
      </c>
      <c r="D2882" s="1" t="str">
        <f t="shared" ref="D2882:D2934" si="290">"89177328"</f>
        <v>89177328</v>
      </c>
      <c r="E2882" s="1" t="s">
        <v>24</v>
      </c>
      <c r="F2882" s="1" t="str">
        <f t="shared" ref="F2882:F2934" si="291">"0010"</f>
        <v>0010</v>
      </c>
      <c r="G2882" s="1" t="str">
        <f>""</f>
        <v/>
      </c>
      <c r="H2882" s="1" t="str">
        <f>"0032"</f>
        <v>0032</v>
      </c>
      <c r="I2882" s="1" t="s">
        <v>119</v>
      </c>
      <c r="J2882" s="1" t="str">
        <f>"01043977566"</f>
        <v>01043977566</v>
      </c>
      <c r="K2882" s="1" t="str">
        <f>"2017-03-17 14:20:38"</f>
        <v>2017-03-17 14:20:38</v>
      </c>
      <c r="L2882" s="1" t="str">
        <f>"2017-03-17 14:20:47"</f>
        <v>2017-03-17 14:20:47</v>
      </c>
      <c r="M2882" s="2">
        <v>2.7777777777777778E-4</v>
      </c>
      <c r="N2882" s="1" t="s">
        <v>26</v>
      </c>
      <c r="O2882" s="1" t="s">
        <v>34</v>
      </c>
      <c r="P2882" s="2">
        <v>3.8194444444444446E-4</v>
      </c>
      <c r="Q2882" s="1" t="s">
        <v>2079</v>
      </c>
      <c r="R2882" s="1">
        <v>0</v>
      </c>
      <c r="S2882" s="1" t="str">
        <f>""</f>
        <v/>
      </c>
      <c r="T2882" s="1" t="s">
        <v>29</v>
      </c>
      <c r="U2882" s="1" t="s">
        <v>30</v>
      </c>
      <c r="V2882" s="1">
        <v>0</v>
      </c>
    </row>
    <row r="2883" spans="2:22" x14ac:dyDescent="0.15">
      <c r="B2883" s="1" t="str">
        <f>"185****9852"</f>
        <v>185****9852</v>
      </c>
      <c r="C2883" s="1" t="s">
        <v>150</v>
      </c>
      <c r="D2883" s="1" t="str">
        <f t="shared" si="290"/>
        <v>89177328</v>
      </c>
      <c r="E2883" s="1" t="s">
        <v>24</v>
      </c>
      <c r="F2883" s="1" t="str">
        <f t="shared" si="291"/>
        <v>0010</v>
      </c>
      <c r="G2883" s="1" t="str">
        <f>""</f>
        <v/>
      </c>
      <c r="H2883" s="1" t="str">
        <f>"0035"</f>
        <v>0035</v>
      </c>
      <c r="I2883" s="1" t="s">
        <v>25</v>
      </c>
      <c r="J2883" s="1" t="str">
        <f>"01043977569"</f>
        <v>01043977569</v>
      </c>
      <c r="K2883" s="1" t="str">
        <f>"2017-03-17 14:16:02"</f>
        <v>2017-03-17 14:16:02</v>
      </c>
      <c r="L2883" s="1" t="str">
        <f>"2017-03-17 14:16:10"</f>
        <v>2017-03-17 14:16:10</v>
      </c>
      <c r="M2883" s="2">
        <v>3.3217592592592591E-3</v>
      </c>
      <c r="N2883" s="1" t="s">
        <v>26</v>
      </c>
      <c r="O2883" s="1" t="s">
        <v>27</v>
      </c>
      <c r="P2883" s="2">
        <v>3.414351851851852E-3</v>
      </c>
      <c r="Q2883" s="1" t="s">
        <v>2080</v>
      </c>
      <c r="R2883" s="1">
        <v>0</v>
      </c>
      <c r="S2883" s="1" t="str">
        <f>""</f>
        <v/>
      </c>
      <c r="T2883" s="1" t="s">
        <v>29</v>
      </c>
      <c r="U2883" s="1" t="s">
        <v>30</v>
      </c>
      <c r="V2883" s="1">
        <v>0</v>
      </c>
    </row>
    <row r="2884" spans="2:22" x14ac:dyDescent="0.15">
      <c r="B2884" s="1" t="str">
        <f>"177****5117"</f>
        <v>177****5117</v>
      </c>
      <c r="C2884" s="1" t="s">
        <v>23</v>
      </c>
      <c r="D2884" s="1" t="str">
        <f t="shared" si="290"/>
        <v>89177328</v>
      </c>
      <c r="E2884" s="1" t="s">
        <v>24</v>
      </c>
      <c r="F2884" s="1" t="str">
        <f t="shared" si="291"/>
        <v>0010</v>
      </c>
      <c r="G2884" s="1" t="str">
        <f>""</f>
        <v/>
      </c>
      <c r="H2884" s="1" t="str">
        <f>"0034"</f>
        <v>0034</v>
      </c>
      <c r="I2884" s="1" t="s">
        <v>31</v>
      </c>
      <c r="J2884" s="1" t="str">
        <f>"01043977568"</f>
        <v>01043977568</v>
      </c>
      <c r="K2884" s="1" t="str">
        <f>"2017-03-17 14:04:30"</f>
        <v>2017-03-17 14:04:30</v>
      </c>
      <c r="L2884" s="1" t="str">
        <f>"2017-03-17 14:04:39"</f>
        <v>2017-03-17 14:04:39</v>
      </c>
      <c r="M2884" s="2">
        <v>4.6990740740740743E-3</v>
      </c>
      <c r="N2884" s="1" t="s">
        <v>26</v>
      </c>
      <c r="O2884" s="1" t="s">
        <v>34</v>
      </c>
      <c r="P2884" s="2">
        <v>4.8032407407407407E-3</v>
      </c>
      <c r="Q2884" s="1" t="s">
        <v>2081</v>
      </c>
      <c r="R2884" s="1">
        <v>0</v>
      </c>
      <c r="S2884" s="1" t="str">
        <f>""</f>
        <v/>
      </c>
      <c r="T2884" s="1" t="s">
        <v>29</v>
      </c>
      <c r="U2884" s="1" t="s">
        <v>30</v>
      </c>
      <c r="V2884" s="1">
        <v>0</v>
      </c>
    </row>
    <row r="2885" spans="2:22" x14ac:dyDescent="0.15">
      <c r="B2885" s="1" t="str">
        <f>"135****8609"</f>
        <v>135****8609</v>
      </c>
      <c r="C2885" s="1" t="s">
        <v>118</v>
      </c>
      <c r="D2885" s="1" t="str">
        <f t="shared" si="290"/>
        <v>89177328</v>
      </c>
      <c r="E2885" s="1" t="s">
        <v>24</v>
      </c>
      <c r="F2885" s="1" t="str">
        <f t="shared" si="291"/>
        <v>0010</v>
      </c>
      <c r="G2885" s="1" t="str">
        <f>""</f>
        <v/>
      </c>
      <c r="H2885" s="1" t="str">
        <f>"0034"</f>
        <v>0034</v>
      </c>
      <c r="I2885" s="1" t="s">
        <v>31</v>
      </c>
      <c r="J2885" s="1" t="str">
        <f>"01043977568"</f>
        <v>01043977568</v>
      </c>
      <c r="K2885" s="1" t="str">
        <f>"2017-03-17 13:56:01"</f>
        <v>2017-03-17 13:56:01</v>
      </c>
      <c r="L2885" s="1" t="str">
        <f>"2017-03-17 13:56:07"</f>
        <v>2017-03-17 13:56:07</v>
      </c>
      <c r="M2885" s="2">
        <v>5.3125000000000004E-3</v>
      </c>
      <c r="N2885" s="1" t="s">
        <v>26</v>
      </c>
      <c r="O2885" s="1" t="s">
        <v>34</v>
      </c>
      <c r="P2885" s="2">
        <v>5.3819444444444453E-3</v>
      </c>
      <c r="Q2885" s="1" t="s">
        <v>2082</v>
      </c>
      <c r="R2885" s="1">
        <v>0</v>
      </c>
      <c r="S2885" s="1" t="str">
        <f>""</f>
        <v/>
      </c>
      <c r="T2885" s="1" t="s">
        <v>29</v>
      </c>
      <c r="U2885" s="1" t="s">
        <v>30</v>
      </c>
      <c r="V2885" s="1">
        <v>0</v>
      </c>
    </row>
    <row r="2886" spans="2:22" x14ac:dyDescent="0.15">
      <c r="B2886" s="1" t="str">
        <f>"155****1698"</f>
        <v>155****1698</v>
      </c>
      <c r="C2886" s="1" t="s">
        <v>23</v>
      </c>
      <c r="D2886" s="1" t="str">
        <f t="shared" si="290"/>
        <v>89177328</v>
      </c>
      <c r="E2886" s="1" t="s">
        <v>24</v>
      </c>
      <c r="F2886" s="1" t="str">
        <f t="shared" si="291"/>
        <v>0010</v>
      </c>
      <c r="G2886" s="1" t="str">
        <f>""</f>
        <v/>
      </c>
      <c r="H2886" s="1" t="str">
        <f>"0034"</f>
        <v>0034</v>
      </c>
      <c r="I2886" s="1" t="s">
        <v>31</v>
      </c>
      <c r="J2886" s="1" t="str">
        <f>"01043977568"</f>
        <v>01043977568</v>
      </c>
      <c r="K2886" s="1" t="str">
        <f>"2017-03-17 13:47:59"</f>
        <v>2017-03-17 13:47:59</v>
      </c>
      <c r="L2886" s="1" t="str">
        <f>"2017-03-17 13:48:05"</f>
        <v>2017-03-17 13:48:05</v>
      </c>
      <c r="M2886" s="2">
        <v>6.018518518518519E-4</v>
      </c>
      <c r="N2886" s="1" t="s">
        <v>26</v>
      </c>
      <c r="O2886" s="1" t="s">
        <v>34</v>
      </c>
      <c r="P2886" s="2">
        <v>6.7129629629629625E-4</v>
      </c>
      <c r="Q2886" s="1" t="s">
        <v>2083</v>
      </c>
      <c r="R2886" s="1">
        <v>0</v>
      </c>
      <c r="S2886" s="1" t="str">
        <f>""</f>
        <v/>
      </c>
      <c r="T2886" s="1" t="s">
        <v>29</v>
      </c>
      <c r="U2886" s="1" t="s">
        <v>30</v>
      </c>
      <c r="V2886" s="1">
        <v>0</v>
      </c>
    </row>
    <row r="2887" spans="2:22" x14ac:dyDescent="0.15">
      <c r="B2887" s="1" t="str">
        <f>"188****8116"</f>
        <v>188****8116</v>
      </c>
      <c r="C2887" s="1" t="s">
        <v>23</v>
      </c>
      <c r="D2887" s="1" t="str">
        <f t="shared" si="290"/>
        <v>89177328</v>
      </c>
      <c r="E2887" s="1" t="s">
        <v>24</v>
      </c>
      <c r="F2887" s="1" t="str">
        <f t="shared" si="291"/>
        <v>0010</v>
      </c>
      <c r="G2887" s="1" t="str">
        <f>""</f>
        <v/>
      </c>
      <c r="H2887" s="1" t="str">
        <f>"0033"</f>
        <v>0033</v>
      </c>
      <c r="I2887" s="1" t="s">
        <v>106</v>
      </c>
      <c r="J2887" s="1" t="str">
        <f>"01043977567"</f>
        <v>01043977567</v>
      </c>
      <c r="K2887" s="1" t="str">
        <f>"2017-03-17 13:45:03"</f>
        <v>2017-03-17 13:45:03</v>
      </c>
      <c r="L2887" s="1" t="str">
        <f>"2017-03-17 13:45:09"</f>
        <v>2017-03-17 13:45:09</v>
      </c>
      <c r="M2887" s="2">
        <v>6.5856481481481469E-3</v>
      </c>
      <c r="N2887" s="1" t="s">
        <v>26</v>
      </c>
      <c r="O2887" s="1" t="s">
        <v>27</v>
      </c>
      <c r="P2887" s="2">
        <v>6.6550925925925935E-3</v>
      </c>
      <c r="Q2887" s="1" t="s">
        <v>2084</v>
      </c>
      <c r="R2887" s="1">
        <v>0</v>
      </c>
      <c r="S2887" s="1" t="str">
        <f>""</f>
        <v/>
      </c>
      <c r="T2887" s="1" t="s">
        <v>29</v>
      </c>
      <c r="U2887" s="1" t="s">
        <v>30</v>
      </c>
      <c r="V2887" s="1">
        <v>0</v>
      </c>
    </row>
    <row r="2888" spans="2:22" x14ac:dyDescent="0.15">
      <c r="B2888" s="1" t="str">
        <f>"134****8174"</f>
        <v>134****8174</v>
      </c>
      <c r="C2888" s="1" t="s">
        <v>23</v>
      </c>
      <c r="D2888" s="1" t="str">
        <f t="shared" si="290"/>
        <v>89177328</v>
      </c>
      <c r="E2888" s="1" t="s">
        <v>24</v>
      </c>
      <c r="F2888" s="1" t="str">
        <f t="shared" si="291"/>
        <v>0010</v>
      </c>
      <c r="G2888" s="1" t="str">
        <f>""</f>
        <v/>
      </c>
      <c r="H2888" s="1" t="str">
        <f>"0010"</f>
        <v>0010</v>
      </c>
      <c r="I2888" s="1" t="s">
        <v>71</v>
      </c>
      <c r="J2888" s="1" t="str">
        <f>"01043989719"</f>
        <v>01043989719</v>
      </c>
      <c r="K2888" s="1" t="str">
        <f>"2017-03-17 13:33:32"</f>
        <v>2017-03-17 13:33:32</v>
      </c>
      <c r="L2888" s="1" t="str">
        <f>"2017-03-17 13:33:41"</f>
        <v>2017-03-17 13:33:41</v>
      </c>
      <c r="M2888" s="2">
        <v>7.1990740740740739E-3</v>
      </c>
      <c r="N2888" s="1" t="s">
        <v>26</v>
      </c>
      <c r="O2888" s="1" t="s">
        <v>27</v>
      </c>
      <c r="P2888" s="2">
        <v>7.3032407407407412E-3</v>
      </c>
      <c r="Q2888" s="1" t="s">
        <v>2085</v>
      </c>
      <c r="R2888" s="1">
        <v>0</v>
      </c>
      <c r="S2888" s="1" t="str">
        <f>""</f>
        <v/>
      </c>
      <c r="T2888" s="1" t="s">
        <v>29</v>
      </c>
      <c r="U2888" s="1" t="s">
        <v>30</v>
      </c>
      <c r="V2888" s="1">
        <v>0</v>
      </c>
    </row>
    <row r="2889" spans="2:22" x14ac:dyDescent="0.15">
      <c r="B2889" s="1" t="str">
        <f>"00172****1889"</f>
        <v>00172****1889</v>
      </c>
      <c r="C2889" s="1" t="s">
        <v>635</v>
      </c>
      <c r="D2889" s="1" t="str">
        <f t="shared" si="290"/>
        <v>89177328</v>
      </c>
      <c r="E2889" s="1" t="s">
        <v>24</v>
      </c>
      <c r="F2889" s="1" t="str">
        <f t="shared" si="291"/>
        <v>0010</v>
      </c>
      <c r="G2889" s="1" t="str">
        <f>""</f>
        <v/>
      </c>
      <c r="H2889" s="1" t="str">
        <f>"0017"</f>
        <v>0017</v>
      </c>
      <c r="I2889" s="1" t="s">
        <v>135</v>
      </c>
      <c r="J2889" s="1" t="str">
        <f>"01043989717"</f>
        <v>01043989717</v>
      </c>
      <c r="K2889" s="1" t="str">
        <f>"2017-03-17 13:29:31"</f>
        <v>2017-03-17 13:29:31</v>
      </c>
      <c r="L2889" s="1" t="str">
        <f>"2017-03-17 13:29:39"</f>
        <v>2017-03-17 13:29:39</v>
      </c>
      <c r="M2889" s="2">
        <v>4.9305555555555552E-3</v>
      </c>
      <c r="N2889" s="1" t="s">
        <v>26</v>
      </c>
      <c r="O2889" s="1" t="s">
        <v>27</v>
      </c>
      <c r="P2889" s="2">
        <v>5.0231481481481481E-3</v>
      </c>
      <c r="Q2889" s="1" t="s">
        <v>2086</v>
      </c>
      <c r="R2889" s="1">
        <v>0</v>
      </c>
      <c r="S2889" s="1" t="str">
        <f>""</f>
        <v/>
      </c>
      <c r="T2889" s="1" t="s">
        <v>29</v>
      </c>
      <c r="U2889" s="1" t="s">
        <v>30</v>
      </c>
      <c r="V2889" s="1">
        <v>0</v>
      </c>
    </row>
    <row r="2890" spans="2:22" x14ac:dyDescent="0.15">
      <c r="B2890" s="1" t="str">
        <f>"137****5199"</f>
        <v>137****5199</v>
      </c>
      <c r="C2890" s="1" t="s">
        <v>170</v>
      </c>
      <c r="D2890" s="1" t="str">
        <f t="shared" si="290"/>
        <v>89177328</v>
      </c>
      <c r="E2890" s="1" t="s">
        <v>24</v>
      </c>
      <c r="F2890" s="1" t="str">
        <f t="shared" si="291"/>
        <v>0010</v>
      </c>
      <c r="G2890" s="1" t="str">
        <f>""</f>
        <v/>
      </c>
      <c r="H2890" s="1" t="str">
        <f>"0032"</f>
        <v>0032</v>
      </c>
      <c r="I2890" s="1" t="s">
        <v>119</v>
      </c>
      <c r="J2890" s="1" t="str">
        <f>"01043977566"</f>
        <v>01043977566</v>
      </c>
      <c r="K2890" s="1" t="str">
        <f>"2017-03-17 13:23:39"</f>
        <v>2017-03-17 13:23:39</v>
      </c>
      <c r="L2890" s="1" t="str">
        <f>"2017-03-17 13:23:49"</f>
        <v>2017-03-17 13:23:49</v>
      </c>
      <c r="M2890" s="2">
        <v>6.2268518518518515E-3</v>
      </c>
      <c r="N2890" s="1" t="s">
        <v>26</v>
      </c>
      <c r="O2890" s="1" t="s">
        <v>34</v>
      </c>
      <c r="P2890" s="2">
        <v>6.3425925925925915E-3</v>
      </c>
      <c r="Q2890" s="1" t="s">
        <v>2087</v>
      </c>
      <c r="R2890" s="1">
        <v>0</v>
      </c>
      <c r="S2890" s="1" t="str">
        <f>""</f>
        <v/>
      </c>
      <c r="T2890" s="1" t="s">
        <v>29</v>
      </c>
      <c r="U2890" s="1" t="s">
        <v>30</v>
      </c>
      <c r="V2890" s="1">
        <v>0</v>
      </c>
    </row>
    <row r="2891" spans="2:22" x14ac:dyDescent="0.15">
      <c r="B2891" s="1" t="str">
        <f>"151****1592"</f>
        <v>151****1592</v>
      </c>
      <c r="C2891" s="1" t="s">
        <v>23</v>
      </c>
      <c r="D2891" s="1" t="str">
        <f t="shared" si="290"/>
        <v>89177328</v>
      </c>
      <c r="E2891" s="1" t="s">
        <v>24</v>
      </c>
      <c r="F2891" s="1" t="str">
        <f t="shared" si="291"/>
        <v>0010</v>
      </c>
      <c r="G2891" s="1" t="str">
        <f>""</f>
        <v/>
      </c>
      <c r="H2891" s="1" t="str">
        <f>"0018"</f>
        <v>0018</v>
      </c>
      <c r="I2891" s="1" t="s">
        <v>36</v>
      </c>
      <c r="J2891" s="1" t="str">
        <f>"01043989718"</f>
        <v>01043989718</v>
      </c>
      <c r="K2891" s="1" t="str">
        <f>"2017-03-17 13:16:52"</f>
        <v>2017-03-17 13:16:52</v>
      </c>
      <c r="L2891" s="1" t="str">
        <f>"2017-03-17 13:16:56"</f>
        <v>2017-03-17 13:16:56</v>
      </c>
      <c r="M2891" s="2">
        <v>7.407407407407407E-4</v>
      </c>
      <c r="N2891" s="1" t="s">
        <v>26</v>
      </c>
      <c r="O2891" s="1" t="s">
        <v>34</v>
      </c>
      <c r="P2891" s="2">
        <v>7.8703703703703705E-4</v>
      </c>
      <c r="Q2891" s="1" t="s">
        <v>2088</v>
      </c>
      <c r="R2891" s="1">
        <v>0</v>
      </c>
      <c r="S2891" s="1" t="str">
        <f>""</f>
        <v/>
      </c>
      <c r="T2891" s="1" t="s">
        <v>29</v>
      </c>
      <c r="U2891" s="1" t="s">
        <v>30</v>
      </c>
      <c r="V2891" s="1">
        <v>0</v>
      </c>
    </row>
    <row r="2892" spans="2:22" x14ac:dyDescent="0.15">
      <c r="B2892" s="1" t="str">
        <f>"010****0522"</f>
        <v>010****0522</v>
      </c>
      <c r="C2892" s="1" t="s">
        <v>23</v>
      </c>
      <c r="D2892" s="1" t="str">
        <f t="shared" si="290"/>
        <v>89177328</v>
      </c>
      <c r="E2892" s="1" t="s">
        <v>24</v>
      </c>
      <c r="F2892" s="1" t="str">
        <f t="shared" si="291"/>
        <v>0010</v>
      </c>
      <c r="G2892" s="1" t="str">
        <f>""</f>
        <v/>
      </c>
      <c r="H2892" s="1" t="str">
        <f>"0031"</f>
        <v>0031</v>
      </c>
      <c r="I2892" s="1" t="s">
        <v>95</v>
      </c>
      <c r="J2892" s="1" t="str">
        <f>"01043977565"</f>
        <v>01043977565</v>
      </c>
      <c r="K2892" s="1" t="str">
        <f>"2017-03-17 13:11:03"</f>
        <v>2017-03-17 13:11:03</v>
      </c>
      <c r="L2892" s="1" t="str">
        <f>"2017-03-17 13:11:09"</f>
        <v>2017-03-17 13:11:09</v>
      </c>
      <c r="M2892" s="2">
        <v>2.5613425925925925E-2</v>
      </c>
      <c r="N2892" s="1" t="s">
        <v>26</v>
      </c>
      <c r="O2892" s="1" t="s">
        <v>34</v>
      </c>
      <c r="P2892" s="2">
        <v>2.568287037037037E-2</v>
      </c>
      <c r="Q2892" s="1" t="s">
        <v>2089</v>
      </c>
      <c r="R2892" s="1">
        <v>0</v>
      </c>
      <c r="S2892" s="1" t="str">
        <f>""</f>
        <v/>
      </c>
      <c r="T2892" s="1" t="s">
        <v>29</v>
      </c>
      <c r="U2892" s="1" t="s">
        <v>30</v>
      </c>
      <c r="V2892" s="1">
        <v>0</v>
      </c>
    </row>
    <row r="2893" spans="2:22" x14ac:dyDescent="0.15">
      <c r="B2893" s="1" t="str">
        <f>"188****3442"</f>
        <v>188****3442</v>
      </c>
      <c r="C2893" s="1" t="s">
        <v>23</v>
      </c>
      <c r="D2893" s="1" t="str">
        <f t="shared" si="290"/>
        <v>89177328</v>
      </c>
      <c r="E2893" s="1" t="s">
        <v>24</v>
      </c>
      <c r="F2893" s="1" t="str">
        <f t="shared" si="291"/>
        <v>0010</v>
      </c>
      <c r="G2893" s="1" t="str">
        <f>""</f>
        <v/>
      </c>
      <c r="H2893" s="1" t="str">
        <f>"0034"</f>
        <v>0034</v>
      </c>
      <c r="I2893" s="1" t="s">
        <v>31</v>
      </c>
      <c r="J2893" s="1" t="str">
        <f>"01043977568"</f>
        <v>01043977568</v>
      </c>
      <c r="K2893" s="1" t="str">
        <f>"2017-03-17 13:07:05"</f>
        <v>2017-03-17 13:07:05</v>
      </c>
      <c r="L2893" s="1" t="str">
        <f>"2017-03-17 13:07:14"</f>
        <v>2017-03-17 13:07:14</v>
      </c>
      <c r="M2893" s="2">
        <v>6.5277777777777782E-3</v>
      </c>
      <c r="N2893" s="1" t="s">
        <v>26</v>
      </c>
      <c r="O2893" s="1" t="s">
        <v>27</v>
      </c>
      <c r="P2893" s="2">
        <v>6.6319444444444446E-3</v>
      </c>
      <c r="Q2893" s="1" t="s">
        <v>2090</v>
      </c>
      <c r="R2893" s="1">
        <v>0</v>
      </c>
      <c r="S2893" s="1" t="str">
        <f>""</f>
        <v/>
      </c>
      <c r="T2893" s="1" t="s">
        <v>29</v>
      </c>
      <c r="U2893" s="1" t="s">
        <v>30</v>
      </c>
      <c r="V2893" s="1">
        <v>0</v>
      </c>
    </row>
    <row r="2894" spans="2:22" x14ac:dyDescent="0.15">
      <c r="B2894" s="1" t="str">
        <f>"010****5807"</f>
        <v>010****5807</v>
      </c>
      <c r="C2894" s="1" t="s">
        <v>23</v>
      </c>
      <c r="D2894" s="1" t="str">
        <f t="shared" si="290"/>
        <v>89177328</v>
      </c>
      <c r="E2894" s="1" t="s">
        <v>24</v>
      </c>
      <c r="F2894" s="1" t="str">
        <f t="shared" si="291"/>
        <v>0010</v>
      </c>
      <c r="G2894" s="1" t="str">
        <f>""</f>
        <v/>
      </c>
      <c r="H2894" s="1" t="str">
        <f>"0034"</f>
        <v>0034</v>
      </c>
      <c r="I2894" s="1" t="s">
        <v>31</v>
      </c>
      <c r="J2894" s="1" t="str">
        <f>"01043977568"</f>
        <v>01043977568</v>
      </c>
      <c r="K2894" s="1" t="str">
        <f>"2017-03-17 12:45:32"</f>
        <v>2017-03-17 12:45:32</v>
      </c>
      <c r="L2894" s="1" t="str">
        <f>"2017-03-17 12:45:39"</f>
        <v>2017-03-17 12:45:39</v>
      </c>
      <c r="M2894" s="2">
        <v>1.2731481481481483E-3</v>
      </c>
      <c r="N2894" s="1" t="s">
        <v>26</v>
      </c>
      <c r="O2894" s="1" t="s">
        <v>27</v>
      </c>
      <c r="P2894" s="2">
        <v>1.3541666666666667E-3</v>
      </c>
      <c r="Q2894" s="1" t="s">
        <v>2091</v>
      </c>
      <c r="R2894" s="1">
        <v>0</v>
      </c>
      <c r="S2894" s="1" t="str">
        <f>""</f>
        <v/>
      </c>
      <c r="T2894" s="1" t="s">
        <v>29</v>
      </c>
      <c r="U2894" s="1" t="s">
        <v>30</v>
      </c>
      <c r="V2894" s="1">
        <v>0</v>
      </c>
    </row>
    <row r="2895" spans="2:22" x14ac:dyDescent="0.15">
      <c r="B2895" s="1" t="str">
        <f>"188****0542"</f>
        <v>188****0542</v>
      </c>
      <c r="C2895" s="1" t="s">
        <v>23</v>
      </c>
      <c r="D2895" s="1" t="str">
        <f t="shared" si="290"/>
        <v>89177328</v>
      </c>
      <c r="E2895" s="1" t="s">
        <v>24</v>
      </c>
      <c r="F2895" s="1" t="str">
        <f t="shared" si="291"/>
        <v>0010</v>
      </c>
      <c r="G2895" s="1" t="str">
        <f>""</f>
        <v/>
      </c>
      <c r="H2895" s="1" t="str">
        <f>"0033"</f>
        <v>0033</v>
      </c>
      <c r="I2895" s="1" t="s">
        <v>106</v>
      </c>
      <c r="J2895" s="1" t="str">
        <f>"01043977567"</f>
        <v>01043977567</v>
      </c>
      <c r="K2895" s="1" t="str">
        <f>"2017-03-17 12:27:29"</f>
        <v>2017-03-17 12:27:29</v>
      </c>
      <c r="L2895" s="1" t="str">
        <f>"2017-03-17 12:27:33"</f>
        <v>2017-03-17 12:27:33</v>
      </c>
      <c r="M2895" s="2">
        <v>9.7222222222222224E-3</v>
      </c>
      <c r="N2895" s="1" t="s">
        <v>26</v>
      </c>
      <c r="O2895" s="1" t="s">
        <v>27</v>
      </c>
      <c r="P2895" s="2">
        <v>9.7685185185185184E-3</v>
      </c>
      <c r="Q2895" s="1" t="s">
        <v>2092</v>
      </c>
      <c r="R2895" s="1">
        <v>0</v>
      </c>
      <c r="S2895" s="1" t="str">
        <f>""</f>
        <v/>
      </c>
      <c r="T2895" s="1" t="s">
        <v>29</v>
      </c>
      <c r="U2895" s="1" t="s">
        <v>30</v>
      </c>
      <c r="V2895" s="1">
        <v>0</v>
      </c>
    </row>
    <row r="2896" spans="2:22" x14ac:dyDescent="0.15">
      <c r="B2896" s="1" t="str">
        <f>"185****3377"</f>
        <v>185****3377</v>
      </c>
      <c r="C2896" s="1" t="s">
        <v>51</v>
      </c>
      <c r="D2896" s="1" t="str">
        <f t="shared" si="290"/>
        <v>89177328</v>
      </c>
      <c r="E2896" s="1" t="s">
        <v>24</v>
      </c>
      <c r="F2896" s="1" t="str">
        <f t="shared" si="291"/>
        <v>0010</v>
      </c>
      <c r="G2896" s="1" t="str">
        <f>""</f>
        <v/>
      </c>
      <c r="H2896" s="1" t="str">
        <f>"0033"</f>
        <v>0033</v>
      </c>
      <c r="I2896" s="1" t="s">
        <v>106</v>
      </c>
      <c r="J2896" s="1" t="str">
        <f>"01043977567"</f>
        <v>01043977567</v>
      </c>
      <c r="K2896" s="1" t="str">
        <f>"2017-03-17 12:24:11"</f>
        <v>2017-03-17 12:24:11</v>
      </c>
      <c r="L2896" s="1" t="str">
        <f>"-"</f>
        <v>-</v>
      </c>
      <c r="M2896" s="2">
        <v>0</v>
      </c>
      <c r="N2896" s="1" t="s">
        <v>33</v>
      </c>
      <c r="O2896" s="1" t="s">
        <v>34</v>
      </c>
      <c r="P2896" s="2">
        <v>2.3148148148148147E-5</v>
      </c>
      <c r="Q2896" s="1" t="str">
        <f>""</f>
        <v/>
      </c>
      <c r="R2896" s="1">
        <v>0</v>
      </c>
      <c r="S2896" s="1" t="str">
        <f>""</f>
        <v/>
      </c>
      <c r="T2896" s="1" t="s">
        <v>29</v>
      </c>
      <c r="U2896" s="1" t="s">
        <v>30</v>
      </c>
      <c r="V2896" s="1">
        <v>0</v>
      </c>
    </row>
    <row r="2897" spans="2:22" x14ac:dyDescent="0.15">
      <c r="B2897" s="1" t="str">
        <f>"135****5861"</f>
        <v>135****5861</v>
      </c>
      <c r="C2897" s="1" t="s">
        <v>23</v>
      </c>
      <c r="D2897" s="1" t="str">
        <f t="shared" si="290"/>
        <v>89177328</v>
      </c>
      <c r="E2897" s="1" t="s">
        <v>24</v>
      </c>
      <c r="F2897" s="1" t="str">
        <f t="shared" si="291"/>
        <v>0010</v>
      </c>
      <c r="G2897" s="1" t="str">
        <f>""</f>
        <v/>
      </c>
      <c r="H2897" s="1" t="str">
        <f>"0033"</f>
        <v>0033</v>
      </c>
      <c r="I2897" s="1" t="s">
        <v>106</v>
      </c>
      <c r="J2897" s="1" t="str">
        <f>"01043977567"</f>
        <v>01043977567</v>
      </c>
      <c r="K2897" s="1" t="str">
        <f>"2017-03-17 12:14:59"</f>
        <v>2017-03-17 12:14:59</v>
      </c>
      <c r="L2897" s="1" t="str">
        <f>"2017-03-17 12:15:04"</f>
        <v>2017-03-17 12:15:04</v>
      </c>
      <c r="M2897" s="2">
        <v>4.3749999999999995E-3</v>
      </c>
      <c r="N2897" s="1" t="s">
        <v>26</v>
      </c>
      <c r="O2897" s="1" t="s">
        <v>34</v>
      </c>
      <c r="P2897" s="2">
        <v>4.4328703703703709E-3</v>
      </c>
      <c r="Q2897" s="1" t="s">
        <v>2093</v>
      </c>
      <c r="R2897" s="1">
        <v>0</v>
      </c>
      <c r="S2897" s="1" t="str">
        <f>""</f>
        <v/>
      </c>
      <c r="T2897" s="1" t="s">
        <v>29</v>
      </c>
      <c r="U2897" s="1" t="s">
        <v>30</v>
      </c>
      <c r="V2897" s="1">
        <v>0</v>
      </c>
    </row>
    <row r="2898" spans="2:22" x14ac:dyDescent="0.15">
      <c r="B2898" s="1" t="str">
        <f>"158****5196"</f>
        <v>158****5196</v>
      </c>
      <c r="C2898" s="1" t="s">
        <v>23</v>
      </c>
      <c r="D2898" s="1" t="str">
        <f t="shared" si="290"/>
        <v>89177328</v>
      </c>
      <c r="E2898" s="1" t="s">
        <v>24</v>
      </c>
      <c r="F2898" s="1" t="str">
        <f t="shared" si="291"/>
        <v>0010</v>
      </c>
      <c r="G2898" s="1" t="str">
        <f>""</f>
        <v/>
      </c>
      <c r="H2898" s="1" t="str">
        <f>"0017"</f>
        <v>0017</v>
      </c>
      <c r="I2898" s="1" t="s">
        <v>135</v>
      </c>
      <c r="J2898" s="1" t="str">
        <f>"01043989717"</f>
        <v>01043989717</v>
      </c>
      <c r="K2898" s="1" t="str">
        <f>"2017-03-17 11:34:09"</f>
        <v>2017-03-17 11:34:09</v>
      </c>
      <c r="L2898" s="1" t="str">
        <f>"2017-03-17 11:34:17"</f>
        <v>2017-03-17 11:34:17</v>
      </c>
      <c r="M2898" s="2">
        <v>1.0879629629629629E-3</v>
      </c>
      <c r="N2898" s="1" t="s">
        <v>26</v>
      </c>
      <c r="O2898" s="1" t="s">
        <v>27</v>
      </c>
      <c r="P2898" s="2">
        <v>1.1805555555555556E-3</v>
      </c>
      <c r="Q2898" s="1" t="s">
        <v>2094</v>
      </c>
      <c r="R2898" s="1">
        <v>0</v>
      </c>
      <c r="S2898" s="1" t="str">
        <f>""</f>
        <v/>
      </c>
      <c r="T2898" s="1" t="s">
        <v>29</v>
      </c>
      <c r="U2898" s="1" t="s">
        <v>30</v>
      </c>
      <c r="V2898" s="1">
        <v>0</v>
      </c>
    </row>
    <row r="2899" spans="2:22" x14ac:dyDescent="0.15">
      <c r="B2899" s="1" t="str">
        <f>"186****5554"</f>
        <v>186****5554</v>
      </c>
      <c r="C2899" s="1" t="s">
        <v>118</v>
      </c>
      <c r="D2899" s="1" t="str">
        <f t="shared" si="290"/>
        <v>89177328</v>
      </c>
      <c r="E2899" s="1" t="s">
        <v>24</v>
      </c>
      <c r="F2899" s="1" t="str">
        <f t="shared" si="291"/>
        <v>0010</v>
      </c>
      <c r="G2899" s="1" t="str">
        <f>""</f>
        <v/>
      </c>
      <c r="H2899" s="1" t="str">
        <f>"0032"</f>
        <v>0032</v>
      </c>
      <c r="I2899" s="1" t="s">
        <v>119</v>
      </c>
      <c r="J2899" s="1" t="str">
        <f>"01043977566"</f>
        <v>01043977566</v>
      </c>
      <c r="K2899" s="1" t="str">
        <f>"2017-03-17 11:33:32"</f>
        <v>2017-03-17 11:33:32</v>
      </c>
      <c r="L2899" s="1" t="str">
        <f>"2017-03-17 11:33:41"</f>
        <v>2017-03-17 11:33:41</v>
      </c>
      <c r="M2899" s="2">
        <v>1.261574074074074E-3</v>
      </c>
      <c r="N2899" s="1" t="s">
        <v>26</v>
      </c>
      <c r="O2899" s="1" t="s">
        <v>34</v>
      </c>
      <c r="P2899" s="2">
        <v>1.3657407407407409E-3</v>
      </c>
      <c r="Q2899" s="1" t="s">
        <v>2095</v>
      </c>
      <c r="R2899" s="1">
        <v>0</v>
      </c>
      <c r="S2899" s="1" t="str">
        <f>""</f>
        <v/>
      </c>
      <c r="T2899" s="1" t="s">
        <v>29</v>
      </c>
      <c r="U2899" s="1" t="s">
        <v>30</v>
      </c>
      <c r="V2899" s="1">
        <v>0</v>
      </c>
    </row>
    <row r="2900" spans="2:22" x14ac:dyDescent="0.15">
      <c r="B2900" s="1" t="str">
        <f>"116114"</f>
        <v>116114</v>
      </c>
      <c r="C2900" s="1" t="s">
        <v>159</v>
      </c>
      <c r="D2900" s="1" t="str">
        <f t="shared" si="290"/>
        <v>89177328</v>
      </c>
      <c r="E2900" s="1" t="s">
        <v>24</v>
      </c>
      <c r="F2900" s="1" t="str">
        <f t="shared" si="291"/>
        <v>0010</v>
      </c>
      <c r="G2900" s="1" t="str">
        <f>""</f>
        <v/>
      </c>
      <c r="H2900" s="1" t="str">
        <f>"0035"</f>
        <v>0035</v>
      </c>
      <c r="I2900" s="1" t="s">
        <v>25</v>
      </c>
      <c r="J2900" s="1" t="str">
        <f>"01043977569"</f>
        <v>01043977569</v>
      </c>
      <c r="K2900" s="1" t="str">
        <f>"2017-03-17 11:31:35"</f>
        <v>2017-03-17 11:31:35</v>
      </c>
      <c r="L2900" s="1" t="str">
        <f>"2017-03-17 11:31:43"</f>
        <v>2017-03-17 11:31:43</v>
      </c>
      <c r="M2900" s="2">
        <v>9.7569444444444448E-3</v>
      </c>
      <c r="N2900" s="1" t="s">
        <v>26</v>
      </c>
      <c r="O2900" s="1" t="s">
        <v>34</v>
      </c>
      <c r="P2900" s="2">
        <v>9.8495370370370369E-3</v>
      </c>
      <c r="Q2900" s="1" t="s">
        <v>2096</v>
      </c>
      <c r="R2900" s="1">
        <v>0</v>
      </c>
      <c r="S2900" s="1" t="str">
        <f>""</f>
        <v/>
      </c>
      <c r="T2900" s="1" t="s">
        <v>29</v>
      </c>
      <c r="U2900" s="1" t="s">
        <v>30</v>
      </c>
      <c r="V2900" s="1">
        <v>0</v>
      </c>
    </row>
    <row r="2901" spans="2:22" x14ac:dyDescent="0.15">
      <c r="B2901" s="1" t="str">
        <f>"188****4867"</f>
        <v>188****4867</v>
      </c>
      <c r="C2901" s="1" t="s">
        <v>23</v>
      </c>
      <c r="D2901" s="1" t="str">
        <f t="shared" si="290"/>
        <v>89177328</v>
      </c>
      <c r="E2901" s="1" t="s">
        <v>24</v>
      </c>
      <c r="F2901" s="1" t="str">
        <f t="shared" si="291"/>
        <v>0010</v>
      </c>
      <c r="G2901" s="1" t="str">
        <f>""</f>
        <v/>
      </c>
      <c r="H2901" s="1" t="str">
        <f>"0031"</f>
        <v>0031</v>
      </c>
      <c r="I2901" s="1" t="s">
        <v>95</v>
      </c>
      <c r="J2901" s="1" t="str">
        <f>"01043977565"</f>
        <v>01043977565</v>
      </c>
      <c r="K2901" s="1" t="str">
        <f>"2017-03-17 11:30:05"</f>
        <v>2017-03-17 11:30:05</v>
      </c>
      <c r="L2901" s="1" t="str">
        <f>"2017-03-17 11:30:11"</f>
        <v>2017-03-17 11:30:11</v>
      </c>
      <c r="M2901" s="2">
        <v>5.5439814814814822E-3</v>
      </c>
      <c r="N2901" s="1" t="s">
        <v>26</v>
      </c>
      <c r="O2901" s="1" t="s">
        <v>34</v>
      </c>
      <c r="P2901" s="2">
        <v>5.6134259259259271E-3</v>
      </c>
      <c r="Q2901" s="1" t="s">
        <v>2097</v>
      </c>
      <c r="R2901" s="1">
        <v>0</v>
      </c>
      <c r="S2901" s="1" t="str">
        <f>""</f>
        <v/>
      </c>
      <c r="T2901" s="1" t="s">
        <v>29</v>
      </c>
      <c r="U2901" s="1" t="s">
        <v>30</v>
      </c>
      <c r="V2901" s="1">
        <v>0</v>
      </c>
    </row>
    <row r="2902" spans="2:22" x14ac:dyDescent="0.15">
      <c r="B2902" s="1" t="str">
        <f>"189****2412"</f>
        <v>189****2412</v>
      </c>
      <c r="C2902" s="1" t="s">
        <v>23</v>
      </c>
      <c r="D2902" s="1" t="str">
        <f t="shared" si="290"/>
        <v>89177328</v>
      </c>
      <c r="E2902" s="1" t="s">
        <v>24</v>
      </c>
      <c r="F2902" s="1" t="str">
        <f t="shared" si="291"/>
        <v>0010</v>
      </c>
      <c r="G2902" s="1" t="str">
        <f>""</f>
        <v/>
      </c>
      <c r="H2902" s="1" t="str">
        <f>"0033"</f>
        <v>0033</v>
      </c>
      <c r="I2902" s="1" t="s">
        <v>106</v>
      </c>
      <c r="J2902" s="1" t="str">
        <f>"01043977567"</f>
        <v>01043977567</v>
      </c>
      <c r="K2902" s="1" t="str">
        <f>"2017-03-17 11:27:23"</f>
        <v>2017-03-17 11:27:23</v>
      </c>
      <c r="L2902" s="1" t="str">
        <f>"2017-03-17 11:27:29"</f>
        <v>2017-03-17 11:27:29</v>
      </c>
      <c r="M2902" s="2">
        <v>1.0335648148148148E-2</v>
      </c>
      <c r="N2902" s="1" t="s">
        <v>26</v>
      </c>
      <c r="O2902" s="1" t="s">
        <v>27</v>
      </c>
      <c r="P2902" s="2">
        <v>1.0405092592592593E-2</v>
      </c>
      <c r="Q2902" s="1" t="s">
        <v>2098</v>
      </c>
      <c r="R2902" s="1">
        <v>0</v>
      </c>
      <c r="S2902" s="1" t="str">
        <f>""</f>
        <v/>
      </c>
      <c r="T2902" s="1" t="s">
        <v>29</v>
      </c>
      <c r="U2902" s="1" t="s">
        <v>30</v>
      </c>
      <c r="V2902" s="1">
        <v>0</v>
      </c>
    </row>
    <row r="2903" spans="2:22" x14ac:dyDescent="0.15">
      <c r="B2903" s="1" t="str">
        <f>"010****7535"</f>
        <v>010****7535</v>
      </c>
      <c r="C2903" s="1" t="s">
        <v>23</v>
      </c>
      <c r="D2903" s="1" t="str">
        <f t="shared" si="290"/>
        <v>89177328</v>
      </c>
      <c r="E2903" s="1" t="s">
        <v>24</v>
      </c>
      <c r="F2903" s="1" t="str">
        <f t="shared" si="291"/>
        <v>0010</v>
      </c>
      <c r="G2903" s="1" t="str">
        <f>""</f>
        <v/>
      </c>
      <c r="H2903" s="1" t="str">
        <f>"0035"</f>
        <v>0035</v>
      </c>
      <c r="I2903" s="1" t="s">
        <v>25</v>
      </c>
      <c r="J2903" s="1" t="str">
        <f>"01043977569"</f>
        <v>01043977569</v>
      </c>
      <c r="K2903" s="1" t="str">
        <f>"2017-03-17 10:56:04"</f>
        <v>2017-03-17 10:56:04</v>
      </c>
      <c r="L2903" s="1" t="str">
        <f>"2017-03-17 10:56:12"</f>
        <v>2017-03-17 10:56:12</v>
      </c>
      <c r="M2903" s="2">
        <v>6.828703703703704E-3</v>
      </c>
      <c r="N2903" s="1" t="s">
        <v>26</v>
      </c>
      <c r="O2903" s="1" t="s">
        <v>34</v>
      </c>
      <c r="P2903" s="2">
        <v>6.9212962962962969E-3</v>
      </c>
      <c r="Q2903" s="1" t="s">
        <v>2099</v>
      </c>
      <c r="R2903" s="1">
        <v>0</v>
      </c>
      <c r="S2903" s="1" t="str">
        <f>""</f>
        <v/>
      </c>
      <c r="T2903" s="1" t="s">
        <v>29</v>
      </c>
      <c r="U2903" s="1" t="s">
        <v>30</v>
      </c>
      <c r="V2903" s="1">
        <v>0</v>
      </c>
    </row>
    <row r="2904" spans="2:22" x14ac:dyDescent="0.15">
      <c r="B2904" s="1" t="str">
        <f>"045****0378"</f>
        <v>045****0378</v>
      </c>
      <c r="C2904" s="1" t="s">
        <v>1263</v>
      </c>
      <c r="D2904" s="1" t="str">
        <f t="shared" si="290"/>
        <v>89177328</v>
      </c>
      <c r="E2904" s="1" t="s">
        <v>24</v>
      </c>
      <c r="F2904" s="1" t="str">
        <f t="shared" si="291"/>
        <v>0010</v>
      </c>
      <c r="G2904" s="1" t="str">
        <f>""</f>
        <v/>
      </c>
      <c r="H2904" s="1" t="str">
        <f>"0035"</f>
        <v>0035</v>
      </c>
      <c r="I2904" s="1" t="s">
        <v>25</v>
      </c>
      <c r="J2904" s="1" t="str">
        <f>"01043977569"</f>
        <v>01043977569</v>
      </c>
      <c r="K2904" s="1" t="str">
        <f>"2017-03-17 10:52:58"</f>
        <v>2017-03-17 10:52:58</v>
      </c>
      <c r="L2904" s="1" t="str">
        <f>"2017-03-17 10:53:05"</f>
        <v>2017-03-17 10:53:05</v>
      </c>
      <c r="M2904" s="2">
        <v>1.7708333333333332E-3</v>
      </c>
      <c r="N2904" s="1" t="s">
        <v>26</v>
      </c>
      <c r="O2904" s="1" t="s">
        <v>34</v>
      </c>
      <c r="P2904" s="2">
        <v>1.8518518518518517E-3</v>
      </c>
      <c r="Q2904" s="1" t="s">
        <v>2100</v>
      </c>
      <c r="R2904" s="1">
        <v>0</v>
      </c>
      <c r="S2904" s="1" t="str">
        <f>""</f>
        <v/>
      </c>
      <c r="T2904" s="1" t="s">
        <v>29</v>
      </c>
      <c r="U2904" s="1" t="s">
        <v>30</v>
      </c>
      <c r="V2904" s="1">
        <v>0</v>
      </c>
    </row>
    <row r="2905" spans="2:22" x14ac:dyDescent="0.15">
      <c r="B2905" s="1" t="str">
        <f>"139****5922"</f>
        <v>139****5922</v>
      </c>
      <c r="C2905" s="1" t="s">
        <v>102</v>
      </c>
      <c r="D2905" s="1" t="str">
        <f t="shared" si="290"/>
        <v>89177328</v>
      </c>
      <c r="E2905" s="1" t="s">
        <v>24</v>
      </c>
      <c r="F2905" s="1" t="str">
        <f t="shared" si="291"/>
        <v>0010</v>
      </c>
      <c r="G2905" s="1" t="str">
        <f>""</f>
        <v/>
      </c>
      <c r="H2905" s="1" t="str">
        <f>"0018"</f>
        <v>0018</v>
      </c>
      <c r="I2905" s="1" t="s">
        <v>36</v>
      </c>
      <c r="J2905" s="1" t="str">
        <f>"01043989718"</f>
        <v>01043989718</v>
      </c>
      <c r="K2905" s="1" t="str">
        <f>"2017-03-17 10:50:45"</f>
        <v>2017-03-17 10:50:45</v>
      </c>
      <c r="L2905" s="1" t="str">
        <f>"2017-03-17 10:50:50"</f>
        <v>2017-03-17 10:50:50</v>
      </c>
      <c r="M2905" s="2">
        <v>6.1574074074074074E-3</v>
      </c>
      <c r="N2905" s="1" t="s">
        <v>26</v>
      </c>
      <c r="O2905" s="1" t="s">
        <v>34</v>
      </c>
      <c r="P2905" s="2">
        <v>6.215277777777777E-3</v>
      </c>
      <c r="Q2905" s="1" t="s">
        <v>2101</v>
      </c>
      <c r="R2905" s="1">
        <v>0</v>
      </c>
      <c r="S2905" s="1" t="str">
        <f>""</f>
        <v/>
      </c>
      <c r="T2905" s="1" t="s">
        <v>29</v>
      </c>
      <c r="U2905" s="1" t="s">
        <v>30</v>
      </c>
      <c r="V2905" s="1">
        <v>0</v>
      </c>
    </row>
    <row r="2906" spans="2:22" x14ac:dyDescent="0.15">
      <c r="B2906" s="1" t="str">
        <f>"133****7386"</f>
        <v>133****7386</v>
      </c>
      <c r="C2906" s="1" t="s">
        <v>38</v>
      </c>
      <c r="D2906" s="1" t="str">
        <f t="shared" si="290"/>
        <v>89177328</v>
      </c>
      <c r="E2906" s="1" t="s">
        <v>24</v>
      </c>
      <c r="F2906" s="1" t="str">
        <f t="shared" si="291"/>
        <v>0010</v>
      </c>
      <c r="G2906" s="1" t="str">
        <f>""</f>
        <v/>
      </c>
      <c r="H2906" s="1" t="str">
        <f>"0034"</f>
        <v>0034</v>
      </c>
      <c r="I2906" s="1" t="s">
        <v>31</v>
      </c>
      <c r="J2906" s="1" t="str">
        <f>"01043977568"</f>
        <v>01043977568</v>
      </c>
      <c r="K2906" s="1" t="str">
        <f>"2017-03-17 10:45:27"</f>
        <v>2017-03-17 10:45:27</v>
      </c>
      <c r="L2906" s="1" t="str">
        <f>"2017-03-17 10:45:34"</f>
        <v>2017-03-17 10:45:34</v>
      </c>
      <c r="M2906" s="2">
        <v>8.5416666666666679E-3</v>
      </c>
      <c r="N2906" s="1" t="s">
        <v>26</v>
      </c>
      <c r="O2906" s="1" t="s">
        <v>34</v>
      </c>
      <c r="P2906" s="2">
        <v>8.6226851851851846E-3</v>
      </c>
      <c r="Q2906" s="1" t="s">
        <v>2102</v>
      </c>
      <c r="R2906" s="1">
        <v>0</v>
      </c>
      <c r="S2906" s="1" t="str">
        <f>""</f>
        <v/>
      </c>
      <c r="T2906" s="1" t="s">
        <v>29</v>
      </c>
      <c r="U2906" s="1" t="s">
        <v>30</v>
      </c>
      <c r="V2906" s="1">
        <v>0</v>
      </c>
    </row>
    <row r="2907" spans="2:22" x14ac:dyDescent="0.15">
      <c r="B2907" s="1" t="str">
        <f>"188****8863"</f>
        <v>188****8863</v>
      </c>
      <c r="C2907" s="1" t="s">
        <v>23</v>
      </c>
      <c r="D2907" s="1" t="str">
        <f t="shared" si="290"/>
        <v>89177328</v>
      </c>
      <c r="E2907" s="1" t="s">
        <v>24</v>
      </c>
      <c r="F2907" s="1" t="str">
        <f t="shared" si="291"/>
        <v>0010</v>
      </c>
      <c r="G2907" s="1" t="str">
        <f>""</f>
        <v/>
      </c>
      <c r="H2907" s="1" t="str">
        <f>"0033"</f>
        <v>0033</v>
      </c>
      <c r="I2907" s="1" t="s">
        <v>106</v>
      </c>
      <c r="J2907" s="1" t="str">
        <f>"01043977567"</f>
        <v>01043977567</v>
      </c>
      <c r="K2907" s="1" t="str">
        <f>"2017-03-17 10:29:19"</f>
        <v>2017-03-17 10:29:19</v>
      </c>
      <c r="L2907" s="1" t="str">
        <f>"-"</f>
        <v>-</v>
      </c>
      <c r="M2907" s="2">
        <v>0</v>
      </c>
      <c r="N2907" s="1" t="s">
        <v>33</v>
      </c>
      <c r="O2907" s="1" t="s">
        <v>34</v>
      </c>
      <c r="P2907" s="2">
        <v>2.3148148148148147E-5</v>
      </c>
      <c r="Q2907" s="1" t="str">
        <f>""</f>
        <v/>
      </c>
      <c r="R2907" s="1">
        <v>0</v>
      </c>
      <c r="S2907" s="1" t="str">
        <f>""</f>
        <v/>
      </c>
      <c r="T2907" s="1" t="s">
        <v>29</v>
      </c>
      <c r="U2907" s="1" t="s">
        <v>30</v>
      </c>
      <c r="V2907" s="1">
        <v>0</v>
      </c>
    </row>
    <row r="2908" spans="2:22" x14ac:dyDescent="0.15">
      <c r="B2908" s="1" t="str">
        <f>"156****8440"</f>
        <v>156****8440</v>
      </c>
      <c r="C2908" s="1" t="s">
        <v>379</v>
      </c>
      <c r="D2908" s="1" t="str">
        <f t="shared" si="290"/>
        <v>89177328</v>
      </c>
      <c r="E2908" s="1" t="s">
        <v>24</v>
      </c>
      <c r="F2908" s="1" t="str">
        <f t="shared" si="291"/>
        <v>0010</v>
      </c>
      <c r="G2908" s="1" t="str">
        <f>""</f>
        <v/>
      </c>
      <c r="H2908" s="1" t="str">
        <f>"0035"</f>
        <v>0035</v>
      </c>
      <c r="I2908" s="1" t="s">
        <v>25</v>
      </c>
      <c r="J2908" s="1" t="str">
        <f>"01043977569"</f>
        <v>01043977569</v>
      </c>
      <c r="K2908" s="1" t="str">
        <f>"2017-03-17 10:28:04"</f>
        <v>2017-03-17 10:28:04</v>
      </c>
      <c r="L2908" s="1" t="str">
        <f>"2017-03-17 10:28:13"</f>
        <v>2017-03-17 10:28:13</v>
      </c>
      <c r="M2908" s="2">
        <v>5.1967592592592595E-3</v>
      </c>
      <c r="N2908" s="1" t="s">
        <v>26</v>
      </c>
      <c r="O2908" s="1" t="s">
        <v>27</v>
      </c>
      <c r="P2908" s="2">
        <v>5.3009259259259251E-3</v>
      </c>
      <c r="Q2908" s="1" t="s">
        <v>2103</v>
      </c>
      <c r="R2908" s="1">
        <v>0</v>
      </c>
      <c r="S2908" s="1" t="str">
        <f>""</f>
        <v/>
      </c>
      <c r="T2908" s="1" t="s">
        <v>29</v>
      </c>
      <c r="U2908" s="1" t="s">
        <v>30</v>
      </c>
      <c r="V2908" s="1">
        <v>0</v>
      </c>
    </row>
    <row r="2909" spans="2:22" x14ac:dyDescent="0.15">
      <c r="B2909" s="1" t="str">
        <f>"133****7386"</f>
        <v>133****7386</v>
      </c>
      <c r="C2909" s="1" t="s">
        <v>38</v>
      </c>
      <c r="D2909" s="1" t="str">
        <f t="shared" si="290"/>
        <v>89177328</v>
      </c>
      <c r="E2909" s="1" t="s">
        <v>24</v>
      </c>
      <c r="F2909" s="1" t="str">
        <f t="shared" si="291"/>
        <v>0010</v>
      </c>
      <c r="G2909" s="1" t="str">
        <f>""</f>
        <v/>
      </c>
      <c r="H2909" s="1" t="str">
        <f>"0017"</f>
        <v>0017</v>
      </c>
      <c r="I2909" s="1" t="s">
        <v>135</v>
      </c>
      <c r="J2909" s="1" t="str">
        <f>"01043989717"</f>
        <v>01043989717</v>
      </c>
      <c r="K2909" s="1" t="str">
        <f>"2017-03-17 10:26:15"</f>
        <v>2017-03-17 10:26:15</v>
      </c>
      <c r="L2909" s="1" t="str">
        <f>"2017-03-17 10:26:20"</f>
        <v>2017-03-17 10:26:20</v>
      </c>
      <c r="M2909" s="2">
        <v>7.9282407407407409E-3</v>
      </c>
      <c r="N2909" s="1" t="s">
        <v>26</v>
      </c>
      <c r="O2909" s="1" t="s">
        <v>34</v>
      </c>
      <c r="P2909" s="2">
        <v>7.9861111111111122E-3</v>
      </c>
      <c r="Q2909" s="1" t="s">
        <v>2104</v>
      </c>
      <c r="R2909" s="1">
        <v>0</v>
      </c>
      <c r="S2909" s="1" t="str">
        <f>""</f>
        <v/>
      </c>
      <c r="T2909" s="1" t="s">
        <v>29</v>
      </c>
      <c r="U2909" s="1" t="s">
        <v>30</v>
      </c>
      <c r="V2909" s="1">
        <v>0</v>
      </c>
    </row>
    <row r="2910" spans="2:22" x14ac:dyDescent="0.15">
      <c r="B2910" s="1" t="str">
        <f>"031****1517"</f>
        <v>031****1517</v>
      </c>
      <c r="C2910" s="1" t="s">
        <v>99</v>
      </c>
      <c r="D2910" s="1" t="str">
        <f t="shared" si="290"/>
        <v>89177328</v>
      </c>
      <c r="E2910" s="1" t="s">
        <v>24</v>
      </c>
      <c r="F2910" s="1" t="str">
        <f t="shared" si="291"/>
        <v>0010</v>
      </c>
      <c r="G2910" s="1" t="str">
        <f>""</f>
        <v/>
      </c>
      <c r="H2910" s="1" t="str">
        <f>"0034"</f>
        <v>0034</v>
      </c>
      <c r="I2910" s="1" t="s">
        <v>31</v>
      </c>
      <c r="J2910" s="1" t="str">
        <f>"01043977568"</f>
        <v>01043977568</v>
      </c>
      <c r="K2910" s="1" t="str">
        <f>"2017-03-17 10:22:57"</f>
        <v>2017-03-17 10:22:57</v>
      </c>
      <c r="L2910" s="1" t="str">
        <f>"2017-03-17 10:23:07"</f>
        <v>2017-03-17 10:23:07</v>
      </c>
      <c r="M2910" s="2">
        <v>3.37962962962963E-3</v>
      </c>
      <c r="N2910" s="1" t="s">
        <v>26</v>
      </c>
      <c r="O2910" s="1" t="s">
        <v>34</v>
      </c>
      <c r="P2910" s="2">
        <v>3.4953703703703705E-3</v>
      </c>
      <c r="Q2910" s="1" t="s">
        <v>2105</v>
      </c>
      <c r="R2910" s="1">
        <v>0</v>
      </c>
      <c r="S2910" s="1" t="str">
        <f>""</f>
        <v/>
      </c>
      <c r="T2910" s="1" t="s">
        <v>29</v>
      </c>
      <c r="U2910" s="1" t="s">
        <v>30</v>
      </c>
      <c r="V2910" s="1">
        <v>0</v>
      </c>
    </row>
    <row r="2911" spans="2:22" x14ac:dyDescent="0.15">
      <c r="B2911" s="1" t="str">
        <f>"136****6329"</f>
        <v>136****6329</v>
      </c>
      <c r="C2911" s="1" t="s">
        <v>594</v>
      </c>
      <c r="D2911" s="1" t="str">
        <f t="shared" si="290"/>
        <v>89177328</v>
      </c>
      <c r="E2911" s="1" t="s">
        <v>24</v>
      </c>
      <c r="F2911" s="1" t="str">
        <f t="shared" si="291"/>
        <v>0010</v>
      </c>
      <c r="G2911" s="1" t="str">
        <f>""</f>
        <v/>
      </c>
      <c r="H2911" s="1" t="str">
        <f>"0034"</f>
        <v>0034</v>
      </c>
      <c r="I2911" s="1" t="s">
        <v>31</v>
      </c>
      <c r="J2911" s="1" t="str">
        <f>"01043977568"</f>
        <v>01043977568</v>
      </c>
      <c r="K2911" s="1" t="str">
        <f>"2017-03-17 10:12:15"</f>
        <v>2017-03-17 10:12:15</v>
      </c>
      <c r="L2911" s="1" t="str">
        <f>"2017-03-17 10:12:22"</f>
        <v>2017-03-17 10:12:22</v>
      </c>
      <c r="M2911" s="2">
        <v>3.3217592592592591E-3</v>
      </c>
      <c r="N2911" s="1" t="s">
        <v>26</v>
      </c>
      <c r="O2911" s="1" t="s">
        <v>34</v>
      </c>
      <c r="P2911" s="2">
        <v>3.4027777777777784E-3</v>
      </c>
      <c r="Q2911" s="1" t="s">
        <v>2106</v>
      </c>
      <c r="R2911" s="1">
        <v>0</v>
      </c>
      <c r="S2911" s="1" t="str">
        <f>""</f>
        <v/>
      </c>
      <c r="T2911" s="1" t="s">
        <v>29</v>
      </c>
      <c r="U2911" s="1" t="s">
        <v>30</v>
      </c>
      <c r="V2911" s="1">
        <v>0</v>
      </c>
    </row>
    <row r="2912" spans="2:22" x14ac:dyDescent="0.15">
      <c r="B2912" s="1" t="str">
        <f>"186****9376"</f>
        <v>186****9376</v>
      </c>
      <c r="C2912" s="1" t="s">
        <v>23</v>
      </c>
      <c r="D2912" s="1" t="str">
        <f t="shared" si="290"/>
        <v>89177328</v>
      </c>
      <c r="E2912" s="1" t="s">
        <v>24</v>
      </c>
      <c r="F2912" s="1" t="str">
        <f t="shared" si="291"/>
        <v>0010</v>
      </c>
      <c r="G2912" s="1" t="str">
        <f>""</f>
        <v/>
      </c>
      <c r="H2912" s="1" t="str">
        <f>"0033"</f>
        <v>0033</v>
      </c>
      <c r="I2912" s="1" t="s">
        <v>106</v>
      </c>
      <c r="J2912" s="1" t="str">
        <f>"01043977567"</f>
        <v>01043977567</v>
      </c>
      <c r="K2912" s="1" t="str">
        <f>"2017-03-17 10:03:43"</f>
        <v>2017-03-17 10:03:43</v>
      </c>
      <c r="L2912" s="1" t="str">
        <f>"2017-03-17 10:03:49"</f>
        <v>2017-03-17 10:03:49</v>
      </c>
      <c r="M2912" s="2">
        <v>2.8587962962962963E-3</v>
      </c>
      <c r="N2912" s="1" t="s">
        <v>26</v>
      </c>
      <c r="O2912" s="1" t="s">
        <v>27</v>
      </c>
      <c r="P2912" s="2">
        <v>2.9282407407407412E-3</v>
      </c>
      <c r="Q2912" s="1" t="s">
        <v>2107</v>
      </c>
      <c r="R2912" s="1">
        <v>0</v>
      </c>
      <c r="S2912" s="1" t="str">
        <f>""</f>
        <v/>
      </c>
      <c r="T2912" s="1" t="s">
        <v>29</v>
      </c>
      <c r="U2912" s="1" t="s">
        <v>30</v>
      </c>
      <c r="V2912" s="1">
        <v>0</v>
      </c>
    </row>
    <row r="2913" spans="2:22" x14ac:dyDescent="0.15">
      <c r="B2913" s="1" t="str">
        <f>"137****0728"</f>
        <v>137****0728</v>
      </c>
      <c r="C2913" s="1" t="s">
        <v>137</v>
      </c>
      <c r="D2913" s="1" t="str">
        <f t="shared" si="290"/>
        <v>89177328</v>
      </c>
      <c r="E2913" s="1" t="s">
        <v>24</v>
      </c>
      <c r="F2913" s="1" t="str">
        <f t="shared" si="291"/>
        <v>0010</v>
      </c>
      <c r="G2913" s="1" t="str">
        <f>""</f>
        <v/>
      </c>
      <c r="H2913" s="1" t="str">
        <f>"0031"</f>
        <v>0031</v>
      </c>
      <c r="I2913" s="1" t="s">
        <v>95</v>
      </c>
      <c r="J2913" s="1" t="str">
        <f>"01043977565"</f>
        <v>01043977565</v>
      </c>
      <c r="K2913" s="1" t="str">
        <f>"2017-03-17 09:58:53"</f>
        <v>2017-03-17 09:58:53</v>
      </c>
      <c r="L2913" s="1" t="str">
        <f>"2017-03-17 09:58:57"</f>
        <v>2017-03-17 09:58:57</v>
      </c>
      <c r="M2913" s="2">
        <v>2.3148148148148147E-5</v>
      </c>
      <c r="N2913" s="1" t="s">
        <v>26</v>
      </c>
      <c r="O2913" s="1" t="s">
        <v>34</v>
      </c>
      <c r="P2913" s="2">
        <v>6.9444444444444444E-5</v>
      </c>
      <c r="Q2913" s="1" t="str">
        <f>""</f>
        <v/>
      </c>
      <c r="R2913" s="1">
        <v>0</v>
      </c>
      <c r="S2913" s="1" t="str">
        <f>""</f>
        <v/>
      </c>
      <c r="T2913" s="1" t="s">
        <v>29</v>
      </c>
      <c r="U2913" s="1" t="s">
        <v>30</v>
      </c>
      <c r="V2913" s="1">
        <v>0</v>
      </c>
    </row>
    <row r="2914" spans="2:22" x14ac:dyDescent="0.15">
      <c r="B2914" s="1" t="str">
        <f>"135****2293"</f>
        <v>135****2293</v>
      </c>
      <c r="C2914" s="1" t="s">
        <v>23</v>
      </c>
      <c r="D2914" s="1" t="str">
        <f t="shared" si="290"/>
        <v>89177328</v>
      </c>
      <c r="E2914" s="1" t="s">
        <v>24</v>
      </c>
      <c r="F2914" s="1" t="str">
        <f t="shared" si="291"/>
        <v>0010</v>
      </c>
      <c r="G2914" s="1" t="str">
        <f>""</f>
        <v/>
      </c>
      <c r="H2914" s="1" t="str">
        <f>"0034"</f>
        <v>0034</v>
      </c>
      <c r="I2914" s="1" t="s">
        <v>31</v>
      </c>
      <c r="J2914" s="1" t="str">
        <f>"01043977568"</f>
        <v>01043977568</v>
      </c>
      <c r="K2914" s="1" t="str">
        <f>"2017-03-17 09:53:19"</f>
        <v>2017-03-17 09:53:19</v>
      </c>
      <c r="L2914" s="1" t="str">
        <f>"2017-03-17 09:53:26"</f>
        <v>2017-03-17 09:53:26</v>
      </c>
      <c r="M2914" s="2">
        <v>7.3148148148148148E-3</v>
      </c>
      <c r="N2914" s="1" t="s">
        <v>26</v>
      </c>
      <c r="O2914" s="1" t="s">
        <v>27</v>
      </c>
      <c r="P2914" s="2">
        <v>7.3958333333333341E-3</v>
      </c>
      <c r="Q2914" s="1" t="s">
        <v>2108</v>
      </c>
      <c r="R2914" s="1">
        <v>0</v>
      </c>
      <c r="S2914" s="1" t="str">
        <f>""</f>
        <v/>
      </c>
      <c r="T2914" s="1" t="s">
        <v>29</v>
      </c>
      <c r="U2914" s="1" t="s">
        <v>30</v>
      </c>
      <c r="V2914" s="1">
        <v>0</v>
      </c>
    </row>
    <row r="2915" spans="2:22" x14ac:dyDescent="0.15">
      <c r="B2915" s="1" t="str">
        <f>"136****0621"</f>
        <v>136****0621</v>
      </c>
      <c r="C2915" s="1" t="s">
        <v>23</v>
      </c>
      <c r="D2915" s="1" t="str">
        <f t="shared" si="290"/>
        <v>89177328</v>
      </c>
      <c r="E2915" s="1" t="s">
        <v>24</v>
      </c>
      <c r="F2915" s="1" t="str">
        <f t="shared" si="291"/>
        <v>0010</v>
      </c>
      <c r="G2915" s="1" t="str">
        <f>""</f>
        <v/>
      </c>
      <c r="H2915" s="1" t="str">
        <f>"0033"</f>
        <v>0033</v>
      </c>
      <c r="I2915" s="1" t="s">
        <v>106</v>
      </c>
      <c r="J2915" s="1" t="str">
        <f>"01043977567"</f>
        <v>01043977567</v>
      </c>
      <c r="K2915" s="1" t="str">
        <f>"2017-03-17 09:52:12"</f>
        <v>2017-03-17 09:52:12</v>
      </c>
      <c r="L2915" s="1" t="str">
        <f>"2017-03-17 09:52:18"</f>
        <v>2017-03-17 09:52:18</v>
      </c>
      <c r="M2915" s="2">
        <v>5.6481481481481478E-3</v>
      </c>
      <c r="N2915" s="1" t="s">
        <v>26</v>
      </c>
      <c r="O2915" s="1" t="s">
        <v>34</v>
      </c>
      <c r="P2915" s="2">
        <v>5.7175925925925927E-3</v>
      </c>
      <c r="Q2915" s="1" t="s">
        <v>2109</v>
      </c>
      <c r="R2915" s="1">
        <v>0</v>
      </c>
      <c r="S2915" s="1" t="str">
        <f>""</f>
        <v/>
      </c>
      <c r="T2915" s="1" t="s">
        <v>29</v>
      </c>
      <c r="U2915" s="1" t="s">
        <v>30</v>
      </c>
      <c r="V2915" s="1">
        <v>0</v>
      </c>
    </row>
    <row r="2916" spans="2:22" x14ac:dyDescent="0.15">
      <c r="B2916" s="1" t="str">
        <f>"155****7003"</f>
        <v>155****7003</v>
      </c>
      <c r="C2916" s="1" t="s">
        <v>1848</v>
      </c>
      <c r="D2916" s="1" t="str">
        <f t="shared" si="290"/>
        <v>89177328</v>
      </c>
      <c r="E2916" s="1" t="s">
        <v>24</v>
      </c>
      <c r="F2916" s="1" t="str">
        <f t="shared" si="291"/>
        <v>0010</v>
      </c>
      <c r="G2916" s="1" t="str">
        <f>""</f>
        <v/>
      </c>
      <c r="H2916" s="1" t="str">
        <f>""</f>
        <v/>
      </c>
      <c r="I2916" s="1" t="str">
        <f>""</f>
        <v/>
      </c>
      <c r="J2916" s="1" t="str">
        <f>""</f>
        <v/>
      </c>
      <c r="K2916" s="1" t="str">
        <f>"2017-03-17 09:38:53"</f>
        <v>2017-03-17 09:38:53</v>
      </c>
      <c r="L2916" s="1" t="str">
        <f>"-"</f>
        <v>-</v>
      </c>
      <c r="M2916" s="2">
        <v>0</v>
      </c>
      <c r="N2916" s="1" t="s">
        <v>55</v>
      </c>
      <c r="O2916" s="1" t="s">
        <v>34</v>
      </c>
      <c r="P2916" s="2">
        <v>1.4467592592592594E-3</v>
      </c>
      <c r="Q2916" s="1" t="str">
        <f>""</f>
        <v/>
      </c>
      <c r="R2916" s="1">
        <v>0</v>
      </c>
      <c r="S2916" s="1" t="str">
        <f>""</f>
        <v/>
      </c>
      <c r="T2916" s="1" t="s">
        <v>29</v>
      </c>
      <c r="U2916" s="1" t="s">
        <v>30</v>
      </c>
      <c r="V2916" s="1">
        <v>0</v>
      </c>
    </row>
    <row r="2917" spans="2:22" x14ac:dyDescent="0.15">
      <c r="B2917" s="1" t="str">
        <f>"010****4548"</f>
        <v>010****4548</v>
      </c>
      <c r="C2917" s="1" t="s">
        <v>23</v>
      </c>
      <c r="D2917" s="1" t="str">
        <f t="shared" si="290"/>
        <v>89177328</v>
      </c>
      <c r="E2917" s="1" t="s">
        <v>24</v>
      </c>
      <c r="F2917" s="1" t="str">
        <f t="shared" si="291"/>
        <v>0010</v>
      </c>
      <c r="G2917" s="1" t="str">
        <f>""</f>
        <v/>
      </c>
      <c r="H2917" s="1" t="str">
        <f>"0035"</f>
        <v>0035</v>
      </c>
      <c r="I2917" s="1" t="s">
        <v>25</v>
      </c>
      <c r="J2917" s="1" t="str">
        <f>"01043977569"</f>
        <v>01043977569</v>
      </c>
      <c r="K2917" s="1" t="str">
        <f>"2017-03-17 09:38:11"</f>
        <v>2017-03-17 09:38:11</v>
      </c>
      <c r="L2917" s="1" t="str">
        <f>"2017-03-17 09:38:20"</f>
        <v>2017-03-17 09:38:20</v>
      </c>
      <c r="M2917" s="2">
        <v>3.8773148148148143E-3</v>
      </c>
      <c r="N2917" s="1" t="s">
        <v>26</v>
      </c>
      <c r="O2917" s="1" t="s">
        <v>27</v>
      </c>
      <c r="P2917" s="2">
        <v>3.9814814814814817E-3</v>
      </c>
      <c r="Q2917" s="1" t="s">
        <v>2110</v>
      </c>
      <c r="R2917" s="1">
        <v>0</v>
      </c>
      <c r="S2917" s="1" t="str">
        <f>""</f>
        <v/>
      </c>
      <c r="T2917" s="1" t="s">
        <v>29</v>
      </c>
      <c r="U2917" s="1" t="s">
        <v>30</v>
      </c>
      <c r="V2917" s="1">
        <v>0</v>
      </c>
    </row>
    <row r="2918" spans="2:22" x14ac:dyDescent="0.15">
      <c r="B2918" s="1" t="str">
        <f>"182****3516"</f>
        <v>182****3516</v>
      </c>
      <c r="C2918" s="1" t="s">
        <v>23</v>
      </c>
      <c r="D2918" s="1" t="str">
        <f t="shared" si="290"/>
        <v>89177328</v>
      </c>
      <c r="E2918" s="1" t="s">
        <v>24</v>
      </c>
      <c r="F2918" s="1" t="str">
        <f t="shared" si="291"/>
        <v>0010</v>
      </c>
      <c r="G2918" s="1" t="str">
        <f>""</f>
        <v/>
      </c>
      <c r="H2918" s="1" t="str">
        <f>"0017"</f>
        <v>0017</v>
      </c>
      <c r="I2918" s="1" t="s">
        <v>135</v>
      </c>
      <c r="J2918" s="1" t="str">
        <f>"01043989717"</f>
        <v>01043989717</v>
      </c>
      <c r="K2918" s="1" t="str">
        <f>"2017-03-17 09:35:55"</f>
        <v>2017-03-17 09:35:55</v>
      </c>
      <c r="L2918" s="1" t="str">
        <f>"2017-03-17 09:36:05"</f>
        <v>2017-03-17 09:36:05</v>
      </c>
      <c r="M2918" s="2">
        <v>7.3032407407407412E-3</v>
      </c>
      <c r="N2918" s="1" t="s">
        <v>26</v>
      </c>
      <c r="O2918" s="1" t="s">
        <v>27</v>
      </c>
      <c r="P2918" s="2">
        <v>7.4189814814814813E-3</v>
      </c>
      <c r="Q2918" s="1" t="s">
        <v>2111</v>
      </c>
      <c r="R2918" s="1">
        <v>0</v>
      </c>
      <c r="S2918" s="1" t="str">
        <f>""</f>
        <v/>
      </c>
      <c r="T2918" s="1" t="s">
        <v>29</v>
      </c>
      <c r="U2918" s="1" t="s">
        <v>30</v>
      </c>
      <c r="V2918" s="1">
        <v>0</v>
      </c>
    </row>
    <row r="2919" spans="2:22" x14ac:dyDescent="0.15">
      <c r="B2919" s="1" t="str">
        <f>"132****0337"</f>
        <v>132****0337</v>
      </c>
      <c r="C2919" s="1" t="s">
        <v>188</v>
      </c>
      <c r="D2919" s="1" t="str">
        <f t="shared" si="290"/>
        <v>89177328</v>
      </c>
      <c r="E2919" s="1" t="s">
        <v>24</v>
      </c>
      <c r="F2919" s="1" t="str">
        <f t="shared" si="291"/>
        <v>0010</v>
      </c>
      <c r="G2919" s="1" t="str">
        <f>""</f>
        <v/>
      </c>
      <c r="H2919" s="1" t="str">
        <f>"0018"</f>
        <v>0018</v>
      </c>
      <c r="I2919" s="1" t="s">
        <v>36</v>
      </c>
      <c r="J2919" s="1" t="str">
        <f>"01043989718"</f>
        <v>01043989718</v>
      </c>
      <c r="K2919" s="1" t="str">
        <f>"2017-03-17 09:33:53"</f>
        <v>2017-03-17 09:33:53</v>
      </c>
      <c r="L2919" s="1" t="str">
        <f>"2017-03-17 09:33:57"</f>
        <v>2017-03-17 09:33:57</v>
      </c>
      <c r="M2919" s="2">
        <v>1.5590277777777778E-2</v>
      </c>
      <c r="N2919" s="1" t="s">
        <v>26</v>
      </c>
      <c r="O2919" s="1" t="s">
        <v>34</v>
      </c>
      <c r="P2919" s="2">
        <v>1.5636574074074074E-2</v>
      </c>
      <c r="Q2919" s="1" t="s">
        <v>2112</v>
      </c>
      <c r="R2919" s="1">
        <v>0</v>
      </c>
      <c r="S2919" s="1" t="str">
        <f>""</f>
        <v/>
      </c>
      <c r="T2919" s="1" t="s">
        <v>29</v>
      </c>
      <c r="U2919" s="1" t="s">
        <v>30</v>
      </c>
      <c r="V2919" s="1">
        <v>0</v>
      </c>
    </row>
    <row r="2920" spans="2:22" x14ac:dyDescent="0.15">
      <c r="B2920" s="1" t="str">
        <f>"151****2219"</f>
        <v>151****2219</v>
      </c>
      <c r="C2920" s="1" t="s">
        <v>97</v>
      </c>
      <c r="D2920" s="1" t="str">
        <f t="shared" si="290"/>
        <v>89177328</v>
      </c>
      <c r="E2920" s="1" t="s">
        <v>24</v>
      </c>
      <c r="F2920" s="1" t="str">
        <f t="shared" si="291"/>
        <v>0010</v>
      </c>
      <c r="G2920" s="1" t="str">
        <f>""</f>
        <v/>
      </c>
      <c r="H2920" s="1" t="str">
        <f>"0034"</f>
        <v>0034</v>
      </c>
      <c r="I2920" s="1" t="s">
        <v>31</v>
      </c>
      <c r="J2920" s="1" t="str">
        <f>"01043977568"</f>
        <v>01043977568</v>
      </c>
      <c r="K2920" s="1" t="str">
        <f>"2017-03-17 09:28:02"</f>
        <v>2017-03-17 09:28:02</v>
      </c>
      <c r="L2920" s="1" t="str">
        <f>"2017-03-17 09:28:11"</f>
        <v>2017-03-17 09:28:11</v>
      </c>
      <c r="M2920" s="2">
        <v>5.0925925925925921E-4</v>
      </c>
      <c r="N2920" s="1" t="s">
        <v>26</v>
      </c>
      <c r="O2920" s="1" t="s">
        <v>27</v>
      </c>
      <c r="P2920" s="2">
        <v>6.134259259259259E-4</v>
      </c>
      <c r="Q2920" s="1" t="s">
        <v>2113</v>
      </c>
      <c r="R2920" s="1">
        <v>0</v>
      </c>
      <c r="S2920" s="1" t="str">
        <f>""</f>
        <v/>
      </c>
      <c r="T2920" s="1" t="s">
        <v>29</v>
      </c>
      <c r="U2920" s="1" t="s">
        <v>30</v>
      </c>
      <c r="V2920" s="1">
        <v>0</v>
      </c>
    </row>
    <row r="2921" spans="2:22" x14ac:dyDescent="0.15">
      <c r="B2921" s="1" t="str">
        <f>"010****0661"</f>
        <v>010****0661</v>
      </c>
      <c r="C2921" s="1" t="s">
        <v>23</v>
      </c>
      <c r="D2921" s="1" t="str">
        <f t="shared" si="290"/>
        <v>89177328</v>
      </c>
      <c r="E2921" s="1" t="s">
        <v>24</v>
      </c>
      <c r="F2921" s="1" t="str">
        <f t="shared" si="291"/>
        <v>0010</v>
      </c>
      <c r="G2921" s="1" t="str">
        <f>""</f>
        <v/>
      </c>
      <c r="H2921" s="1" t="str">
        <f>"0034"</f>
        <v>0034</v>
      </c>
      <c r="I2921" s="1" t="s">
        <v>31</v>
      </c>
      <c r="J2921" s="1" t="str">
        <f>"01043977568"</f>
        <v>01043977568</v>
      </c>
      <c r="K2921" s="1" t="str">
        <f>"2017-03-17 09:14:41"</f>
        <v>2017-03-17 09:14:41</v>
      </c>
      <c r="L2921" s="1" t="str">
        <f>"2017-03-17 09:14:50"</f>
        <v>2017-03-17 09:14:50</v>
      </c>
      <c r="M2921" s="2">
        <v>3.7152777777777774E-3</v>
      </c>
      <c r="N2921" s="1" t="s">
        <v>26</v>
      </c>
      <c r="O2921" s="1" t="s">
        <v>27</v>
      </c>
      <c r="P2921" s="2">
        <v>3.8194444444444443E-3</v>
      </c>
      <c r="Q2921" s="1" t="s">
        <v>2114</v>
      </c>
      <c r="R2921" s="1">
        <v>0</v>
      </c>
      <c r="S2921" s="1" t="str">
        <f>""</f>
        <v/>
      </c>
      <c r="T2921" s="1" t="s">
        <v>29</v>
      </c>
      <c r="U2921" s="1" t="s">
        <v>30</v>
      </c>
      <c r="V2921" s="1">
        <v>0</v>
      </c>
    </row>
    <row r="2922" spans="2:22" x14ac:dyDescent="0.15">
      <c r="B2922" s="1" t="str">
        <f>"010****2056"</f>
        <v>010****2056</v>
      </c>
      <c r="C2922" s="1" t="s">
        <v>23</v>
      </c>
      <c r="D2922" s="1" t="str">
        <f t="shared" si="290"/>
        <v>89177328</v>
      </c>
      <c r="E2922" s="1" t="s">
        <v>24</v>
      </c>
      <c r="F2922" s="1" t="str">
        <f t="shared" si="291"/>
        <v>0010</v>
      </c>
      <c r="G2922" s="1" t="str">
        <f>""</f>
        <v/>
      </c>
      <c r="H2922" s="1" t="str">
        <f>"0033"</f>
        <v>0033</v>
      </c>
      <c r="I2922" s="1" t="s">
        <v>106</v>
      </c>
      <c r="J2922" s="1" t="str">
        <f>"01043977567"</f>
        <v>01043977567</v>
      </c>
      <c r="K2922" s="1" t="str">
        <f>"2017-03-17 09:04:58"</f>
        <v>2017-03-17 09:04:58</v>
      </c>
      <c r="L2922" s="1" t="str">
        <f>"2017-03-17 09:05:06"</f>
        <v>2017-03-17 09:05:06</v>
      </c>
      <c r="M2922" s="2">
        <v>5.0810185185185186E-3</v>
      </c>
      <c r="N2922" s="1" t="s">
        <v>26</v>
      </c>
      <c r="O2922" s="1" t="s">
        <v>27</v>
      </c>
      <c r="P2922" s="2">
        <v>5.1736111111111115E-3</v>
      </c>
      <c r="Q2922" s="1" t="s">
        <v>2115</v>
      </c>
      <c r="R2922" s="1">
        <v>0</v>
      </c>
      <c r="S2922" s="1" t="str">
        <f>""</f>
        <v/>
      </c>
      <c r="T2922" s="1" t="s">
        <v>29</v>
      </c>
      <c r="U2922" s="1" t="s">
        <v>30</v>
      </c>
      <c r="V2922" s="1">
        <v>0</v>
      </c>
    </row>
    <row r="2923" spans="2:22" x14ac:dyDescent="0.15">
      <c r="B2923" s="1" t="str">
        <f>"152****3564"</f>
        <v>152****3564</v>
      </c>
      <c r="C2923" s="1" t="s">
        <v>23</v>
      </c>
      <c r="D2923" s="1" t="str">
        <f t="shared" si="290"/>
        <v>89177328</v>
      </c>
      <c r="E2923" s="1" t="s">
        <v>24</v>
      </c>
      <c r="F2923" s="1" t="str">
        <f t="shared" si="291"/>
        <v>0010</v>
      </c>
      <c r="G2923" s="1" t="str">
        <f>""</f>
        <v/>
      </c>
      <c r="H2923" s="1" t="str">
        <f>"0010"</f>
        <v>0010</v>
      </c>
      <c r="I2923" s="1" t="s">
        <v>71</v>
      </c>
      <c r="J2923" s="1" t="str">
        <f>"01043989719"</f>
        <v>01043989719</v>
      </c>
      <c r="K2923" s="1" t="str">
        <f>"2017-03-17 09:00:10"</f>
        <v>2017-03-17 09:00:10</v>
      </c>
      <c r="L2923" s="1" t="str">
        <f>"2017-03-17 09:00:16"</f>
        <v>2017-03-17 09:00:16</v>
      </c>
      <c r="M2923" s="2">
        <v>5.3009259259259251E-3</v>
      </c>
      <c r="N2923" s="1" t="s">
        <v>26</v>
      </c>
      <c r="O2923" s="1" t="s">
        <v>27</v>
      </c>
      <c r="P2923" s="2">
        <v>5.37037037037037E-3</v>
      </c>
      <c r="Q2923" s="1" t="s">
        <v>2116</v>
      </c>
      <c r="R2923" s="1">
        <v>0</v>
      </c>
      <c r="S2923" s="1" t="str">
        <f>""</f>
        <v/>
      </c>
      <c r="T2923" s="1" t="s">
        <v>29</v>
      </c>
      <c r="U2923" s="1" t="s">
        <v>30</v>
      </c>
      <c r="V2923" s="1">
        <v>0</v>
      </c>
    </row>
    <row r="2924" spans="2:22" x14ac:dyDescent="0.15">
      <c r="B2924" s="1" t="str">
        <f>"182****6833"</f>
        <v>182****6833</v>
      </c>
      <c r="C2924" s="1" t="s">
        <v>23</v>
      </c>
      <c r="D2924" s="1" t="str">
        <f t="shared" si="290"/>
        <v>89177328</v>
      </c>
      <c r="E2924" s="1" t="s">
        <v>24</v>
      </c>
      <c r="F2924" s="1" t="str">
        <f t="shared" si="291"/>
        <v>0010</v>
      </c>
      <c r="G2924" s="1" t="str">
        <f>""</f>
        <v/>
      </c>
      <c r="H2924" s="1" t="str">
        <f>"0017"</f>
        <v>0017</v>
      </c>
      <c r="I2924" s="1" t="s">
        <v>135</v>
      </c>
      <c r="J2924" s="1" t="str">
        <f>"01043989717"</f>
        <v>01043989717</v>
      </c>
      <c r="K2924" s="1" t="str">
        <f>"2017-03-17 08:53:49"</f>
        <v>2017-03-17 08:53:49</v>
      </c>
      <c r="L2924" s="1" t="str">
        <f>"2017-03-17 08:53:54"</f>
        <v>2017-03-17 08:53:54</v>
      </c>
      <c r="M2924" s="2">
        <v>6.1805555555555563E-3</v>
      </c>
      <c r="N2924" s="1" t="s">
        <v>26</v>
      </c>
      <c r="O2924" s="1" t="s">
        <v>27</v>
      </c>
      <c r="P2924" s="2">
        <v>6.238425925925925E-3</v>
      </c>
      <c r="Q2924" s="1" t="s">
        <v>2117</v>
      </c>
      <c r="R2924" s="1">
        <v>0</v>
      </c>
      <c r="S2924" s="1" t="str">
        <f>""</f>
        <v/>
      </c>
      <c r="T2924" s="1" t="s">
        <v>29</v>
      </c>
      <c r="U2924" s="1" t="s">
        <v>30</v>
      </c>
      <c r="V2924" s="1">
        <v>0</v>
      </c>
    </row>
    <row r="2925" spans="2:22" x14ac:dyDescent="0.15">
      <c r="B2925" s="1" t="str">
        <f>"133****9276"</f>
        <v>133****9276</v>
      </c>
      <c r="C2925" s="1" t="s">
        <v>23</v>
      </c>
      <c r="D2925" s="1" t="str">
        <f t="shared" si="290"/>
        <v>89177328</v>
      </c>
      <c r="E2925" s="1" t="s">
        <v>24</v>
      </c>
      <c r="F2925" s="1" t="str">
        <f t="shared" si="291"/>
        <v>0010</v>
      </c>
      <c r="G2925" s="1" t="str">
        <f>""</f>
        <v/>
      </c>
      <c r="H2925" s="1" t="str">
        <f>"0018"</f>
        <v>0018</v>
      </c>
      <c r="I2925" s="1" t="s">
        <v>36</v>
      </c>
      <c r="J2925" s="1" t="str">
        <f>"01043989718"</f>
        <v>01043989718</v>
      </c>
      <c r="K2925" s="1" t="str">
        <f>"2017-03-17 08:53:41"</f>
        <v>2017-03-17 08:53:41</v>
      </c>
      <c r="L2925" s="1" t="str">
        <f>"2017-03-17 08:53:46"</f>
        <v>2017-03-17 08:53:46</v>
      </c>
      <c r="M2925" s="2">
        <v>2.4537037037037036E-3</v>
      </c>
      <c r="N2925" s="1" t="s">
        <v>26</v>
      </c>
      <c r="O2925" s="1" t="s">
        <v>34</v>
      </c>
      <c r="P2925" s="2">
        <v>2.5115740740740741E-3</v>
      </c>
      <c r="Q2925" s="1" t="s">
        <v>2118</v>
      </c>
      <c r="R2925" s="1">
        <v>0</v>
      </c>
      <c r="S2925" s="1" t="str">
        <f>""</f>
        <v/>
      </c>
      <c r="T2925" s="1" t="s">
        <v>29</v>
      </c>
      <c r="U2925" s="1" t="s">
        <v>30</v>
      </c>
      <c r="V2925" s="1">
        <v>0</v>
      </c>
    </row>
    <row r="2926" spans="2:22" x14ac:dyDescent="0.15">
      <c r="B2926" s="1" t="str">
        <f>"185****2981"</f>
        <v>185****2981</v>
      </c>
      <c r="C2926" s="1" t="s">
        <v>23</v>
      </c>
      <c r="D2926" s="1" t="str">
        <f t="shared" si="290"/>
        <v>89177328</v>
      </c>
      <c r="E2926" s="1" t="s">
        <v>24</v>
      </c>
      <c r="F2926" s="1" t="str">
        <f t="shared" si="291"/>
        <v>0010</v>
      </c>
      <c r="G2926" s="1" t="str">
        <f>""</f>
        <v/>
      </c>
      <c r="H2926" s="1" t="str">
        <f>"0031"</f>
        <v>0031</v>
      </c>
      <c r="I2926" s="1" t="s">
        <v>95</v>
      </c>
      <c r="J2926" s="1" t="str">
        <f>"01043977565"</f>
        <v>01043977565</v>
      </c>
      <c r="K2926" s="1" t="str">
        <f>"2017-03-17 08:53:17"</f>
        <v>2017-03-17 08:53:17</v>
      </c>
      <c r="L2926" s="1" t="str">
        <f>"2017-03-17 08:53:22"</f>
        <v>2017-03-17 08:53:22</v>
      </c>
      <c r="M2926" s="2">
        <v>4.409722222222222E-3</v>
      </c>
      <c r="N2926" s="1" t="s">
        <v>26</v>
      </c>
      <c r="O2926" s="1" t="s">
        <v>27</v>
      </c>
      <c r="P2926" s="2">
        <v>4.4675925925925933E-3</v>
      </c>
      <c r="Q2926" s="1" t="s">
        <v>2119</v>
      </c>
      <c r="R2926" s="1">
        <v>0</v>
      </c>
      <c r="S2926" s="1" t="str">
        <f>""</f>
        <v/>
      </c>
      <c r="T2926" s="1" t="s">
        <v>29</v>
      </c>
      <c r="U2926" s="1" t="s">
        <v>30</v>
      </c>
      <c r="V2926" s="1">
        <v>0</v>
      </c>
    </row>
    <row r="2927" spans="2:22" x14ac:dyDescent="0.15">
      <c r="B2927" s="1" t="str">
        <f>"133****7038"</f>
        <v>133****7038</v>
      </c>
      <c r="C2927" s="1" t="s">
        <v>23</v>
      </c>
      <c r="D2927" s="1" t="str">
        <f t="shared" si="290"/>
        <v>89177328</v>
      </c>
      <c r="E2927" s="1" t="s">
        <v>24</v>
      </c>
      <c r="F2927" s="1" t="str">
        <f t="shared" si="291"/>
        <v>0010</v>
      </c>
      <c r="G2927" s="1" t="str">
        <f>""</f>
        <v/>
      </c>
      <c r="H2927" s="1" t="str">
        <f>"0018"</f>
        <v>0018</v>
      </c>
      <c r="I2927" s="1" t="s">
        <v>36</v>
      </c>
      <c r="J2927" s="1" t="str">
        <f>"01043989718"</f>
        <v>01043989718</v>
      </c>
      <c r="K2927" s="1" t="str">
        <f>"2017-03-17 08:51:11"</f>
        <v>2017-03-17 08:51:11</v>
      </c>
      <c r="L2927" s="1" t="str">
        <f>"2017-03-17 08:51:16"</f>
        <v>2017-03-17 08:51:16</v>
      </c>
      <c r="M2927" s="2">
        <v>1.0185185185185186E-3</v>
      </c>
      <c r="N2927" s="1" t="s">
        <v>26</v>
      </c>
      <c r="O2927" s="1" t="s">
        <v>34</v>
      </c>
      <c r="P2927" s="2">
        <v>1.0763888888888889E-3</v>
      </c>
      <c r="Q2927" s="1" t="s">
        <v>2120</v>
      </c>
      <c r="R2927" s="1">
        <v>0</v>
      </c>
      <c r="S2927" s="1" t="str">
        <f>""</f>
        <v/>
      </c>
      <c r="T2927" s="1" t="s">
        <v>29</v>
      </c>
      <c r="U2927" s="1" t="s">
        <v>30</v>
      </c>
      <c r="V2927" s="1">
        <v>0</v>
      </c>
    </row>
    <row r="2928" spans="2:22" x14ac:dyDescent="0.15">
      <c r="B2928" s="1" t="str">
        <f>"185****1181"</f>
        <v>185****1181</v>
      </c>
      <c r="C2928" s="1" t="s">
        <v>23</v>
      </c>
      <c r="D2928" s="1" t="str">
        <f t="shared" si="290"/>
        <v>89177328</v>
      </c>
      <c r="E2928" s="1" t="s">
        <v>24</v>
      </c>
      <c r="F2928" s="1" t="str">
        <f t="shared" si="291"/>
        <v>0010</v>
      </c>
      <c r="G2928" s="1" t="str">
        <f>""</f>
        <v/>
      </c>
      <c r="H2928" s="1" t="str">
        <f>"0031"</f>
        <v>0031</v>
      </c>
      <c r="I2928" s="1" t="s">
        <v>95</v>
      </c>
      <c r="J2928" s="1" t="str">
        <f>"01043977565"</f>
        <v>01043977565</v>
      </c>
      <c r="K2928" s="1" t="str">
        <f>"2017-03-17 08:49:12"</f>
        <v>2017-03-17 08:49:12</v>
      </c>
      <c r="L2928" s="1" t="str">
        <f>"2017-03-17 08:49:17"</f>
        <v>2017-03-17 08:49:17</v>
      </c>
      <c r="M2928" s="2">
        <v>6.5972222222222213E-4</v>
      </c>
      <c r="N2928" s="1" t="s">
        <v>26</v>
      </c>
      <c r="O2928" s="1" t="s">
        <v>34</v>
      </c>
      <c r="P2928" s="2">
        <v>7.175925925925927E-4</v>
      </c>
      <c r="Q2928" s="1" t="s">
        <v>2121</v>
      </c>
      <c r="R2928" s="1">
        <v>0</v>
      </c>
      <c r="S2928" s="1" t="str">
        <f>""</f>
        <v/>
      </c>
      <c r="T2928" s="1" t="s">
        <v>29</v>
      </c>
      <c r="U2928" s="1" t="s">
        <v>30</v>
      </c>
      <c r="V2928" s="1">
        <v>0</v>
      </c>
    </row>
    <row r="2929" spans="2:22" x14ac:dyDescent="0.15">
      <c r="B2929" s="1" t="str">
        <f>"010****8300"</f>
        <v>010****8300</v>
      </c>
      <c r="C2929" s="1" t="s">
        <v>23</v>
      </c>
      <c r="D2929" s="1" t="str">
        <f t="shared" si="290"/>
        <v>89177328</v>
      </c>
      <c r="E2929" s="1" t="s">
        <v>24</v>
      </c>
      <c r="F2929" s="1" t="str">
        <f t="shared" si="291"/>
        <v>0010</v>
      </c>
      <c r="G2929" s="1" t="str">
        <f>""</f>
        <v/>
      </c>
      <c r="H2929" s="1" t="str">
        <f>"0031"</f>
        <v>0031</v>
      </c>
      <c r="I2929" s="1" t="s">
        <v>95</v>
      </c>
      <c r="J2929" s="1" t="str">
        <f>"01043977565"</f>
        <v>01043977565</v>
      </c>
      <c r="K2929" s="1" t="str">
        <f>"2017-03-17 08:47:09"</f>
        <v>2017-03-17 08:47:09</v>
      </c>
      <c r="L2929" s="1" t="str">
        <f>"2017-03-17 08:47:15"</f>
        <v>2017-03-17 08:47:15</v>
      </c>
      <c r="M2929" s="2">
        <v>3.1250000000000001E-4</v>
      </c>
      <c r="N2929" s="1" t="s">
        <v>26</v>
      </c>
      <c r="O2929" s="1" t="s">
        <v>34</v>
      </c>
      <c r="P2929" s="2">
        <v>3.8194444444444446E-4</v>
      </c>
      <c r="Q2929" s="1" t="s">
        <v>2122</v>
      </c>
      <c r="R2929" s="1">
        <v>0</v>
      </c>
      <c r="S2929" s="1" t="str">
        <f>""</f>
        <v/>
      </c>
      <c r="T2929" s="1" t="s">
        <v>29</v>
      </c>
      <c r="U2929" s="1" t="s">
        <v>30</v>
      </c>
      <c r="V2929" s="1">
        <v>0</v>
      </c>
    </row>
    <row r="2930" spans="2:22" x14ac:dyDescent="0.15">
      <c r="B2930" s="1" t="str">
        <f>"153****0560"</f>
        <v>153****0560</v>
      </c>
      <c r="C2930" s="1" t="s">
        <v>269</v>
      </c>
      <c r="D2930" s="1" t="str">
        <f t="shared" si="290"/>
        <v>89177328</v>
      </c>
      <c r="E2930" s="1" t="s">
        <v>24</v>
      </c>
      <c r="F2930" s="1" t="str">
        <f t="shared" si="291"/>
        <v>0010</v>
      </c>
      <c r="G2930" s="1" t="str">
        <f>""</f>
        <v/>
      </c>
      <c r="H2930" s="1" t="str">
        <f>"0033"</f>
        <v>0033</v>
      </c>
      <c r="I2930" s="1" t="s">
        <v>106</v>
      </c>
      <c r="J2930" s="1" t="str">
        <f>"01043977567"</f>
        <v>01043977567</v>
      </c>
      <c r="K2930" s="1" t="str">
        <f>"2017-03-17 08:47:03"</f>
        <v>2017-03-17 08:47:03</v>
      </c>
      <c r="L2930" s="1" t="str">
        <f>"2017-03-17 08:47:09"</f>
        <v>2017-03-17 08:47:09</v>
      </c>
      <c r="M2930" s="2">
        <v>8.9351851851851866E-3</v>
      </c>
      <c r="N2930" s="1" t="s">
        <v>26</v>
      </c>
      <c r="O2930" s="1" t="s">
        <v>27</v>
      </c>
      <c r="P2930" s="2">
        <v>9.0046296296296298E-3</v>
      </c>
      <c r="Q2930" s="1" t="s">
        <v>2123</v>
      </c>
      <c r="R2930" s="1">
        <v>0</v>
      </c>
      <c r="S2930" s="1" t="str">
        <f>""</f>
        <v/>
      </c>
      <c r="T2930" s="1" t="s">
        <v>29</v>
      </c>
      <c r="U2930" s="1" t="s">
        <v>30</v>
      </c>
      <c r="V2930" s="1">
        <v>0</v>
      </c>
    </row>
    <row r="2931" spans="2:22" x14ac:dyDescent="0.15">
      <c r="B2931" s="1" t="str">
        <f>"186****6500"</f>
        <v>186****6500</v>
      </c>
      <c r="C2931" s="1" t="s">
        <v>126</v>
      </c>
      <c r="D2931" s="1" t="str">
        <f t="shared" si="290"/>
        <v>89177328</v>
      </c>
      <c r="E2931" s="1" t="s">
        <v>24</v>
      </c>
      <c r="F2931" s="1" t="str">
        <f t="shared" si="291"/>
        <v>0010</v>
      </c>
      <c r="G2931" s="1" t="str">
        <f>""</f>
        <v/>
      </c>
      <c r="H2931" s="1" t="str">
        <f>"0018"</f>
        <v>0018</v>
      </c>
      <c r="I2931" s="1" t="s">
        <v>36</v>
      </c>
      <c r="J2931" s="1" t="str">
        <f>"01043989718"</f>
        <v>01043989718</v>
      </c>
      <c r="K2931" s="1" t="str">
        <f>"2017-03-17 08:39:32"</f>
        <v>2017-03-17 08:39:32</v>
      </c>
      <c r="L2931" s="1" t="str">
        <f>"2017-03-17 08:39:37"</f>
        <v>2017-03-17 08:39:37</v>
      </c>
      <c r="M2931" s="2">
        <v>2.9166666666666668E-3</v>
      </c>
      <c r="N2931" s="1" t="s">
        <v>26</v>
      </c>
      <c r="O2931" s="1" t="s">
        <v>34</v>
      </c>
      <c r="P2931" s="2">
        <v>2.9745370370370373E-3</v>
      </c>
      <c r="Q2931" s="1" t="s">
        <v>2124</v>
      </c>
      <c r="R2931" s="1">
        <v>0</v>
      </c>
      <c r="S2931" s="1" t="str">
        <f>""</f>
        <v/>
      </c>
      <c r="T2931" s="1" t="s">
        <v>29</v>
      </c>
      <c r="U2931" s="1" t="s">
        <v>30</v>
      </c>
      <c r="V2931" s="1">
        <v>0</v>
      </c>
    </row>
    <row r="2932" spans="2:22" x14ac:dyDescent="0.15">
      <c r="B2932" s="1" t="str">
        <f>"138****4795"</f>
        <v>138****4795</v>
      </c>
      <c r="C2932" s="1" t="s">
        <v>23</v>
      </c>
      <c r="D2932" s="1" t="str">
        <f t="shared" si="290"/>
        <v>89177328</v>
      </c>
      <c r="E2932" s="1" t="s">
        <v>24</v>
      </c>
      <c r="F2932" s="1" t="str">
        <f t="shared" si="291"/>
        <v>0010</v>
      </c>
      <c r="G2932" s="1" t="str">
        <f>""</f>
        <v/>
      </c>
      <c r="H2932" s="1" t="str">
        <f>"0033"</f>
        <v>0033</v>
      </c>
      <c r="I2932" s="1" t="s">
        <v>106</v>
      </c>
      <c r="J2932" s="1" t="str">
        <f>"01043977567"</f>
        <v>01043977567</v>
      </c>
      <c r="K2932" s="1" t="str">
        <f>"2017-03-17 08:38:31"</f>
        <v>2017-03-17 08:38:31</v>
      </c>
      <c r="L2932" s="1" t="str">
        <f>"2017-03-17 08:38:38"</f>
        <v>2017-03-17 08:38:38</v>
      </c>
      <c r="M2932" s="2">
        <v>4.6180555555555558E-3</v>
      </c>
      <c r="N2932" s="1" t="s">
        <v>26</v>
      </c>
      <c r="O2932" s="1" t="s">
        <v>27</v>
      </c>
      <c r="P2932" s="2">
        <v>4.6990740740740743E-3</v>
      </c>
      <c r="Q2932" s="1" t="s">
        <v>2125</v>
      </c>
      <c r="R2932" s="1">
        <v>0</v>
      </c>
      <c r="S2932" s="1" t="str">
        <f>""</f>
        <v/>
      </c>
      <c r="T2932" s="1" t="s">
        <v>29</v>
      </c>
      <c r="U2932" s="1" t="s">
        <v>30</v>
      </c>
      <c r="V2932" s="1">
        <v>0</v>
      </c>
    </row>
    <row r="2933" spans="2:22" x14ac:dyDescent="0.15">
      <c r="B2933" s="1" t="str">
        <f>"155****8666"</f>
        <v>155****8666</v>
      </c>
      <c r="C2933" s="1" t="s">
        <v>831</v>
      </c>
      <c r="D2933" s="1" t="str">
        <f t="shared" si="290"/>
        <v>89177328</v>
      </c>
      <c r="E2933" s="1" t="s">
        <v>24</v>
      </c>
      <c r="F2933" s="1" t="str">
        <f t="shared" si="291"/>
        <v>0010</v>
      </c>
      <c r="G2933" s="1" t="str">
        <f>""</f>
        <v/>
      </c>
      <c r="H2933" s="1" t="str">
        <f>"0010"</f>
        <v>0010</v>
      </c>
      <c r="I2933" s="1" t="s">
        <v>71</v>
      </c>
      <c r="J2933" s="1" t="str">
        <f>"01043989719"</f>
        <v>01043989719</v>
      </c>
      <c r="K2933" s="1" t="str">
        <f>"2017-03-17 08:34:25"</f>
        <v>2017-03-17 08:34:25</v>
      </c>
      <c r="L2933" s="1" t="str">
        <f>"2017-03-17 08:34:35"</f>
        <v>2017-03-17 08:34:35</v>
      </c>
      <c r="M2933" s="2">
        <v>3.7847222222222223E-3</v>
      </c>
      <c r="N2933" s="1" t="s">
        <v>26</v>
      </c>
      <c r="O2933" s="1" t="s">
        <v>34</v>
      </c>
      <c r="P2933" s="2">
        <v>3.9004629629629632E-3</v>
      </c>
      <c r="Q2933" s="1" t="s">
        <v>2126</v>
      </c>
      <c r="R2933" s="1">
        <v>0</v>
      </c>
      <c r="S2933" s="1" t="str">
        <f>""</f>
        <v/>
      </c>
      <c r="T2933" s="1" t="s">
        <v>29</v>
      </c>
      <c r="U2933" s="1" t="s">
        <v>30</v>
      </c>
      <c r="V2933" s="1">
        <v>0</v>
      </c>
    </row>
    <row r="2934" spans="2:22" x14ac:dyDescent="0.15">
      <c r="B2934" s="1" t="str">
        <f>"137****5949"</f>
        <v>137****5949</v>
      </c>
      <c r="C2934" s="1" t="s">
        <v>23</v>
      </c>
      <c r="D2934" s="1" t="str">
        <f t="shared" si="290"/>
        <v>89177328</v>
      </c>
      <c r="E2934" s="1" t="s">
        <v>24</v>
      </c>
      <c r="F2934" s="1" t="str">
        <f t="shared" si="291"/>
        <v>0010</v>
      </c>
      <c r="G2934" s="1" t="str">
        <f>""</f>
        <v/>
      </c>
      <c r="H2934" s="1" t="str">
        <f>"0010"</f>
        <v>0010</v>
      </c>
      <c r="I2934" s="1" t="s">
        <v>71</v>
      </c>
      <c r="J2934" s="1" t="str">
        <f>"01043989719"</f>
        <v>01043989719</v>
      </c>
      <c r="K2934" s="1" t="str">
        <f>"2017-03-17 08:25:22"</f>
        <v>2017-03-17 08:25:22</v>
      </c>
      <c r="L2934" s="1" t="str">
        <f>"2017-03-17 08:25:31"</f>
        <v>2017-03-17 08:25:31</v>
      </c>
      <c r="M2934" s="2">
        <v>5.9259259259259256E-3</v>
      </c>
      <c r="N2934" s="1" t="s">
        <v>26</v>
      </c>
      <c r="O2934" s="1" t="s">
        <v>27</v>
      </c>
      <c r="P2934" s="2">
        <v>6.030092592592593E-3</v>
      </c>
      <c r="Q2934" s="1" t="s">
        <v>2127</v>
      </c>
      <c r="R2934" s="1">
        <v>0</v>
      </c>
      <c r="S2934" s="1" t="str">
        <f>""</f>
        <v/>
      </c>
      <c r="T2934" s="1" t="s">
        <v>29</v>
      </c>
      <c r="U2934" s="1" t="s">
        <v>30</v>
      </c>
      <c r="V2934" s="1">
        <v>0</v>
      </c>
    </row>
    <row r="2935" spans="2:22" x14ac:dyDescent="0.15">
      <c r="B2935" s="1" t="str">
        <f>"133****5685"</f>
        <v>133****5685</v>
      </c>
      <c r="C2935" s="1" t="s">
        <v>23</v>
      </c>
      <c r="D2935" s="1" t="str">
        <f>"4000108333"</f>
        <v>4000108333</v>
      </c>
      <c r="E2935" s="1" t="s">
        <v>53</v>
      </c>
      <c r="F2935" s="1" t="str">
        <f>"333"</f>
        <v>333</v>
      </c>
      <c r="G2935" s="1" t="s">
        <v>952</v>
      </c>
      <c r="H2935" s="1" t="str">
        <f>""</f>
        <v/>
      </c>
      <c r="I2935" s="1" t="str">
        <f>""</f>
        <v/>
      </c>
      <c r="J2935" s="1" t="str">
        <f>"13718091869"</f>
        <v>13718091869</v>
      </c>
      <c r="K2935" s="1" t="str">
        <f>"2017-03-17 08:11:20"</f>
        <v>2017-03-17 08:11:20</v>
      </c>
      <c r="L2935" s="1" t="str">
        <f>"2017-03-17 08:12:11"</f>
        <v>2017-03-17 08:12:11</v>
      </c>
      <c r="M2935" s="2">
        <v>7.5694444444444446E-3</v>
      </c>
      <c r="N2935" s="1" t="s">
        <v>26</v>
      </c>
      <c r="O2935" s="1" t="s">
        <v>27</v>
      </c>
      <c r="P2935" s="2">
        <v>8.1597222222222227E-3</v>
      </c>
      <c r="Q2935" s="1" t="s">
        <v>2128</v>
      </c>
      <c r="R2935" s="1">
        <v>1.44</v>
      </c>
      <c r="S2935" s="1" t="str">
        <f>""</f>
        <v/>
      </c>
      <c r="T2935" s="1" t="s">
        <v>29</v>
      </c>
      <c r="U2935" s="1" t="s">
        <v>30</v>
      </c>
      <c r="V2935" s="1">
        <v>0</v>
      </c>
    </row>
    <row r="2936" spans="2:22" x14ac:dyDescent="0.15">
      <c r="B2936" s="1" t="str">
        <f>"133****5685"</f>
        <v>133****5685</v>
      </c>
      <c r="C2936" s="1" t="s">
        <v>23</v>
      </c>
      <c r="D2936" s="1" t="str">
        <f>"4000108333"</f>
        <v>4000108333</v>
      </c>
      <c r="E2936" s="1" t="s">
        <v>53</v>
      </c>
      <c r="F2936" s="1" t="str">
        <f>""</f>
        <v/>
      </c>
      <c r="G2936" s="1" t="str">
        <f>""</f>
        <v/>
      </c>
      <c r="H2936" s="1" t="str">
        <f>""</f>
        <v/>
      </c>
      <c r="I2936" s="1" t="str">
        <f>""</f>
        <v/>
      </c>
      <c r="J2936" s="1" t="str">
        <f>""</f>
        <v/>
      </c>
      <c r="K2936" s="1" t="str">
        <f>"2017-03-17 08:10:19"</f>
        <v>2017-03-17 08:10:19</v>
      </c>
      <c r="L2936" s="1" t="str">
        <f>"-"</f>
        <v>-</v>
      </c>
      <c r="M2936" s="2">
        <v>0</v>
      </c>
      <c r="N2936" s="1" t="s">
        <v>55</v>
      </c>
      <c r="O2936" s="1" t="s">
        <v>34</v>
      </c>
      <c r="P2936" s="2">
        <v>1.0416666666666667E-4</v>
      </c>
      <c r="Q2936" s="1" t="str">
        <f>""</f>
        <v/>
      </c>
      <c r="R2936" s="1">
        <v>0.12</v>
      </c>
      <c r="S2936" s="1" t="str">
        <f>""</f>
        <v/>
      </c>
      <c r="T2936" s="1" t="s">
        <v>29</v>
      </c>
      <c r="U2936" s="1" t="s">
        <v>30</v>
      </c>
      <c r="V2936" s="1">
        <v>0</v>
      </c>
    </row>
    <row r="2937" spans="2:22" x14ac:dyDescent="0.15">
      <c r="B2937" s="1" t="str">
        <f>"133****5685"</f>
        <v>133****5685</v>
      </c>
      <c r="C2937" s="1" t="s">
        <v>23</v>
      </c>
      <c r="D2937" s="1" t="str">
        <f>"4000108333"</f>
        <v>4000108333</v>
      </c>
      <c r="E2937" s="1" t="s">
        <v>53</v>
      </c>
      <c r="F2937" s="1" t="str">
        <f>"333"</f>
        <v>333</v>
      </c>
      <c r="G2937" s="1" t="s">
        <v>952</v>
      </c>
      <c r="H2937" s="1" t="str">
        <f>""</f>
        <v/>
      </c>
      <c r="I2937" s="1" t="str">
        <f>""</f>
        <v/>
      </c>
      <c r="J2937" s="1" t="str">
        <f>"13718091869"</f>
        <v>13718091869</v>
      </c>
      <c r="K2937" s="1" t="str">
        <f>"2017-03-17 08:09:08"</f>
        <v>2017-03-17 08:09:08</v>
      </c>
      <c r="L2937" s="1" t="str">
        <f>"2017-03-17 08:09:41"</f>
        <v>2017-03-17 08:09:41</v>
      </c>
      <c r="M2937" s="2">
        <v>2.4305555555555552E-4</v>
      </c>
      <c r="N2937" s="1" t="s">
        <v>26</v>
      </c>
      <c r="O2937" s="1" t="s">
        <v>27</v>
      </c>
      <c r="P2937" s="2">
        <v>6.2500000000000001E-4</v>
      </c>
      <c r="Q2937" s="1" t="s">
        <v>2129</v>
      </c>
      <c r="R2937" s="1">
        <v>0.12</v>
      </c>
      <c r="S2937" s="1" t="str">
        <f>""</f>
        <v/>
      </c>
      <c r="T2937" s="1" t="s">
        <v>29</v>
      </c>
      <c r="U2937" s="1" t="s">
        <v>30</v>
      </c>
      <c r="V2937" s="1">
        <v>0</v>
      </c>
    </row>
    <row r="2938" spans="2:22" x14ac:dyDescent="0.15">
      <c r="B2938" s="1" t="str">
        <f>"133****5620"</f>
        <v>133****5620</v>
      </c>
      <c r="C2938" s="1" t="s">
        <v>23</v>
      </c>
      <c r="D2938" s="1" t="str">
        <f t="shared" ref="D2938:D2944" si="292">"89177328"</f>
        <v>89177328</v>
      </c>
      <c r="E2938" s="1" t="s">
        <v>24</v>
      </c>
      <c r="F2938" s="1" t="str">
        <f>"0010"</f>
        <v>0010</v>
      </c>
      <c r="G2938" s="1" t="str">
        <f>""</f>
        <v/>
      </c>
      <c r="H2938" s="1" t="str">
        <f>"0033"</f>
        <v>0033</v>
      </c>
      <c r="I2938" s="1" t="s">
        <v>106</v>
      </c>
      <c r="J2938" s="1" t="str">
        <f>"01043977567"</f>
        <v>01043977567</v>
      </c>
      <c r="K2938" s="1" t="str">
        <f>"2017-03-17 08:00:11"</f>
        <v>2017-03-17 08:00:11</v>
      </c>
      <c r="L2938" s="1" t="str">
        <f>"2017-03-17 08:00:18"</f>
        <v>2017-03-17 08:00:18</v>
      </c>
      <c r="M2938" s="2">
        <v>4.0162037037037033E-3</v>
      </c>
      <c r="N2938" s="1" t="s">
        <v>26</v>
      </c>
      <c r="O2938" s="1" t="s">
        <v>27</v>
      </c>
      <c r="P2938" s="2">
        <v>4.0972222222222226E-3</v>
      </c>
      <c r="Q2938" s="1" t="s">
        <v>2130</v>
      </c>
      <c r="R2938" s="1">
        <v>0</v>
      </c>
      <c r="S2938" s="1" t="str">
        <f>""</f>
        <v/>
      </c>
      <c r="T2938" s="1" t="s">
        <v>29</v>
      </c>
      <c r="U2938" s="1" t="s">
        <v>30</v>
      </c>
      <c r="V2938" s="1">
        <v>0</v>
      </c>
    </row>
    <row r="2939" spans="2:22" x14ac:dyDescent="0.15">
      <c r="B2939" s="1" t="str">
        <f>"0532****2975"</f>
        <v>0532****2975</v>
      </c>
      <c r="C2939" s="1" t="s">
        <v>872</v>
      </c>
      <c r="D2939" s="1" t="str">
        <f t="shared" si="292"/>
        <v>89177328</v>
      </c>
      <c r="E2939" s="1" t="s">
        <v>181</v>
      </c>
      <c r="F2939" s="1" t="str">
        <f>""</f>
        <v/>
      </c>
      <c r="G2939" s="1" t="str">
        <f>""</f>
        <v/>
      </c>
      <c r="H2939" s="1" t="str">
        <f>""</f>
        <v/>
      </c>
      <c r="I2939" s="1" t="str">
        <f>""</f>
        <v/>
      </c>
      <c r="J2939" s="1" t="str">
        <f>""</f>
        <v/>
      </c>
      <c r="K2939" s="1" t="str">
        <f>"2017-03-17 07:50:56"</f>
        <v>2017-03-17 07:50:56</v>
      </c>
      <c r="L2939" s="1" t="str">
        <f>"2017-03-17 07:51:07"</f>
        <v>2017-03-17 07:51:07</v>
      </c>
      <c r="M2939" s="2">
        <v>4.6296296296296294E-5</v>
      </c>
      <c r="N2939" s="1" t="s">
        <v>55</v>
      </c>
      <c r="O2939" s="1" t="s">
        <v>34</v>
      </c>
      <c r="P2939" s="2">
        <v>1.7361111111111112E-4</v>
      </c>
      <c r="Q2939" s="1" t="str">
        <f>""</f>
        <v/>
      </c>
      <c r="R2939" s="1">
        <v>0</v>
      </c>
      <c r="S2939" s="1" t="str">
        <f>""</f>
        <v/>
      </c>
      <c r="T2939" s="1" t="s">
        <v>183</v>
      </c>
      <c r="U2939" s="1" t="s">
        <v>30</v>
      </c>
      <c r="V2939" s="1">
        <v>0</v>
      </c>
    </row>
    <row r="2940" spans="2:22" x14ac:dyDescent="0.15">
      <c r="B2940" s="1" t="str">
        <f>"135****8658"</f>
        <v>135****8658</v>
      </c>
      <c r="C2940" s="1" t="s">
        <v>51</v>
      </c>
      <c r="D2940" s="1" t="str">
        <f t="shared" si="292"/>
        <v>89177328</v>
      </c>
      <c r="E2940" s="1" t="s">
        <v>181</v>
      </c>
      <c r="F2940" s="1" t="str">
        <f>""</f>
        <v/>
      </c>
      <c r="G2940" s="1" t="str">
        <f>""</f>
        <v/>
      </c>
      <c r="H2940" s="1" t="str">
        <f>""</f>
        <v/>
      </c>
      <c r="I2940" s="1" t="str">
        <f>""</f>
        <v/>
      </c>
      <c r="J2940" s="1" t="str">
        <f>""</f>
        <v/>
      </c>
      <c r="K2940" s="1" t="str">
        <f>"2017-03-17 07:14:26"</f>
        <v>2017-03-17 07:14:26</v>
      </c>
      <c r="L2940" s="1" t="str">
        <f>"2017-03-17 07:14:37"</f>
        <v>2017-03-17 07:14:37</v>
      </c>
      <c r="M2940" s="2">
        <v>0</v>
      </c>
      <c r="N2940" s="1" t="s">
        <v>55</v>
      </c>
      <c r="O2940" s="1" t="s">
        <v>27</v>
      </c>
      <c r="P2940" s="2">
        <v>1.9675925925925926E-4</v>
      </c>
      <c r="Q2940" s="1" t="str">
        <f>""</f>
        <v/>
      </c>
      <c r="R2940" s="1">
        <v>0</v>
      </c>
      <c r="S2940" s="1" t="str">
        <f>""</f>
        <v/>
      </c>
      <c r="T2940" s="1" t="s">
        <v>183</v>
      </c>
      <c r="U2940" s="1" t="s">
        <v>30</v>
      </c>
      <c r="V2940" s="1">
        <v>0</v>
      </c>
    </row>
    <row r="2941" spans="2:22" x14ac:dyDescent="0.15">
      <c r="B2941" s="1" t="str">
        <f>"186****0813"</f>
        <v>186****0813</v>
      </c>
      <c r="C2941" s="1" t="s">
        <v>23</v>
      </c>
      <c r="D2941" s="1" t="str">
        <f t="shared" si="292"/>
        <v>89177328</v>
      </c>
      <c r="E2941" s="1" t="s">
        <v>24</v>
      </c>
      <c r="F2941" s="1" t="str">
        <f>"0010"</f>
        <v>0010</v>
      </c>
      <c r="G2941" s="1" t="str">
        <f>""</f>
        <v/>
      </c>
      <c r="H2941" s="1" t="str">
        <f>"0035"</f>
        <v>0035</v>
      </c>
      <c r="I2941" s="1" t="s">
        <v>25</v>
      </c>
      <c r="J2941" s="1" t="str">
        <f>"01043977569"</f>
        <v>01043977569</v>
      </c>
      <c r="K2941" s="1" t="str">
        <f>"2017-03-16 20:38:21"</f>
        <v>2017-03-16 20:38:21</v>
      </c>
      <c r="L2941" s="1" t="str">
        <f>"2017-03-16 20:38:31"</f>
        <v>2017-03-16 20:38:31</v>
      </c>
      <c r="M2941" s="2">
        <v>3.2523148148148151E-3</v>
      </c>
      <c r="N2941" s="1" t="s">
        <v>26</v>
      </c>
      <c r="O2941" s="1" t="s">
        <v>34</v>
      </c>
      <c r="P2941" s="2">
        <v>3.3680555555555551E-3</v>
      </c>
      <c r="Q2941" s="1" t="s">
        <v>2131</v>
      </c>
      <c r="R2941" s="1">
        <v>0</v>
      </c>
      <c r="S2941" s="1" t="str">
        <f>""</f>
        <v/>
      </c>
      <c r="T2941" s="1" t="s">
        <v>29</v>
      </c>
      <c r="U2941" s="1" t="s">
        <v>30</v>
      </c>
      <c r="V2941" s="1">
        <v>0</v>
      </c>
    </row>
    <row r="2942" spans="2:22" x14ac:dyDescent="0.15">
      <c r="B2942" s="1" t="str">
        <f>"186****0726"</f>
        <v>186****0726</v>
      </c>
      <c r="C2942" s="1" t="s">
        <v>23</v>
      </c>
      <c r="D2942" s="1" t="str">
        <f t="shared" si="292"/>
        <v>89177328</v>
      </c>
      <c r="E2942" s="1" t="s">
        <v>24</v>
      </c>
      <c r="F2942" s="1" t="str">
        <f>"0010"</f>
        <v>0010</v>
      </c>
      <c r="G2942" s="1" t="str">
        <f>""</f>
        <v/>
      </c>
      <c r="H2942" s="1" t="str">
        <f>"0032"</f>
        <v>0032</v>
      </c>
      <c r="I2942" s="1" t="s">
        <v>119</v>
      </c>
      <c r="J2942" s="1" t="str">
        <f>"01043977566"</f>
        <v>01043977566</v>
      </c>
      <c r="K2942" s="1" t="str">
        <f>"2017-03-16 20:31:54"</f>
        <v>2017-03-16 20:31:54</v>
      </c>
      <c r="L2942" s="1" t="str">
        <f>"-"</f>
        <v>-</v>
      </c>
      <c r="M2942" s="2">
        <v>0</v>
      </c>
      <c r="N2942" s="1" t="s">
        <v>33</v>
      </c>
      <c r="O2942" s="1" t="s">
        <v>34</v>
      </c>
      <c r="P2942" s="2">
        <v>2.3148148148148147E-5</v>
      </c>
      <c r="Q2942" s="1" t="str">
        <f>""</f>
        <v/>
      </c>
      <c r="R2942" s="1">
        <v>0</v>
      </c>
      <c r="S2942" s="1" t="str">
        <f>""</f>
        <v/>
      </c>
      <c r="T2942" s="1" t="s">
        <v>29</v>
      </c>
      <c r="U2942" s="1" t="s">
        <v>30</v>
      </c>
      <c r="V2942" s="1">
        <v>0</v>
      </c>
    </row>
    <row r="2943" spans="2:22" x14ac:dyDescent="0.15">
      <c r="B2943" s="1" t="str">
        <f>"186****7996"</f>
        <v>186****7996</v>
      </c>
      <c r="C2943" s="1" t="s">
        <v>550</v>
      </c>
      <c r="D2943" s="1" t="str">
        <f t="shared" si="292"/>
        <v>89177328</v>
      </c>
      <c r="E2943" s="1" t="s">
        <v>24</v>
      </c>
      <c r="F2943" s="1" t="str">
        <f>"0010"</f>
        <v>0010</v>
      </c>
      <c r="G2943" s="1" t="str">
        <f>""</f>
        <v/>
      </c>
      <c r="H2943" s="1" t="str">
        <f>"0017"</f>
        <v>0017</v>
      </c>
      <c r="I2943" s="1" t="s">
        <v>135</v>
      </c>
      <c r="J2943" s="1" t="str">
        <f>"01043989717"</f>
        <v>01043989717</v>
      </c>
      <c r="K2943" s="1" t="str">
        <f>"2017-03-16 20:31:12"</f>
        <v>2017-03-16 20:31:12</v>
      </c>
      <c r="L2943" s="1" t="str">
        <f>"2017-03-16 20:31:17"</f>
        <v>2017-03-16 20:31:17</v>
      </c>
      <c r="M2943" s="2">
        <v>6.3888888888888884E-3</v>
      </c>
      <c r="N2943" s="1" t="s">
        <v>26</v>
      </c>
      <c r="O2943" s="1" t="s">
        <v>27</v>
      </c>
      <c r="P2943" s="2">
        <v>6.4467592592592597E-3</v>
      </c>
      <c r="Q2943" s="1" t="s">
        <v>2132</v>
      </c>
      <c r="R2943" s="1">
        <v>0</v>
      </c>
      <c r="S2943" s="1" t="str">
        <f>""</f>
        <v/>
      </c>
      <c r="T2943" s="1" t="s">
        <v>29</v>
      </c>
      <c r="U2943" s="1" t="s">
        <v>30</v>
      </c>
      <c r="V2943" s="1">
        <v>0</v>
      </c>
    </row>
    <row r="2944" spans="2:22" x14ac:dyDescent="0.15">
      <c r="B2944" s="1" t="str">
        <f>"158****3350"</f>
        <v>158****3350</v>
      </c>
      <c r="C2944" s="1" t="s">
        <v>157</v>
      </c>
      <c r="D2944" s="1" t="str">
        <f t="shared" si="292"/>
        <v>89177328</v>
      </c>
      <c r="E2944" s="1" t="s">
        <v>24</v>
      </c>
      <c r="F2944" s="1" t="str">
        <f>"0010"</f>
        <v>0010</v>
      </c>
      <c r="G2944" s="1" t="str">
        <f>""</f>
        <v/>
      </c>
      <c r="H2944" s="1" t="str">
        <f>"0018"</f>
        <v>0018</v>
      </c>
      <c r="I2944" s="1" t="s">
        <v>36</v>
      </c>
      <c r="J2944" s="1" t="str">
        <f>"01043989718"</f>
        <v>01043989718</v>
      </c>
      <c r="K2944" s="1" t="str">
        <f>"2017-03-16 20:18:26"</f>
        <v>2017-03-16 20:18:26</v>
      </c>
      <c r="L2944" s="1" t="str">
        <f>"2017-03-16 20:18:30"</f>
        <v>2017-03-16 20:18:30</v>
      </c>
      <c r="M2944" s="2">
        <v>7.6041666666666662E-3</v>
      </c>
      <c r="N2944" s="1" t="s">
        <v>26</v>
      </c>
      <c r="O2944" s="1" t="s">
        <v>34</v>
      </c>
      <c r="P2944" s="2">
        <v>7.6504629629629631E-3</v>
      </c>
      <c r="Q2944" s="1" t="s">
        <v>2133</v>
      </c>
      <c r="R2944" s="1">
        <v>0</v>
      </c>
      <c r="S2944" s="1" t="str">
        <f>""</f>
        <v/>
      </c>
      <c r="T2944" s="1" t="s">
        <v>29</v>
      </c>
      <c r="U2944" s="1" t="s">
        <v>30</v>
      </c>
      <c r="V2944" s="1">
        <v>0</v>
      </c>
    </row>
    <row r="2945" spans="2:22" x14ac:dyDescent="0.15">
      <c r="B2945" s="1" t="str">
        <f>"186****3251"</f>
        <v>186****3251</v>
      </c>
      <c r="C2945" s="1" t="s">
        <v>465</v>
      </c>
      <c r="D2945" s="1" t="str">
        <f>"4000108333"</f>
        <v>4000108333</v>
      </c>
      <c r="E2945" s="1" t="s">
        <v>53</v>
      </c>
      <c r="F2945" s="1" t="str">
        <f>"333"</f>
        <v>333</v>
      </c>
      <c r="G2945" s="1" t="s">
        <v>952</v>
      </c>
      <c r="H2945" s="1" t="str">
        <f>""</f>
        <v/>
      </c>
      <c r="I2945" s="1" t="str">
        <f>""</f>
        <v/>
      </c>
      <c r="J2945" s="1" t="str">
        <f>"13718091869"</f>
        <v>13718091869</v>
      </c>
      <c r="K2945" s="1" t="str">
        <f>"2017-03-16 20:04:30"</f>
        <v>2017-03-16 20:04:30</v>
      </c>
      <c r="L2945" s="1" t="str">
        <f>"2017-03-16 20:05:09"</f>
        <v>2017-03-16 20:05:09</v>
      </c>
      <c r="M2945" s="2">
        <v>8.0208333333333329E-3</v>
      </c>
      <c r="N2945" s="1" t="s">
        <v>26</v>
      </c>
      <c r="O2945" s="1" t="s">
        <v>27</v>
      </c>
      <c r="P2945" s="2">
        <v>8.4722222222222213E-3</v>
      </c>
      <c r="Q2945" s="1" t="s">
        <v>2134</v>
      </c>
      <c r="R2945" s="1">
        <v>1.56</v>
      </c>
      <c r="S2945" s="1" t="str">
        <f>""</f>
        <v/>
      </c>
      <c r="T2945" s="1" t="s">
        <v>29</v>
      </c>
      <c r="U2945" s="1" t="s">
        <v>30</v>
      </c>
      <c r="V2945" s="1">
        <v>0</v>
      </c>
    </row>
    <row r="2946" spans="2:22" x14ac:dyDescent="0.15">
      <c r="B2946" s="1" t="str">
        <f>"136****4829"</f>
        <v>136****4829</v>
      </c>
      <c r="C2946" s="1" t="s">
        <v>1618</v>
      </c>
      <c r="D2946" s="1" t="str">
        <f t="shared" ref="D2946:D2989" si="293">"89177328"</f>
        <v>89177328</v>
      </c>
      <c r="E2946" s="1" t="s">
        <v>24</v>
      </c>
      <c r="F2946" s="1" t="str">
        <f t="shared" ref="F2946:F2989" si="294">"0010"</f>
        <v>0010</v>
      </c>
      <c r="G2946" s="1" t="str">
        <f>""</f>
        <v/>
      </c>
      <c r="H2946" s="1" t="str">
        <f>"0035"</f>
        <v>0035</v>
      </c>
      <c r="I2946" s="1" t="s">
        <v>25</v>
      </c>
      <c r="J2946" s="1" t="str">
        <f>"01043977569"</f>
        <v>01043977569</v>
      </c>
      <c r="K2946" s="1" t="str">
        <f>"2017-03-16 20:04:08"</f>
        <v>2017-03-16 20:04:08</v>
      </c>
      <c r="L2946" s="1" t="str">
        <f>"2017-03-16 20:07:26"</f>
        <v>2017-03-16 20:07:26</v>
      </c>
      <c r="M2946" s="2">
        <v>1.1898148148148149E-2</v>
      </c>
      <c r="N2946" s="1" t="s">
        <v>26</v>
      </c>
      <c r="O2946" s="1" t="s">
        <v>27</v>
      </c>
      <c r="P2946" s="2">
        <v>1.4189814814814815E-2</v>
      </c>
      <c r="Q2946" s="1" t="s">
        <v>2135</v>
      </c>
      <c r="R2946" s="1">
        <v>0</v>
      </c>
      <c r="S2946" s="1" t="str">
        <f>""</f>
        <v/>
      </c>
      <c r="T2946" s="1" t="s">
        <v>29</v>
      </c>
      <c r="U2946" s="1" t="s">
        <v>30</v>
      </c>
      <c r="V2946" s="1">
        <v>0</v>
      </c>
    </row>
    <row r="2947" spans="2:22" x14ac:dyDescent="0.15">
      <c r="B2947" s="1" t="str">
        <f>"177****5217"</f>
        <v>177****5217</v>
      </c>
      <c r="C2947" s="1" t="s">
        <v>2136</v>
      </c>
      <c r="D2947" s="1" t="str">
        <f t="shared" si="293"/>
        <v>89177328</v>
      </c>
      <c r="E2947" s="1" t="s">
        <v>24</v>
      </c>
      <c r="F2947" s="1" t="str">
        <f t="shared" si="294"/>
        <v>0010</v>
      </c>
      <c r="G2947" s="1" t="str">
        <f>""</f>
        <v/>
      </c>
      <c r="H2947" s="1" t="str">
        <f>"0018"</f>
        <v>0018</v>
      </c>
      <c r="I2947" s="1" t="s">
        <v>36</v>
      </c>
      <c r="J2947" s="1" t="str">
        <f>"01043989718"</f>
        <v>01043989718</v>
      </c>
      <c r="K2947" s="1" t="str">
        <f>"2017-03-16 20:02:13"</f>
        <v>2017-03-16 20:02:13</v>
      </c>
      <c r="L2947" s="1" t="str">
        <f>"2017-03-16 20:02:18"</f>
        <v>2017-03-16 20:02:18</v>
      </c>
      <c r="M2947" s="2">
        <v>7.5347222222222213E-3</v>
      </c>
      <c r="N2947" s="1" t="s">
        <v>26</v>
      </c>
      <c r="O2947" s="1" t="s">
        <v>34</v>
      </c>
      <c r="P2947" s="2">
        <v>7.5925925925925926E-3</v>
      </c>
      <c r="Q2947" s="1" t="s">
        <v>2137</v>
      </c>
      <c r="R2947" s="1">
        <v>0</v>
      </c>
      <c r="S2947" s="1" t="str">
        <f>""</f>
        <v/>
      </c>
      <c r="T2947" s="1" t="s">
        <v>29</v>
      </c>
      <c r="U2947" s="1" t="s">
        <v>30</v>
      </c>
      <c r="V2947" s="1">
        <v>0</v>
      </c>
    </row>
    <row r="2948" spans="2:22" x14ac:dyDescent="0.15">
      <c r="B2948" s="1" t="str">
        <f>"182****4648"</f>
        <v>182****4648</v>
      </c>
      <c r="C2948" s="1" t="s">
        <v>78</v>
      </c>
      <c r="D2948" s="1" t="str">
        <f t="shared" si="293"/>
        <v>89177328</v>
      </c>
      <c r="E2948" s="1" t="s">
        <v>24</v>
      </c>
      <c r="F2948" s="1" t="str">
        <f t="shared" si="294"/>
        <v>0010</v>
      </c>
      <c r="G2948" s="1" t="str">
        <f>""</f>
        <v/>
      </c>
      <c r="H2948" s="1" t="str">
        <f>"0017"</f>
        <v>0017</v>
      </c>
      <c r="I2948" s="1" t="s">
        <v>135</v>
      </c>
      <c r="J2948" s="1" t="str">
        <f>"01043989717"</f>
        <v>01043989717</v>
      </c>
      <c r="K2948" s="1" t="str">
        <f>"2017-03-16 19:58:19"</f>
        <v>2017-03-16 19:58:19</v>
      </c>
      <c r="L2948" s="1" t="str">
        <f>"2017-03-16 19:58:27"</f>
        <v>2017-03-16 19:58:27</v>
      </c>
      <c r="M2948" s="2">
        <v>6.8402777777777776E-3</v>
      </c>
      <c r="N2948" s="1" t="s">
        <v>26</v>
      </c>
      <c r="O2948" s="1" t="s">
        <v>34</v>
      </c>
      <c r="P2948" s="2">
        <v>6.9328703703703696E-3</v>
      </c>
      <c r="Q2948" s="1" t="s">
        <v>2138</v>
      </c>
      <c r="R2948" s="1">
        <v>0</v>
      </c>
      <c r="S2948" s="1" t="str">
        <f>""</f>
        <v/>
      </c>
      <c r="T2948" s="1" t="s">
        <v>29</v>
      </c>
      <c r="U2948" s="1" t="s">
        <v>30</v>
      </c>
      <c r="V2948" s="1">
        <v>0</v>
      </c>
    </row>
    <row r="2949" spans="2:22" x14ac:dyDescent="0.15">
      <c r="B2949" s="1" t="str">
        <f>"181****2719"</f>
        <v>181****2719</v>
      </c>
      <c r="C2949" s="1" t="s">
        <v>2139</v>
      </c>
      <c r="D2949" s="1" t="str">
        <f t="shared" si="293"/>
        <v>89177328</v>
      </c>
      <c r="E2949" s="1" t="s">
        <v>24</v>
      </c>
      <c r="F2949" s="1" t="str">
        <f t="shared" si="294"/>
        <v>0010</v>
      </c>
      <c r="G2949" s="1" t="str">
        <f>""</f>
        <v/>
      </c>
      <c r="H2949" s="1" t="str">
        <f>"0018"</f>
        <v>0018</v>
      </c>
      <c r="I2949" s="1" t="s">
        <v>36</v>
      </c>
      <c r="J2949" s="1" t="str">
        <f>"01043989718"</f>
        <v>01043989718</v>
      </c>
      <c r="K2949" s="1" t="str">
        <f>"2017-03-16 19:54:53"</f>
        <v>2017-03-16 19:54:53</v>
      </c>
      <c r="L2949" s="1" t="str">
        <f>"2017-03-16 19:54:58"</f>
        <v>2017-03-16 19:54:58</v>
      </c>
      <c r="M2949" s="2">
        <v>4.4560185185185189E-3</v>
      </c>
      <c r="N2949" s="1" t="s">
        <v>26</v>
      </c>
      <c r="O2949" s="1" t="s">
        <v>34</v>
      </c>
      <c r="P2949" s="2">
        <v>4.5138888888888893E-3</v>
      </c>
      <c r="Q2949" s="1" t="s">
        <v>2140</v>
      </c>
      <c r="R2949" s="1">
        <v>0</v>
      </c>
      <c r="S2949" s="1" t="str">
        <f>""</f>
        <v/>
      </c>
      <c r="T2949" s="1" t="s">
        <v>29</v>
      </c>
      <c r="U2949" s="1" t="s">
        <v>30</v>
      </c>
      <c r="V2949" s="1">
        <v>0</v>
      </c>
    </row>
    <row r="2950" spans="2:22" x14ac:dyDescent="0.15">
      <c r="B2950" s="1" t="str">
        <f>"185****3120"</f>
        <v>185****3120</v>
      </c>
      <c r="C2950" s="1" t="s">
        <v>23</v>
      </c>
      <c r="D2950" s="1" t="str">
        <f t="shared" si="293"/>
        <v>89177328</v>
      </c>
      <c r="E2950" s="1" t="s">
        <v>24</v>
      </c>
      <c r="F2950" s="1" t="str">
        <f t="shared" si="294"/>
        <v>0010</v>
      </c>
      <c r="G2950" s="1" t="str">
        <f>""</f>
        <v/>
      </c>
      <c r="H2950" s="1" t="str">
        <f>"0032"</f>
        <v>0032</v>
      </c>
      <c r="I2950" s="1" t="s">
        <v>119</v>
      </c>
      <c r="J2950" s="1" t="str">
        <f>"01043977566"</f>
        <v>01043977566</v>
      </c>
      <c r="K2950" s="1" t="str">
        <f>"2017-03-16 19:19:35"</f>
        <v>2017-03-16 19:19:35</v>
      </c>
      <c r="L2950" s="1" t="str">
        <f>"-"</f>
        <v>-</v>
      </c>
      <c r="M2950" s="2">
        <v>0</v>
      </c>
      <c r="N2950" s="1" t="s">
        <v>33</v>
      </c>
      <c r="O2950" s="1" t="s">
        <v>34</v>
      </c>
      <c r="P2950" s="2">
        <v>2.3148148148148147E-5</v>
      </c>
      <c r="Q2950" s="1" t="str">
        <f>""</f>
        <v/>
      </c>
      <c r="R2950" s="1">
        <v>0</v>
      </c>
      <c r="S2950" s="1" t="str">
        <f>""</f>
        <v/>
      </c>
      <c r="T2950" s="1" t="s">
        <v>29</v>
      </c>
      <c r="U2950" s="1" t="s">
        <v>30</v>
      </c>
      <c r="V2950" s="1">
        <v>0</v>
      </c>
    </row>
    <row r="2951" spans="2:22" x14ac:dyDescent="0.15">
      <c r="B2951" s="1" t="str">
        <f>"182****5996"</f>
        <v>182****5996</v>
      </c>
      <c r="C2951" s="1" t="s">
        <v>44</v>
      </c>
      <c r="D2951" s="1" t="str">
        <f t="shared" si="293"/>
        <v>89177328</v>
      </c>
      <c r="E2951" s="1" t="s">
        <v>24</v>
      </c>
      <c r="F2951" s="1" t="str">
        <f t="shared" si="294"/>
        <v>0010</v>
      </c>
      <c r="G2951" s="1" t="str">
        <f>""</f>
        <v/>
      </c>
      <c r="H2951" s="1" t="str">
        <f>"0032"</f>
        <v>0032</v>
      </c>
      <c r="I2951" s="1" t="s">
        <v>119</v>
      </c>
      <c r="J2951" s="1" t="str">
        <f>"01043977566"</f>
        <v>01043977566</v>
      </c>
      <c r="K2951" s="1" t="str">
        <f>"2017-03-16 19:12:23"</f>
        <v>2017-03-16 19:12:23</v>
      </c>
      <c r="L2951" s="1" t="str">
        <f>"2017-03-16 19:12:33"</f>
        <v>2017-03-16 19:12:33</v>
      </c>
      <c r="M2951" s="2">
        <v>1.1574074074074073E-3</v>
      </c>
      <c r="N2951" s="1" t="s">
        <v>26</v>
      </c>
      <c r="O2951" s="1" t="s">
        <v>34</v>
      </c>
      <c r="P2951" s="2">
        <v>1.2731481481481483E-3</v>
      </c>
      <c r="Q2951" s="1" t="s">
        <v>2141</v>
      </c>
      <c r="R2951" s="1">
        <v>0</v>
      </c>
      <c r="S2951" s="1" t="str">
        <f>""</f>
        <v/>
      </c>
      <c r="T2951" s="1" t="s">
        <v>29</v>
      </c>
      <c r="U2951" s="1" t="s">
        <v>30</v>
      </c>
      <c r="V2951" s="1">
        <v>0</v>
      </c>
    </row>
    <row r="2952" spans="2:22" x14ac:dyDescent="0.15">
      <c r="B2952" s="1" t="str">
        <f>"137****8113"</f>
        <v>137****8113</v>
      </c>
      <c r="C2952" s="1" t="s">
        <v>23</v>
      </c>
      <c r="D2952" s="1" t="str">
        <f t="shared" si="293"/>
        <v>89177328</v>
      </c>
      <c r="E2952" s="1" t="s">
        <v>24</v>
      </c>
      <c r="F2952" s="1" t="str">
        <f t="shared" si="294"/>
        <v>0010</v>
      </c>
      <c r="G2952" s="1" t="str">
        <f>""</f>
        <v/>
      </c>
      <c r="H2952" s="1" t="str">
        <f>"0017"</f>
        <v>0017</v>
      </c>
      <c r="I2952" s="1" t="s">
        <v>135</v>
      </c>
      <c r="J2952" s="1" t="str">
        <f>"01043989717"</f>
        <v>01043989717</v>
      </c>
      <c r="K2952" s="1" t="str">
        <f>"2017-03-16 18:53:07"</f>
        <v>2017-03-16 18:53:07</v>
      </c>
      <c r="L2952" s="1" t="str">
        <f>"2017-03-16 18:53:11"</f>
        <v>2017-03-16 18:53:11</v>
      </c>
      <c r="M2952" s="2">
        <v>2.2106481481481478E-3</v>
      </c>
      <c r="N2952" s="1" t="s">
        <v>26</v>
      </c>
      <c r="O2952" s="1" t="s">
        <v>27</v>
      </c>
      <c r="P2952" s="2">
        <v>2.2569444444444447E-3</v>
      </c>
      <c r="Q2952" s="1" t="s">
        <v>2142</v>
      </c>
      <c r="R2952" s="1">
        <v>0</v>
      </c>
      <c r="S2952" s="1" t="str">
        <f>""</f>
        <v/>
      </c>
      <c r="T2952" s="1" t="s">
        <v>29</v>
      </c>
      <c r="U2952" s="1" t="s">
        <v>30</v>
      </c>
      <c r="V2952" s="1">
        <v>0</v>
      </c>
    </row>
    <row r="2953" spans="2:22" x14ac:dyDescent="0.15">
      <c r="B2953" s="1" t="str">
        <f>"185****9090"</f>
        <v>185****9090</v>
      </c>
      <c r="C2953" s="1" t="s">
        <v>132</v>
      </c>
      <c r="D2953" s="1" t="str">
        <f t="shared" si="293"/>
        <v>89177328</v>
      </c>
      <c r="E2953" s="1" t="s">
        <v>24</v>
      </c>
      <c r="F2953" s="1" t="str">
        <f t="shared" si="294"/>
        <v>0010</v>
      </c>
      <c r="G2953" s="1" t="str">
        <f>""</f>
        <v/>
      </c>
      <c r="H2953" s="1" t="str">
        <f>"0017"</f>
        <v>0017</v>
      </c>
      <c r="I2953" s="1" t="s">
        <v>135</v>
      </c>
      <c r="J2953" s="1" t="str">
        <f>"01043989717"</f>
        <v>01043989717</v>
      </c>
      <c r="K2953" s="1" t="str">
        <f>"2017-03-16 18:46:18"</f>
        <v>2017-03-16 18:46:18</v>
      </c>
      <c r="L2953" s="1" t="str">
        <f>"2017-03-16 18:46:22"</f>
        <v>2017-03-16 18:46:22</v>
      </c>
      <c r="M2953" s="2">
        <v>3.9351851851851857E-3</v>
      </c>
      <c r="N2953" s="1" t="s">
        <v>26</v>
      </c>
      <c r="O2953" s="1" t="s">
        <v>34</v>
      </c>
      <c r="P2953" s="2">
        <v>3.9814814814814817E-3</v>
      </c>
      <c r="Q2953" s="1" t="s">
        <v>2143</v>
      </c>
      <c r="R2953" s="1">
        <v>0</v>
      </c>
      <c r="S2953" s="1" t="str">
        <f>""</f>
        <v/>
      </c>
      <c r="T2953" s="1" t="s">
        <v>29</v>
      </c>
      <c r="U2953" s="1" t="s">
        <v>30</v>
      </c>
      <c r="V2953" s="1">
        <v>0</v>
      </c>
    </row>
    <row r="2954" spans="2:22" x14ac:dyDescent="0.15">
      <c r="B2954" s="1" t="str">
        <f>"138****8218"</f>
        <v>138****8218</v>
      </c>
      <c r="C2954" s="1" t="s">
        <v>23</v>
      </c>
      <c r="D2954" s="1" t="str">
        <f t="shared" si="293"/>
        <v>89177328</v>
      </c>
      <c r="E2954" s="1" t="s">
        <v>24</v>
      </c>
      <c r="F2954" s="1" t="str">
        <f t="shared" si="294"/>
        <v>0010</v>
      </c>
      <c r="G2954" s="1" t="str">
        <f>""</f>
        <v/>
      </c>
      <c r="H2954" s="1" t="str">
        <f>""</f>
        <v/>
      </c>
      <c r="I2954" s="1" t="str">
        <f>""</f>
        <v/>
      </c>
      <c r="J2954" s="1" t="str">
        <f>""</f>
        <v/>
      </c>
      <c r="K2954" s="1" t="str">
        <f>"2017-03-16 18:35:55"</f>
        <v>2017-03-16 18:35:55</v>
      </c>
      <c r="L2954" s="1" t="str">
        <f>"-"</f>
        <v>-</v>
      </c>
      <c r="M2954" s="2">
        <v>0</v>
      </c>
      <c r="N2954" s="1" t="s">
        <v>55</v>
      </c>
      <c r="O2954" s="1" t="s">
        <v>34</v>
      </c>
      <c r="P2954" s="2">
        <v>2.3148148148148151E-3</v>
      </c>
      <c r="Q2954" s="1" t="str">
        <f>""</f>
        <v/>
      </c>
      <c r="R2954" s="1">
        <v>0</v>
      </c>
      <c r="S2954" s="1" t="str">
        <f>""</f>
        <v/>
      </c>
      <c r="T2954" s="1" t="s">
        <v>29</v>
      </c>
      <c r="U2954" s="1" t="s">
        <v>30</v>
      </c>
      <c r="V2954" s="1">
        <v>0</v>
      </c>
    </row>
    <row r="2955" spans="2:22" x14ac:dyDescent="0.15">
      <c r="B2955" s="1" t="str">
        <f>"010****3388"</f>
        <v>010****3388</v>
      </c>
      <c r="C2955" s="1" t="s">
        <v>23</v>
      </c>
      <c r="D2955" s="1" t="str">
        <f t="shared" si="293"/>
        <v>89177328</v>
      </c>
      <c r="E2955" s="1" t="s">
        <v>24</v>
      </c>
      <c r="F2955" s="1" t="str">
        <f t="shared" si="294"/>
        <v>0010</v>
      </c>
      <c r="G2955" s="1" t="str">
        <f>""</f>
        <v/>
      </c>
      <c r="H2955" s="1" t="str">
        <f>"0033"</f>
        <v>0033</v>
      </c>
      <c r="I2955" s="1" t="s">
        <v>106</v>
      </c>
      <c r="J2955" s="1" t="str">
        <f>"01043977567"</f>
        <v>01043977567</v>
      </c>
      <c r="K2955" s="1" t="str">
        <f>"2017-03-16 18:35:52"</f>
        <v>2017-03-16 18:35:52</v>
      </c>
      <c r="L2955" s="1" t="str">
        <f>"2017-03-16 18:35:58"</f>
        <v>2017-03-16 18:35:58</v>
      </c>
      <c r="M2955" s="2">
        <v>1.6331018518518519E-2</v>
      </c>
      <c r="N2955" s="1" t="s">
        <v>26</v>
      </c>
      <c r="O2955" s="1" t="s">
        <v>27</v>
      </c>
      <c r="P2955" s="2">
        <v>1.6400462962962964E-2</v>
      </c>
      <c r="Q2955" s="1" t="s">
        <v>2144</v>
      </c>
      <c r="R2955" s="1">
        <v>0</v>
      </c>
      <c r="S2955" s="1" t="str">
        <f>""</f>
        <v/>
      </c>
      <c r="T2955" s="1" t="s">
        <v>29</v>
      </c>
      <c r="U2955" s="1" t="s">
        <v>30</v>
      </c>
      <c r="V2955" s="1">
        <v>0</v>
      </c>
    </row>
    <row r="2956" spans="2:22" x14ac:dyDescent="0.15">
      <c r="B2956" s="1" t="str">
        <f>"185****7155"</f>
        <v>185****7155</v>
      </c>
      <c r="C2956" s="1" t="s">
        <v>1867</v>
      </c>
      <c r="D2956" s="1" t="str">
        <f t="shared" si="293"/>
        <v>89177328</v>
      </c>
      <c r="E2956" s="1" t="s">
        <v>24</v>
      </c>
      <c r="F2956" s="1" t="str">
        <f t="shared" si="294"/>
        <v>0010</v>
      </c>
      <c r="G2956" s="1" t="str">
        <f>""</f>
        <v/>
      </c>
      <c r="H2956" s="1" t="str">
        <f>"0034"</f>
        <v>0034</v>
      </c>
      <c r="I2956" s="1" t="s">
        <v>31</v>
      </c>
      <c r="J2956" s="1" t="str">
        <f>"01043977568"</f>
        <v>01043977568</v>
      </c>
      <c r="K2956" s="1" t="str">
        <f>"2017-03-16 18:35:17"</f>
        <v>2017-03-16 18:35:17</v>
      </c>
      <c r="L2956" s="1" t="str">
        <f>"2017-03-16 18:35:24"</f>
        <v>2017-03-16 18:35:24</v>
      </c>
      <c r="M2956" s="2">
        <v>8.4375000000000006E-3</v>
      </c>
      <c r="N2956" s="1" t="s">
        <v>26</v>
      </c>
      <c r="O2956" s="1" t="s">
        <v>34</v>
      </c>
      <c r="P2956" s="2">
        <v>8.518518518518519E-3</v>
      </c>
      <c r="Q2956" s="1" t="s">
        <v>2145</v>
      </c>
      <c r="R2956" s="1">
        <v>0</v>
      </c>
      <c r="S2956" s="1" t="str">
        <f>""</f>
        <v/>
      </c>
      <c r="T2956" s="1" t="s">
        <v>29</v>
      </c>
      <c r="U2956" s="1" t="s">
        <v>30</v>
      </c>
      <c r="V2956" s="1">
        <v>0</v>
      </c>
    </row>
    <row r="2957" spans="2:22" x14ac:dyDescent="0.15">
      <c r="B2957" s="1" t="str">
        <f>"116114"</f>
        <v>116114</v>
      </c>
      <c r="C2957" s="1" t="s">
        <v>159</v>
      </c>
      <c r="D2957" s="1" t="str">
        <f t="shared" si="293"/>
        <v>89177328</v>
      </c>
      <c r="E2957" s="1" t="s">
        <v>24</v>
      </c>
      <c r="F2957" s="1" t="str">
        <f t="shared" si="294"/>
        <v>0010</v>
      </c>
      <c r="G2957" s="1" t="str">
        <f>""</f>
        <v/>
      </c>
      <c r="H2957" s="1" t="str">
        <f>"0033"</f>
        <v>0033</v>
      </c>
      <c r="I2957" s="1" t="s">
        <v>106</v>
      </c>
      <c r="J2957" s="1" t="str">
        <f>"01043977567"</f>
        <v>01043977567</v>
      </c>
      <c r="K2957" s="1" t="str">
        <f>"2017-03-16 18:32:24"</f>
        <v>2017-03-16 18:32:24</v>
      </c>
      <c r="L2957" s="1" t="str">
        <f>"2017-03-16 18:32:33"</f>
        <v>2017-03-16 18:32:33</v>
      </c>
      <c r="M2957" s="2">
        <v>1.6435185185185183E-3</v>
      </c>
      <c r="N2957" s="1" t="s">
        <v>26</v>
      </c>
      <c r="O2957" s="1" t="s">
        <v>27</v>
      </c>
      <c r="P2957" s="2">
        <v>1.7476851851851852E-3</v>
      </c>
      <c r="Q2957" s="1" t="s">
        <v>2146</v>
      </c>
      <c r="R2957" s="1">
        <v>0</v>
      </c>
      <c r="S2957" s="1" t="str">
        <f>""</f>
        <v/>
      </c>
      <c r="T2957" s="1" t="s">
        <v>29</v>
      </c>
      <c r="U2957" s="1" t="s">
        <v>30</v>
      </c>
      <c r="V2957" s="1">
        <v>0</v>
      </c>
    </row>
    <row r="2958" spans="2:22" x14ac:dyDescent="0.15">
      <c r="B2958" s="1" t="str">
        <f>"189****5230"</f>
        <v>189****5230</v>
      </c>
      <c r="C2958" s="1" t="s">
        <v>23</v>
      </c>
      <c r="D2958" s="1" t="str">
        <f t="shared" si="293"/>
        <v>89177328</v>
      </c>
      <c r="E2958" s="1" t="s">
        <v>24</v>
      </c>
      <c r="F2958" s="1" t="str">
        <f t="shared" si="294"/>
        <v>0010</v>
      </c>
      <c r="G2958" s="1" t="str">
        <f>""</f>
        <v/>
      </c>
      <c r="H2958" s="1" t="str">
        <f>"0034"</f>
        <v>0034</v>
      </c>
      <c r="I2958" s="1" t="s">
        <v>31</v>
      </c>
      <c r="J2958" s="1" t="str">
        <f>"01043977568"</f>
        <v>01043977568</v>
      </c>
      <c r="K2958" s="1" t="str">
        <f>"2017-03-16 18:05:54"</f>
        <v>2017-03-16 18:05:54</v>
      </c>
      <c r="L2958" s="1" t="str">
        <f>"2017-03-16 18:06:04"</f>
        <v>2017-03-16 18:06:04</v>
      </c>
      <c r="M2958" s="2">
        <v>7.8703703703703705E-4</v>
      </c>
      <c r="N2958" s="1" t="s">
        <v>26</v>
      </c>
      <c r="O2958" s="1" t="s">
        <v>27</v>
      </c>
      <c r="P2958" s="2">
        <v>9.0277777777777784E-4</v>
      </c>
      <c r="Q2958" s="1" t="s">
        <v>2147</v>
      </c>
      <c r="R2958" s="1">
        <v>0</v>
      </c>
      <c r="S2958" s="1" t="str">
        <f>""</f>
        <v/>
      </c>
      <c r="T2958" s="1" t="s">
        <v>29</v>
      </c>
      <c r="U2958" s="1" t="s">
        <v>30</v>
      </c>
      <c r="V2958" s="1">
        <v>0</v>
      </c>
    </row>
    <row r="2959" spans="2:22" x14ac:dyDescent="0.15">
      <c r="B2959" s="1" t="str">
        <f>"010****6097"</f>
        <v>010****6097</v>
      </c>
      <c r="C2959" s="1" t="s">
        <v>23</v>
      </c>
      <c r="D2959" s="1" t="str">
        <f t="shared" si="293"/>
        <v>89177328</v>
      </c>
      <c r="E2959" s="1" t="s">
        <v>24</v>
      </c>
      <c r="F2959" s="1" t="str">
        <f t="shared" si="294"/>
        <v>0010</v>
      </c>
      <c r="G2959" s="1" t="str">
        <f>""</f>
        <v/>
      </c>
      <c r="H2959" s="1" t="str">
        <f>"0033"</f>
        <v>0033</v>
      </c>
      <c r="I2959" s="1" t="s">
        <v>106</v>
      </c>
      <c r="J2959" s="1" t="str">
        <f>"01043977567"</f>
        <v>01043977567</v>
      </c>
      <c r="K2959" s="1" t="str">
        <f>"2017-03-16 17:59:53"</f>
        <v>2017-03-16 17:59:53</v>
      </c>
      <c r="L2959" s="1" t="str">
        <f>"2017-03-16 17:59:59"</f>
        <v>2017-03-16 17:59:59</v>
      </c>
      <c r="M2959" s="2">
        <v>1.2916666666666667E-2</v>
      </c>
      <c r="N2959" s="1" t="s">
        <v>26</v>
      </c>
      <c r="O2959" s="1" t="s">
        <v>27</v>
      </c>
      <c r="P2959" s="2">
        <v>1.298611111111111E-2</v>
      </c>
      <c r="Q2959" s="1" t="s">
        <v>2148</v>
      </c>
      <c r="R2959" s="1">
        <v>0</v>
      </c>
      <c r="S2959" s="1" t="str">
        <f>""</f>
        <v/>
      </c>
      <c r="T2959" s="1" t="s">
        <v>29</v>
      </c>
      <c r="U2959" s="1" t="s">
        <v>30</v>
      </c>
      <c r="V2959" s="1">
        <v>0</v>
      </c>
    </row>
    <row r="2960" spans="2:22" x14ac:dyDescent="0.15">
      <c r="B2960" s="1" t="str">
        <f>"186****7227"</f>
        <v>186****7227</v>
      </c>
      <c r="C2960" s="1" t="s">
        <v>23</v>
      </c>
      <c r="D2960" s="1" t="str">
        <f t="shared" si="293"/>
        <v>89177328</v>
      </c>
      <c r="E2960" s="1" t="s">
        <v>24</v>
      </c>
      <c r="F2960" s="1" t="str">
        <f t="shared" si="294"/>
        <v>0010</v>
      </c>
      <c r="G2960" s="1" t="str">
        <f>""</f>
        <v/>
      </c>
      <c r="H2960" s="1" t="str">
        <f>"0010"</f>
        <v>0010</v>
      </c>
      <c r="I2960" s="1" t="s">
        <v>71</v>
      </c>
      <c r="J2960" s="1" t="str">
        <f>"01043989719"</f>
        <v>01043989719</v>
      </c>
      <c r="K2960" s="1" t="str">
        <f>"2017-03-16 17:53:30"</f>
        <v>2017-03-16 17:53:30</v>
      </c>
      <c r="L2960" s="1" t="str">
        <f>"2017-03-16 17:53:39"</f>
        <v>2017-03-16 17:53:39</v>
      </c>
      <c r="M2960" s="2">
        <v>8.6342592592592599E-3</v>
      </c>
      <c r="N2960" s="1" t="s">
        <v>26</v>
      </c>
      <c r="O2960" s="1" t="s">
        <v>27</v>
      </c>
      <c r="P2960" s="2">
        <v>8.7384259259259255E-3</v>
      </c>
      <c r="Q2960" s="1" t="s">
        <v>2149</v>
      </c>
      <c r="R2960" s="1">
        <v>0</v>
      </c>
      <c r="S2960" s="1" t="str">
        <f>""</f>
        <v/>
      </c>
      <c r="T2960" s="1" t="s">
        <v>29</v>
      </c>
      <c r="U2960" s="1" t="s">
        <v>30</v>
      </c>
      <c r="V2960" s="1">
        <v>0</v>
      </c>
    </row>
    <row r="2961" spans="2:22" x14ac:dyDescent="0.15">
      <c r="B2961" s="1" t="str">
        <f>"010****1986"</f>
        <v>010****1986</v>
      </c>
      <c r="C2961" s="1" t="s">
        <v>23</v>
      </c>
      <c r="D2961" s="1" t="str">
        <f t="shared" si="293"/>
        <v>89177328</v>
      </c>
      <c r="E2961" s="1" t="s">
        <v>24</v>
      </c>
      <c r="F2961" s="1" t="str">
        <f t="shared" si="294"/>
        <v>0010</v>
      </c>
      <c r="G2961" s="1" t="str">
        <f>""</f>
        <v/>
      </c>
      <c r="H2961" s="1" t="str">
        <f>"0010"</f>
        <v>0010</v>
      </c>
      <c r="I2961" s="1" t="s">
        <v>71</v>
      </c>
      <c r="J2961" s="1" t="str">
        <f>"01043989719"</f>
        <v>01043989719</v>
      </c>
      <c r="K2961" s="1" t="str">
        <f>"2017-03-16 17:16:52"</f>
        <v>2017-03-16 17:16:52</v>
      </c>
      <c r="L2961" s="1" t="str">
        <f>"2017-03-16 17:16:59"</f>
        <v>2017-03-16 17:16:59</v>
      </c>
      <c r="M2961" s="2">
        <v>3.5879629629629635E-4</v>
      </c>
      <c r="N2961" s="1" t="s">
        <v>26</v>
      </c>
      <c r="O2961" s="1" t="s">
        <v>34</v>
      </c>
      <c r="P2961" s="2">
        <v>4.3981481481481481E-4</v>
      </c>
      <c r="Q2961" s="1" t="s">
        <v>2150</v>
      </c>
      <c r="R2961" s="1">
        <v>0</v>
      </c>
      <c r="S2961" s="1" t="str">
        <f>""</f>
        <v/>
      </c>
      <c r="T2961" s="1" t="s">
        <v>29</v>
      </c>
      <c r="U2961" s="1" t="s">
        <v>30</v>
      </c>
      <c r="V2961" s="1">
        <v>0</v>
      </c>
    </row>
    <row r="2962" spans="2:22" x14ac:dyDescent="0.15">
      <c r="B2962" s="1" t="str">
        <f>"185****3120"</f>
        <v>185****3120</v>
      </c>
      <c r="C2962" s="1" t="s">
        <v>23</v>
      </c>
      <c r="D2962" s="1" t="str">
        <f t="shared" si="293"/>
        <v>89177328</v>
      </c>
      <c r="E2962" s="1" t="s">
        <v>24</v>
      </c>
      <c r="F2962" s="1" t="str">
        <f t="shared" si="294"/>
        <v>0010</v>
      </c>
      <c r="G2962" s="1" t="str">
        <f>""</f>
        <v/>
      </c>
      <c r="H2962" s="1" t="str">
        <f>"0031"</f>
        <v>0031</v>
      </c>
      <c r="I2962" s="1" t="s">
        <v>95</v>
      </c>
      <c r="J2962" s="1" t="str">
        <f>"01043977565"</f>
        <v>01043977565</v>
      </c>
      <c r="K2962" s="1" t="str">
        <f>"2017-03-16 17:13:34"</f>
        <v>2017-03-16 17:13:34</v>
      </c>
      <c r="L2962" s="1" t="str">
        <f>"2017-03-16 17:13:40"</f>
        <v>2017-03-16 17:13:40</v>
      </c>
      <c r="M2962" s="2">
        <v>7.1180555555555554E-3</v>
      </c>
      <c r="N2962" s="1" t="s">
        <v>26</v>
      </c>
      <c r="O2962" s="1" t="s">
        <v>27</v>
      </c>
      <c r="P2962" s="2">
        <v>7.1874999999999994E-3</v>
      </c>
      <c r="Q2962" s="1" t="s">
        <v>2151</v>
      </c>
      <c r="R2962" s="1">
        <v>0</v>
      </c>
      <c r="S2962" s="1" t="str">
        <f>""</f>
        <v/>
      </c>
      <c r="T2962" s="1" t="s">
        <v>29</v>
      </c>
      <c r="U2962" s="1" t="s">
        <v>30</v>
      </c>
      <c r="V2962" s="1">
        <v>0</v>
      </c>
    </row>
    <row r="2963" spans="2:22" x14ac:dyDescent="0.15">
      <c r="B2963" s="1" t="str">
        <f>"173****6527"</f>
        <v>173****6527</v>
      </c>
      <c r="C2963" s="1" t="s">
        <v>23</v>
      </c>
      <c r="D2963" s="1" t="str">
        <f t="shared" si="293"/>
        <v>89177328</v>
      </c>
      <c r="E2963" s="1" t="s">
        <v>24</v>
      </c>
      <c r="F2963" s="1" t="str">
        <f t="shared" si="294"/>
        <v>0010</v>
      </c>
      <c r="G2963" s="1" t="str">
        <f>""</f>
        <v/>
      </c>
      <c r="H2963" s="1" t="str">
        <f>"0010"</f>
        <v>0010</v>
      </c>
      <c r="I2963" s="1" t="s">
        <v>71</v>
      </c>
      <c r="J2963" s="1" t="str">
        <f>"01043989719"</f>
        <v>01043989719</v>
      </c>
      <c r="K2963" s="1" t="str">
        <f>"2017-03-16 17:09:12"</f>
        <v>2017-03-16 17:09:12</v>
      </c>
      <c r="L2963" s="1" t="str">
        <f>"2017-03-16 17:09:21"</f>
        <v>2017-03-16 17:09:21</v>
      </c>
      <c r="M2963" s="2">
        <v>3.9004629629629632E-3</v>
      </c>
      <c r="N2963" s="1" t="s">
        <v>26</v>
      </c>
      <c r="O2963" s="1" t="s">
        <v>27</v>
      </c>
      <c r="P2963" s="2">
        <v>4.0046296296296297E-3</v>
      </c>
      <c r="Q2963" s="1" t="s">
        <v>2152</v>
      </c>
      <c r="R2963" s="1">
        <v>0</v>
      </c>
      <c r="S2963" s="1" t="str">
        <f>""</f>
        <v/>
      </c>
      <c r="T2963" s="1" t="s">
        <v>29</v>
      </c>
      <c r="U2963" s="1" t="s">
        <v>30</v>
      </c>
      <c r="V2963" s="1">
        <v>0</v>
      </c>
    </row>
    <row r="2964" spans="2:22" x14ac:dyDescent="0.15">
      <c r="B2964" s="1" t="str">
        <f>"131****6263"</f>
        <v>131****6263</v>
      </c>
      <c r="C2964" s="1" t="s">
        <v>23</v>
      </c>
      <c r="D2964" s="1" t="str">
        <f t="shared" si="293"/>
        <v>89177328</v>
      </c>
      <c r="E2964" s="1" t="s">
        <v>24</v>
      </c>
      <c r="F2964" s="1" t="str">
        <f t="shared" si="294"/>
        <v>0010</v>
      </c>
      <c r="G2964" s="1" t="str">
        <f>""</f>
        <v/>
      </c>
      <c r="H2964" s="1" t="str">
        <f>"0034"</f>
        <v>0034</v>
      </c>
      <c r="I2964" s="1" t="s">
        <v>31</v>
      </c>
      <c r="J2964" s="1" t="str">
        <f>"01043977568"</f>
        <v>01043977568</v>
      </c>
      <c r="K2964" s="1" t="str">
        <f>"2017-03-16 17:00:29"</f>
        <v>2017-03-16 17:00:29</v>
      </c>
      <c r="L2964" s="1" t="str">
        <f>"2017-03-16 17:00:37"</f>
        <v>2017-03-16 17:00:37</v>
      </c>
      <c r="M2964" s="2">
        <v>1.3194444444444444E-2</v>
      </c>
      <c r="N2964" s="1" t="s">
        <v>26</v>
      </c>
      <c r="O2964" s="1" t="s">
        <v>27</v>
      </c>
      <c r="P2964" s="2">
        <v>1.3287037037037036E-2</v>
      </c>
      <c r="Q2964" s="1" t="s">
        <v>2153</v>
      </c>
      <c r="R2964" s="1">
        <v>0</v>
      </c>
      <c r="S2964" s="1" t="str">
        <f>""</f>
        <v/>
      </c>
      <c r="T2964" s="1" t="s">
        <v>29</v>
      </c>
      <c r="U2964" s="1" t="s">
        <v>30</v>
      </c>
      <c r="V2964" s="1">
        <v>0</v>
      </c>
    </row>
    <row r="2965" spans="2:22" x14ac:dyDescent="0.15">
      <c r="B2965" s="1" t="str">
        <f>"186****2713"</f>
        <v>186****2713</v>
      </c>
      <c r="C2965" s="1" t="s">
        <v>23</v>
      </c>
      <c r="D2965" s="1" t="str">
        <f t="shared" si="293"/>
        <v>89177328</v>
      </c>
      <c r="E2965" s="1" t="s">
        <v>24</v>
      </c>
      <c r="F2965" s="1" t="str">
        <f t="shared" si="294"/>
        <v>0010</v>
      </c>
      <c r="G2965" s="1" t="str">
        <f>""</f>
        <v/>
      </c>
      <c r="H2965" s="1" t="str">
        <f>"0033"</f>
        <v>0033</v>
      </c>
      <c r="I2965" s="1" t="s">
        <v>106</v>
      </c>
      <c r="J2965" s="1" t="str">
        <f>"01043977567"</f>
        <v>01043977567</v>
      </c>
      <c r="K2965" s="1" t="str">
        <f>"2017-03-16 16:58:40"</f>
        <v>2017-03-16 16:58:40</v>
      </c>
      <c r="L2965" s="1" t="str">
        <f>"2017-03-16 16:58:47"</f>
        <v>2017-03-16 16:58:47</v>
      </c>
      <c r="M2965" s="2">
        <v>5.3587962962962964E-3</v>
      </c>
      <c r="N2965" s="1" t="s">
        <v>26</v>
      </c>
      <c r="O2965" s="1" t="s">
        <v>27</v>
      </c>
      <c r="P2965" s="2">
        <v>5.4398148148148149E-3</v>
      </c>
      <c r="Q2965" s="1" t="s">
        <v>2154</v>
      </c>
      <c r="R2965" s="1">
        <v>0</v>
      </c>
      <c r="S2965" s="1" t="str">
        <f>""</f>
        <v/>
      </c>
      <c r="T2965" s="1" t="s">
        <v>29</v>
      </c>
      <c r="U2965" s="1" t="s">
        <v>30</v>
      </c>
      <c r="V2965" s="1">
        <v>0</v>
      </c>
    </row>
    <row r="2966" spans="2:22" x14ac:dyDescent="0.15">
      <c r="B2966" s="1" t="str">
        <f>"139****4238"</f>
        <v>139****4238</v>
      </c>
      <c r="C2966" s="1" t="s">
        <v>99</v>
      </c>
      <c r="D2966" s="1" t="str">
        <f t="shared" si="293"/>
        <v>89177328</v>
      </c>
      <c r="E2966" s="1" t="s">
        <v>24</v>
      </c>
      <c r="F2966" s="1" t="str">
        <f t="shared" si="294"/>
        <v>0010</v>
      </c>
      <c r="G2966" s="1" t="str">
        <f>""</f>
        <v/>
      </c>
      <c r="H2966" s="1" t="str">
        <f>"0010"</f>
        <v>0010</v>
      </c>
      <c r="I2966" s="1" t="s">
        <v>71</v>
      </c>
      <c r="J2966" s="1" t="str">
        <f>"01043989719"</f>
        <v>01043989719</v>
      </c>
      <c r="K2966" s="1" t="str">
        <f>"2017-03-16 16:50:15"</f>
        <v>2017-03-16 16:50:15</v>
      </c>
      <c r="L2966" s="1" t="str">
        <f>"2017-03-16 16:50:19"</f>
        <v>2017-03-16 16:50:19</v>
      </c>
      <c r="M2966" s="2">
        <v>7.0601851851851841E-3</v>
      </c>
      <c r="N2966" s="1" t="s">
        <v>26</v>
      </c>
      <c r="O2966" s="1" t="s">
        <v>27</v>
      </c>
      <c r="P2966" s="2">
        <v>7.106481481481481E-3</v>
      </c>
      <c r="Q2966" s="1" t="s">
        <v>2155</v>
      </c>
      <c r="R2966" s="1">
        <v>0</v>
      </c>
      <c r="S2966" s="1" t="str">
        <f>""</f>
        <v/>
      </c>
      <c r="T2966" s="1" t="s">
        <v>29</v>
      </c>
      <c r="U2966" s="1" t="s">
        <v>30</v>
      </c>
      <c r="V2966" s="1">
        <v>0</v>
      </c>
    </row>
    <row r="2967" spans="2:22" x14ac:dyDescent="0.15">
      <c r="B2967" s="1" t="str">
        <f>"138****3969"</f>
        <v>138****3969</v>
      </c>
      <c r="C2967" s="1" t="s">
        <v>23</v>
      </c>
      <c r="D2967" s="1" t="str">
        <f t="shared" si="293"/>
        <v>89177328</v>
      </c>
      <c r="E2967" s="1" t="s">
        <v>24</v>
      </c>
      <c r="F2967" s="1" t="str">
        <f t="shared" si="294"/>
        <v>0010</v>
      </c>
      <c r="G2967" s="1" t="str">
        <f>""</f>
        <v/>
      </c>
      <c r="H2967" s="1" t="str">
        <f>"0010"</f>
        <v>0010</v>
      </c>
      <c r="I2967" s="1" t="s">
        <v>71</v>
      </c>
      <c r="J2967" s="1" t="str">
        <f>"01043989719"</f>
        <v>01043989719</v>
      </c>
      <c r="K2967" s="1" t="str">
        <f>"2017-03-16 16:46:12"</f>
        <v>2017-03-16 16:46:12</v>
      </c>
      <c r="L2967" s="1" t="str">
        <f>"2017-03-16 16:46:22"</f>
        <v>2017-03-16 16:46:22</v>
      </c>
      <c r="M2967" s="2">
        <v>2.3958333333333336E-3</v>
      </c>
      <c r="N2967" s="1" t="s">
        <v>26</v>
      </c>
      <c r="O2967" s="1" t="s">
        <v>34</v>
      </c>
      <c r="P2967" s="2">
        <v>2.5115740740740741E-3</v>
      </c>
      <c r="Q2967" s="1" t="s">
        <v>2156</v>
      </c>
      <c r="R2967" s="1">
        <v>0</v>
      </c>
      <c r="S2967" s="1" t="str">
        <f>""</f>
        <v/>
      </c>
      <c r="T2967" s="1" t="s">
        <v>29</v>
      </c>
      <c r="U2967" s="1" t="s">
        <v>30</v>
      </c>
      <c r="V2967" s="1">
        <v>0</v>
      </c>
    </row>
    <row r="2968" spans="2:22" x14ac:dyDescent="0.15">
      <c r="B2968" s="1" t="str">
        <f>"135****3619"</f>
        <v>135****3619</v>
      </c>
      <c r="C2968" s="1" t="s">
        <v>23</v>
      </c>
      <c r="D2968" s="1" t="str">
        <f t="shared" si="293"/>
        <v>89177328</v>
      </c>
      <c r="E2968" s="1" t="s">
        <v>24</v>
      </c>
      <c r="F2968" s="1" t="str">
        <f t="shared" si="294"/>
        <v>0010</v>
      </c>
      <c r="G2968" s="1" t="str">
        <f>""</f>
        <v/>
      </c>
      <c r="H2968" s="1" t="str">
        <f>"0012"</f>
        <v>0012</v>
      </c>
      <c r="I2968" s="1" t="s">
        <v>612</v>
      </c>
      <c r="J2968" s="1" t="str">
        <f>"01043989720"</f>
        <v>01043989720</v>
      </c>
      <c r="K2968" s="1" t="str">
        <f>"2017-03-16 16:44:09"</f>
        <v>2017-03-16 16:44:09</v>
      </c>
      <c r="L2968" s="1" t="str">
        <f>"2017-03-16 16:44:20"</f>
        <v>2017-03-16 16:44:20</v>
      </c>
      <c r="M2968" s="2">
        <v>1.0416666666666667E-4</v>
      </c>
      <c r="N2968" s="1" t="s">
        <v>26</v>
      </c>
      <c r="O2968" s="1" t="s">
        <v>27</v>
      </c>
      <c r="P2968" s="2">
        <v>2.3148148148148146E-4</v>
      </c>
      <c r="Q2968" s="1" t="s">
        <v>2157</v>
      </c>
      <c r="R2968" s="1">
        <v>0</v>
      </c>
      <c r="S2968" s="1" t="str">
        <f>""</f>
        <v/>
      </c>
      <c r="T2968" s="1" t="s">
        <v>29</v>
      </c>
      <c r="U2968" s="1" t="s">
        <v>30</v>
      </c>
      <c r="V2968" s="1">
        <v>0</v>
      </c>
    </row>
    <row r="2969" spans="2:22" x14ac:dyDescent="0.15">
      <c r="B2969" s="1" t="str">
        <f>"042****0890"</f>
        <v>042****0890</v>
      </c>
      <c r="C2969" s="1" t="s">
        <v>911</v>
      </c>
      <c r="D2969" s="1" t="str">
        <f t="shared" si="293"/>
        <v>89177328</v>
      </c>
      <c r="E2969" s="1" t="s">
        <v>24</v>
      </c>
      <c r="F2969" s="1" t="str">
        <f t="shared" si="294"/>
        <v>0010</v>
      </c>
      <c r="G2969" s="1" t="str">
        <f>""</f>
        <v/>
      </c>
      <c r="H2969" s="1" t="str">
        <f>"0034"</f>
        <v>0034</v>
      </c>
      <c r="I2969" s="1" t="s">
        <v>31</v>
      </c>
      <c r="J2969" s="1" t="str">
        <f>"01043977568"</f>
        <v>01043977568</v>
      </c>
      <c r="K2969" s="1" t="str">
        <f>"2017-03-16 16:40:43"</f>
        <v>2017-03-16 16:40:43</v>
      </c>
      <c r="L2969" s="1" t="str">
        <f>"2017-03-16 16:40:52"</f>
        <v>2017-03-16 16:40:52</v>
      </c>
      <c r="M2969" s="2">
        <v>1.3032407407407407E-2</v>
      </c>
      <c r="N2969" s="1" t="s">
        <v>26</v>
      </c>
      <c r="O2969" s="1" t="s">
        <v>34</v>
      </c>
      <c r="P2969" s="2">
        <v>1.3136574074074077E-2</v>
      </c>
      <c r="Q2969" s="1" t="s">
        <v>2158</v>
      </c>
      <c r="R2969" s="1">
        <v>0</v>
      </c>
      <c r="S2969" s="1" t="str">
        <f>""</f>
        <v/>
      </c>
      <c r="T2969" s="1" t="s">
        <v>29</v>
      </c>
      <c r="U2969" s="1" t="s">
        <v>30</v>
      </c>
      <c r="V2969" s="1">
        <v>0</v>
      </c>
    </row>
    <row r="2970" spans="2:22" x14ac:dyDescent="0.15">
      <c r="B2970" s="1" t="str">
        <f>"188****8539"</f>
        <v>188****8539</v>
      </c>
      <c r="C2970" s="1" t="s">
        <v>23</v>
      </c>
      <c r="D2970" s="1" t="str">
        <f t="shared" si="293"/>
        <v>89177328</v>
      </c>
      <c r="E2970" s="1" t="s">
        <v>24</v>
      </c>
      <c r="F2970" s="1" t="str">
        <f t="shared" si="294"/>
        <v>0010</v>
      </c>
      <c r="G2970" s="1" t="str">
        <f>""</f>
        <v/>
      </c>
      <c r="H2970" s="1" t="str">
        <f>"0034"</f>
        <v>0034</v>
      </c>
      <c r="I2970" s="1" t="s">
        <v>31</v>
      </c>
      <c r="J2970" s="1" t="str">
        <f>"01043977568"</f>
        <v>01043977568</v>
      </c>
      <c r="K2970" s="1" t="str">
        <f>"2017-03-16 16:28:48"</f>
        <v>2017-03-16 16:28:48</v>
      </c>
      <c r="L2970" s="1" t="str">
        <f>"2017-03-16 16:28:56"</f>
        <v>2017-03-16 16:28:56</v>
      </c>
      <c r="M2970" s="2">
        <v>4.5949074074074078E-3</v>
      </c>
      <c r="N2970" s="1" t="s">
        <v>26</v>
      </c>
      <c r="O2970" s="1" t="s">
        <v>27</v>
      </c>
      <c r="P2970" s="2">
        <v>4.6874999999999998E-3</v>
      </c>
      <c r="Q2970" s="1" t="s">
        <v>2159</v>
      </c>
      <c r="R2970" s="1">
        <v>0</v>
      </c>
      <c r="S2970" s="1" t="str">
        <f>""</f>
        <v/>
      </c>
      <c r="T2970" s="1" t="s">
        <v>29</v>
      </c>
      <c r="U2970" s="1" t="s">
        <v>30</v>
      </c>
      <c r="V2970" s="1">
        <v>0</v>
      </c>
    </row>
    <row r="2971" spans="2:22" x14ac:dyDescent="0.15">
      <c r="B2971" s="1" t="str">
        <f>"138****4092"</f>
        <v>138****4092</v>
      </c>
      <c r="C2971" s="1" t="s">
        <v>458</v>
      </c>
      <c r="D2971" s="1" t="str">
        <f t="shared" si="293"/>
        <v>89177328</v>
      </c>
      <c r="E2971" s="1" t="s">
        <v>24</v>
      </c>
      <c r="F2971" s="1" t="str">
        <f t="shared" si="294"/>
        <v>0010</v>
      </c>
      <c r="G2971" s="1" t="str">
        <f>""</f>
        <v/>
      </c>
      <c r="H2971" s="1" t="str">
        <f>"0034"</f>
        <v>0034</v>
      </c>
      <c r="I2971" s="1" t="s">
        <v>31</v>
      </c>
      <c r="J2971" s="1" t="str">
        <f>"01043977568"</f>
        <v>01043977568</v>
      </c>
      <c r="K2971" s="1" t="str">
        <f>"2017-03-16 16:21:27"</f>
        <v>2017-03-16 16:21:27</v>
      </c>
      <c r="L2971" s="1" t="str">
        <f>"2017-03-16 16:21:33"</f>
        <v>2017-03-16 16:21:33</v>
      </c>
      <c r="M2971" s="2">
        <v>2.4305555555555552E-4</v>
      </c>
      <c r="N2971" s="1" t="s">
        <v>26</v>
      </c>
      <c r="O2971" s="1" t="s">
        <v>27</v>
      </c>
      <c r="P2971" s="2">
        <v>3.1250000000000001E-4</v>
      </c>
      <c r="Q2971" s="1" t="s">
        <v>2160</v>
      </c>
      <c r="R2971" s="1">
        <v>0</v>
      </c>
      <c r="S2971" s="1" t="str">
        <f>""</f>
        <v/>
      </c>
      <c r="T2971" s="1" t="s">
        <v>29</v>
      </c>
      <c r="U2971" s="1" t="s">
        <v>30</v>
      </c>
      <c r="V2971" s="1">
        <v>0</v>
      </c>
    </row>
    <row r="2972" spans="2:22" x14ac:dyDescent="0.15">
      <c r="B2972" s="1" t="str">
        <f>"150****1782"</f>
        <v>150****1782</v>
      </c>
      <c r="C2972" s="1" t="s">
        <v>23</v>
      </c>
      <c r="D2972" s="1" t="str">
        <f t="shared" si="293"/>
        <v>89177328</v>
      </c>
      <c r="E2972" s="1" t="s">
        <v>24</v>
      </c>
      <c r="F2972" s="1" t="str">
        <f t="shared" si="294"/>
        <v>0010</v>
      </c>
      <c r="G2972" s="1" t="str">
        <f>""</f>
        <v/>
      </c>
      <c r="H2972" s="1" t="str">
        <f>"0010"</f>
        <v>0010</v>
      </c>
      <c r="I2972" s="1" t="s">
        <v>71</v>
      </c>
      <c r="J2972" s="1" t="str">
        <f>"01043989719"</f>
        <v>01043989719</v>
      </c>
      <c r="K2972" s="1" t="str">
        <f>"2017-03-16 16:13:25"</f>
        <v>2017-03-16 16:13:25</v>
      </c>
      <c r="L2972" s="1" t="str">
        <f>"2017-03-16 16:13:35"</f>
        <v>2017-03-16 16:13:35</v>
      </c>
      <c r="M2972" s="2">
        <v>4.6296296296296293E-4</v>
      </c>
      <c r="N2972" s="1" t="s">
        <v>26</v>
      </c>
      <c r="O2972" s="1" t="s">
        <v>34</v>
      </c>
      <c r="P2972" s="2">
        <v>5.7870370370370378E-4</v>
      </c>
      <c r="Q2972" s="1" t="s">
        <v>2161</v>
      </c>
      <c r="R2972" s="1">
        <v>0</v>
      </c>
      <c r="S2972" s="1" t="str">
        <f>""</f>
        <v/>
      </c>
      <c r="T2972" s="1" t="s">
        <v>29</v>
      </c>
      <c r="U2972" s="1" t="s">
        <v>30</v>
      </c>
      <c r="V2972" s="1">
        <v>0</v>
      </c>
    </row>
    <row r="2973" spans="2:22" x14ac:dyDescent="0.15">
      <c r="B2973" s="1" t="str">
        <f>"158****7750"</f>
        <v>158****7750</v>
      </c>
      <c r="C2973" s="1" t="s">
        <v>23</v>
      </c>
      <c r="D2973" s="1" t="str">
        <f t="shared" si="293"/>
        <v>89177328</v>
      </c>
      <c r="E2973" s="1" t="s">
        <v>24</v>
      </c>
      <c r="F2973" s="1" t="str">
        <f t="shared" si="294"/>
        <v>0010</v>
      </c>
      <c r="G2973" s="1" t="str">
        <f>""</f>
        <v/>
      </c>
      <c r="H2973" s="1" t="str">
        <f>"0010"</f>
        <v>0010</v>
      </c>
      <c r="I2973" s="1" t="s">
        <v>71</v>
      </c>
      <c r="J2973" s="1" t="str">
        <f>"01043989719"</f>
        <v>01043989719</v>
      </c>
      <c r="K2973" s="1" t="str">
        <f>"2017-03-16 15:56:37"</f>
        <v>2017-03-16 15:56:37</v>
      </c>
      <c r="L2973" s="1" t="str">
        <f>"2017-03-16 15:56:47"</f>
        <v>2017-03-16 15:56:47</v>
      </c>
      <c r="M2973" s="2">
        <v>1.8518518518518517E-3</v>
      </c>
      <c r="N2973" s="1" t="s">
        <v>26</v>
      </c>
      <c r="O2973" s="1" t="s">
        <v>27</v>
      </c>
      <c r="P2973" s="2">
        <v>1.9675925925925928E-3</v>
      </c>
      <c r="Q2973" s="1" t="s">
        <v>2162</v>
      </c>
      <c r="R2973" s="1">
        <v>0</v>
      </c>
      <c r="S2973" s="1" t="str">
        <f>""</f>
        <v/>
      </c>
      <c r="T2973" s="1" t="s">
        <v>29</v>
      </c>
      <c r="U2973" s="1" t="s">
        <v>30</v>
      </c>
      <c r="V2973" s="1">
        <v>0</v>
      </c>
    </row>
    <row r="2974" spans="2:22" x14ac:dyDescent="0.15">
      <c r="B2974" s="1" t="str">
        <f>"150****3354"</f>
        <v>150****3354</v>
      </c>
      <c r="C2974" s="1" t="s">
        <v>137</v>
      </c>
      <c r="D2974" s="1" t="str">
        <f t="shared" si="293"/>
        <v>89177328</v>
      </c>
      <c r="E2974" s="1" t="s">
        <v>24</v>
      </c>
      <c r="F2974" s="1" t="str">
        <f t="shared" si="294"/>
        <v>0010</v>
      </c>
      <c r="G2974" s="1" t="str">
        <f>""</f>
        <v/>
      </c>
      <c r="H2974" s="1" t="str">
        <f>"0031"</f>
        <v>0031</v>
      </c>
      <c r="I2974" s="1" t="s">
        <v>95</v>
      </c>
      <c r="J2974" s="1" t="str">
        <f>"01043977565"</f>
        <v>01043977565</v>
      </c>
      <c r="K2974" s="1" t="str">
        <f>"2017-03-16 15:54:50"</f>
        <v>2017-03-16 15:54:50</v>
      </c>
      <c r="L2974" s="1" t="str">
        <f>"2017-03-16 15:55:09"</f>
        <v>2017-03-16 15:55:09</v>
      </c>
      <c r="M2974" s="2">
        <v>5.1736111111111115E-3</v>
      </c>
      <c r="N2974" s="1" t="s">
        <v>26</v>
      </c>
      <c r="O2974" s="1" t="s">
        <v>27</v>
      </c>
      <c r="P2974" s="2">
        <v>5.3935185185185188E-3</v>
      </c>
      <c r="Q2974" s="1" t="s">
        <v>2163</v>
      </c>
      <c r="R2974" s="1">
        <v>0</v>
      </c>
      <c r="S2974" s="1" t="str">
        <f>""</f>
        <v/>
      </c>
      <c r="T2974" s="1" t="s">
        <v>29</v>
      </c>
      <c r="U2974" s="1" t="s">
        <v>30</v>
      </c>
      <c r="V2974" s="1">
        <v>0</v>
      </c>
    </row>
    <row r="2975" spans="2:22" x14ac:dyDescent="0.15">
      <c r="B2975" s="1" t="str">
        <f>"185****7229"</f>
        <v>185****7229</v>
      </c>
      <c r="C2975" s="1" t="s">
        <v>23</v>
      </c>
      <c r="D2975" s="1" t="str">
        <f t="shared" si="293"/>
        <v>89177328</v>
      </c>
      <c r="E2975" s="1" t="s">
        <v>24</v>
      </c>
      <c r="F2975" s="1" t="str">
        <f t="shared" si="294"/>
        <v>0010</v>
      </c>
      <c r="G2975" s="1" t="str">
        <f>""</f>
        <v/>
      </c>
      <c r="H2975" s="1" t="str">
        <f>"0033"</f>
        <v>0033</v>
      </c>
      <c r="I2975" s="1" t="s">
        <v>106</v>
      </c>
      <c r="J2975" s="1" t="str">
        <f>"01043977567"</f>
        <v>01043977567</v>
      </c>
      <c r="K2975" s="1" t="str">
        <f>"2017-03-16 15:50:35"</f>
        <v>2017-03-16 15:50:35</v>
      </c>
      <c r="L2975" s="1" t="str">
        <f>"2017-03-16 15:50:41"</f>
        <v>2017-03-16 15:50:41</v>
      </c>
      <c r="M2975" s="2">
        <v>4.5949074074074078E-3</v>
      </c>
      <c r="N2975" s="1" t="s">
        <v>26</v>
      </c>
      <c r="O2975" s="1" t="s">
        <v>27</v>
      </c>
      <c r="P2975" s="2">
        <v>4.6643518518518518E-3</v>
      </c>
      <c r="Q2975" s="1" t="s">
        <v>2164</v>
      </c>
      <c r="R2975" s="1">
        <v>0</v>
      </c>
      <c r="S2975" s="1" t="str">
        <f>""</f>
        <v/>
      </c>
      <c r="T2975" s="1" t="s">
        <v>29</v>
      </c>
      <c r="U2975" s="1" t="s">
        <v>30</v>
      </c>
      <c r="V2975" s="1">
        <v>0</v>
      </c>
    </row>
    <row r="2976" spans="2:22" x14ac:dyDescent="0.15">
      <c r="B2976" s="1" t="str">
        <f>"133****4274"</f>
        <v>133****4274</v>
      </c>
      <c r="C2976" s="1" t="s">
        <v>51</v>
      </c>
      <c r="D2976" s="1" t="str">
        <f t="shared" si="293"/>
        <v>89177328</v>
      </c>
      <c r="E2976" s="1" t="s">
        <v>24</v>
      </c>
      <c r="F2976" s="1" t="str">
        <f t="shared" si="294"/>
        <v>0010</v>
      </c>
      <c r="G2976" s="1" t="str">
        <f>""</f>
        <v/>
      </c>
      <c r="H2976" s="1" t="str">
        <f>"0033"</f>
        <v>0033</v>
      </c>
      <c r="I2976" s="1" t="s">
        <v>106</v>
      </c>
      <c r="J2976" s="1" t="str">
        <f>"01043977567"</f>
        <v>01043977567</v>
      </c>
      <c r="K2976" s="1" t="str">
        <f>"2017-03-16 15:42:41"</f>
        <v>2017-03-16 15:42:41</v>
      </c>
      <c r="L2976" s="1" t="str">
        <f>"2017-03-16 15:42:48"</f>
        <v>2017-03-16 15:42:48</v>
      </c>
      <c r="M2976" s="2">
        <v>4.0624999999999993E-3</v>
      </c>
      <c r="N2976" s="1" t="s">
        <v>26</v>
      </c>
      <c r="O2976" s="1" t="s">
        <v>27</v>
      </c>
      <c r="P2976" s="2">
        <v>4.1435185185185186E-3</v>
      </c>
      <c r="Q2976" s="1" t="s">
        <v>2165</v>
      </c>
      <c r="R2976" s="1">
        <v>0</v>
      </c>
      <c r="S2976" s="1" t="str">
        <f>""</f>
        <v/>
      </c>
      <c r="T2976" s="1" t="s">
        <v>29</v>
      </c>
      <c r="U2976" s="1" t="s">
        <v>30</v>
      </c>
      <c r="V2976" s="1">
        <v>0</v>
      </c>
    </row>
    <row r="2977" spans="2:22" x14ac:dyDescent="0.15">
      <c r="B2977" s="1" t="str">
        <f>"133****8848"</f>
        <v>133****8848</v>
      </c>
      <c r="C2977" s="1" t="s">
        <v>23</v>
      </c>
      <c r="D2977" s="1" t="str">
        <f t="shared" si="293"/>
        <v>89177328</v>
      </c>
      <c r="E2977" s="1" t="s">
        <v>24</v>
      </c>
      <c r="F2977" s="1" t="str">
        <f t="shared" si="294"/>
        <v>0010</v>
      </c>
      <c r="G2977" s="1" t="str">
        <f>""</f>
        <v/>
      </c>
      <c r="H2977" s="1" t="str">
        <f>"0012"</f>
        <v>0012</v>
      </c>
      <c r="I2977" s="1" t="s">
        <v>612</v>
      </c>
      <c r="J2977" s="1" t="str">
        <f>"01043989720"</f>
        <v>01043989720</v>
      </c>
      <c r="K2977" s="1" t="str">
        <f>"2017-03-16 15:34:43"</f>
        <v>2017-03-16 15:34:43</v>
      </c>
      <c r="L2977" s="1" t="str">
        <f>"2017-03-16 15:34:52"</f>
        <v>2017-03-16 15:34:52</v>
      </c>
      <c r="M2977" s="2">
        <v>8.7962962962962968E-3</v>
      </c>
      <c r="N2977" s="1" t="s">
        <v>26</v>
      </c>
      <c r="O2977" s="1" t="s">
        <v>27</v>
      </c>
      <c r="P2977" s="2">
        <v>8.9004629629629625E-3</v>
      </c>
      <c r="Q2977" s="1" t="s">
        <v>2166</v>
      </c>
      <c r="R2977" s="1">
        <v>0</v>
      </c>
      <c r="S2977" s="1" t="str">
        <f>""</f>
        <v/>
      </c>
      <c r="T2977" s="1" t="s">
        <v>29</v>
      </c>
      <c r="U2977" s="1" t="s">
        <v>30</v>
      </c>
      <c r="V2977" s="1">
        <v>0</v>
      </c>
    </row>
    <row r="2978" spans="2:22" x14ac:dyDescent="0.15">
      <c r="B2978" s="1" t="str">
        <f>"137****3320"</f>
        <v>137****3320</v>
      </c>
      <c r="C2978" s="1" t="s">
        <v>97</v>
      </c>
      <c r="D2978" s="1" t="str">
        <f t="shared" si="293"/>
        <v>89177328</v>
      </c>
      <c r="E2978" s="1" t="s">
        <v>24</v>
      </c>
      <c r="F2978" s="1" t="str">
        <f t="shared" si="294"/>
        <v>0010</v>
      </c>
      <c r="G2978" s="1" t="str">
        <f>""</f>
        <v/>
      </c>
      <c r="H2978" s="1" t="str">
        <f>"0010"</f>
        <v>0010</v>
      </c>
      <c r="I2978" s="1" t="s">
        <v>71</v>
      </c>
      <c r="J2978" s="1" t="str">
        <f>"01043989719"</f>
        <v>01043989719</v>
      </c>
      <c r="K2978" s="1" t="str">
        <f>"2017-03-16 15:21:59"</f>
        <v>2017-03-16 15:21:59</v>
      </c>
      <c r="L2978" s="1" t="str">
        <f>"2017-03-16 15:22:04"</f>
        <v>2017-03-16 15:22:04</v>
      </c>
      <c r="M2978" s="2">
        <v>2.2222222222222222E-3</v>
      </c>
      <c r="N2978" s="1" t="s">
        <v>26</v>
      </c>
      <c r="O2978" s="1" t="s">
        <v>27</v>
      </c>
      <c r="P2978" s="2">
        <v>2.2800925925925927E-3</v>
      </c>
      <c r="Q2978" s="1" t="s">
        <v>2167</v>
      </c>
      <c r="R2978" s="1">
        <v>0</v>
      </c>
      <c r="S2978" s="1" t="str">
        <f>""</f>
        <v/>
      </c>
      <c r="T2978" s="1" t="s">
        <v>29</v>
      </c>
      <c r="U2978" s="1" t="s">
        <v>30</v>
      </c>
      <c r="V2978" s="1">
        <v>0</v>
      </c>
    </row>
    <row r="2979" spans="2:22" x14ac:dyDescent="0.15">
      <c r="B2979" s="1" t="str">
        <f>"0315170****3727"</f>
        <v>0315170****3727</v>
      </c>
      <c r="C2979" s="1" t="s">
        <v>76</v>
      </c>
      <c r="D2979" s="1" t="str">
        <f t="shared" si="293"/>
        <v>89177328</v>
      </c>
      <c r="E2979" s="1" t="s">
        <v>24</v>
      </c>
      <c r="F2979" s="1" t="str">
        <f t="shared" si="294"/>
        <v>0010</v>
      </c>
      <c r="G2979" s="1" t="str">
        <f>""</f>
        <v/>
      </c>
      <c r="H2979" s="1" t="str">
        <f>"0035"</f>
        <v>0035</v>
      </c>
      <c r="I2979" s="1" t="s">
        <v>25</v>
      </c>
      <c r="J2979" s="1" t="str">
        <f>"01043977569"</f>
        <v>01043977569</v>
      </c>
      <c r="K2979" s="1" t="str">
        <f>"2017-03-16 15:10:11"</f>
        <v>2017-03-16 15:10:11</v>
      </c>
      <c r="L2979" s="1" t="str">
        <f>"2017-03-16 15:10:20"</f>
        <v>2017-03-16 15:10:20</v>
      </c>
      <c r="M2979" s="2">
        <v>1.2777777777777777E-2</v>
      </c>
      <c r="N2979" s="1" t="s">
        <v>26</v>
      </c>
      <c r="O2979" s="1" t="s">
        <v>27</v>
      </c>
      <c r="P2979" s="2">
        <v>1.2881944444444446E-2</v>
      </c>
      <c r="Q2979" s="1" t="s">
        <v>2168</v>
      </c>
      <c r="R2979" s="1">
        <v>0</v>
      </c>
      <c r="S2979" s="1" t="str">
        <f>""</f>
        <v/>
      </c>
      <c r="T2979" s="1" t="s">
        <v>29</v>
      </c>
      <c r="U2979" s="1" t="s">
        <v>30</v>
      </c>
      <c r="V2979" s="1">
        <v>0</v>
      </c>
    </row>
    <row r="2980" spans="2:22" x14ac:dyDescent="0.15">
      <c r="B2980" s="1" t="str">
        <f>"136****9369"</f>
        <v>136****9369</v>
      </c>
      <c r="C2980" s="1" t="s">
        <v>23</v>
      </c>
      <c r="D2980" s="1" t="str">
        <f t="shared" si="293"/>
        <v>89177328</v>
      </c>
      <c r="E2980" s="1" t="s">
        <v>24</v>
      </c>
      <c r="F2980" s="1" t="str">
        <f t="shared" si="294"/>
        <v>0010</v>
      </c>
      <c r="G2980" s="1" t="str">
        <f>""</f>
        <v/>
      </c>
      <c r="H2980" s="1" t="str">
        <f>"0018"</f>
        <v>0018</v>
      </c>
      <c r="I2980" s="1" t="s">
        <v>36</v>
      </c>
      <c r="J2980" s="1" t="str">
        <f>"01043989718"</f>
        <v>01043989718</v>
      </c>
      <c r="K2980" s="1" t="str">
        <f>"2017-03-16 15:09:23"</f>
        <v>2017-03-16 15:09:23</v>
      </c>
      <c r="L2980" s="1" t="str">
        <f>"2017-03-16 15:09:27"</f>
        <v>2017-03-16 15:09:27</v>
      </c>
      <c r="M2980" s="2">
        <v>7.5462962962962966E-3</v>
      </c>
      <c r="N2980" s="1" t="s">
        <v>26</v>
      </c>
      <c r="O2980" s="1" t="s">
        <v>34</v>
      </c>
      <c r="P2980" s="2">
        <v>7.5925925925925926E-3</v>
      </c>
      <c r="Q2980" s="1" t="s">
        <v>2169</v>
      </c>
      <c r="R2980" s="1">
        <v>0</v>
      </c>
      <c r="S2980" s="1" t="str">
        <f>""</f>
        <v/>
      </c>
      <c r="T2980" s="1" t="s">
        <v>29</v>
      </c>
      <c r="U2980" s="1" t="s">
        <v>30</v>
      </c>
      <c r="V2980" s="1">
        <v>0</v>
      </c>
    </row>
    <row r="2981" spans="2:22" x14ac:dyDescent="0.15">
      <c r="B2981" s="1" t="str">
        <f>"186****0893"</f>
        <v>186****0893</v>
      </c>
      <c r="C2981" s="1" t="s">
        <v>81</v>
      </c>
      <c r="D2981" s="1" t="str">
        <f t="shared" si="293"/>
        <v>89177328</v>
      </c>
      <c r="E2981" s="1" t="s">
        <v>24</v>
      </c>
      <c r="F2981" s="1" t="str">
        <f t="shared" si="294"/>
        <v>0010</v>
      </c>
      <c r="G2981" s="1" t="str">
        <f>""</f>
        <v/>
      </c>
      <c r="H2981" s="1" t="str">
        <f>"0034"</f>
        <v>0034</v>
      </c>
      <c r="I2981" s="1" t="s">
        <v>31</v>
      </c>
      <c r="J2981" s="1" t="str">
        <f>"01043977568"</f>
        <v>01043977568</v>
      </c>
      <c r="K2981" s="1" t="str">
        <f>"2017-03-16 14:56:46"</f>
        <v>2017-03-16 14:56:46</v>
      </c>
      <c r="L2981" s="1" t="str">
        <f>"2017-03-16 14:56:52"</f>
        <v>2017-03-16 14:56:52</v>
      </c>
      <c r="M2981" s="2">
        <v>1.7476851851851851E-2</v>
      </c>
      <c r="N2981" s="1" t="s">
        <v>26</v>
      </c>
      <c r="O2981" s="1" t="s">
        <v>27</v>
      </c>
      <c r="P2981" s="2">
        <v>1.7546296296296296E-2</v>
      </c>
      <c r="Q2981" s="1" t="s">
        <v>2170</v>
      </c>
      <c r="R2981" s="1">
        <v>0</v>
      </c>
      <c r="S2981" s="1" t="str">
        <f>""</f>
        <v/>
      </c>
      <c r="T2981" s="1" t="s">
        <v>29</v>
      </c>
      <c r="U2981" s="1" t="s">
        <v>30</v>
      </c>
      <c r="V2981" s="1">
        <v>0</v>
      </c>
    </row>
    <row r="2982" spans="2:22" x14ac:dyDescent="0.15">
      <c r="B2982" s="1" t="str">
        <f>"185****4992"</f>
        <v>185****4992</v>
      </c>
      <c r="C2982" s="1" t="s">
        <v>23</v>
      </c>
      <c r="D2982" s="1" t="str">
        <f t="shared" si="293"/>
        <v>89177328</v>
      </c>
      <c r="E2982" s="1" t="s">
        <v>24</v>
      </c>
      <c r="F2982" s="1" t="str">
        <f t="shared" si="294"/>
        <v>0010</v>
      </c>
      <c r="G2982" s="1" t="str">
        <f>""</f>
        <v/>
      </c>
      <c r="H2982" s="1" t="str">
        <f>"0034"</f>
        <v>0034</v>
      </c>
      <c r="I2982" s="1" t="s">
        <v>31</v>
      </c>
      <c r="J2982" s="1" t="str">
        <f>"01043977568"</f>
        <v>01043977568</v>
      </c>
      <c r="K2982" s="1" t="str">
        <f>"2017-03-16 14:48:36"</f>
        <v>2017-03-16 14:48:36</v>
      </c>
      <c r="L2982" s="1" t="str">
        <f>"2017-03-16 14:48:43"</f>
        <v>2017-03-16 14:48:43</v>
      </c>
      <c r="M2982" s="2">
        <v>3.8310185185185183E-3</v>
      </c>
      <c r="N2982" s="1" t="s">
        <v>26</v>
      </c>
      <c r="O2982" s="1" t="s">
        <v>27</v>
      </c>
      <c r="P2982" s="2">
        <v>3.9120370370370368E-3</v>
      </c>
      <c r="Q2982" s="1" t="s">
        <v>2171</v>
      </c>
      <c r="R2982" s="1">
        <v>0</v>
      </c>
      <c r="S2982" s="1" t="str">
        <f>""</f>
        <v/>
      </c>
      <c r="T2982" s="1" t="s">
        <v>29</v>
      </c>
      <c r="U2982" s="1" t="s">
        <v>30</v>
      </c>
      <c r="V2982" s="1">
        <v>0</v>
      </c>
    </row>
    <row r="2983" spans="2:22" x14ac:dyDescent="0.15">
      <c r="B2983" s="1" t="str">
        <f>"185****3081"</f>
        <v>185****3081</v>
      </c>
      <c r="C2983" s="1" t="s">
        <v>23</v>
      </c>
      <c r="D2983" s="1" t="str">
        <f t="shared" si="293"/>
        <v>89177328</v>
      </c>
      <c r="E2983" s="1" t="s">
        <v>24</v>
      </c>
      <c r="F2983" s="1" t="str">
        <f t="shared" si="294"/>
        <v>0010</v>
      </c>
      <c r="G2983" s="1" t="str">
        <f>""</f>
        <v/>
      </c>
      <c r="H2983" s="1" t="str">
        <f>"0034"</f>
        <v>0034</v>
      </c>
      <c r="I2983" s="1" t="s">
        <v>31</v>
      </c>
      <c r="J2983" s="1" t="str">
        <f>"01043977568"</f>
        <v>01043977568</v>
      </c>
      <c r="K2983" s="1" t="str">
        <f>"2017-03-16 14:44:48"</f>
        <v>2017-03-16 14:44:48</v>
      </c>
      <c r="L2983" s="1" t="str">
        <f>"2017-03-16 14:44:55"</f>
        <v>2017-03-16 14:44:55</v>
      </c>
      <c r="M2983" s="2">
        <v>7.9861111111111105E-4</v>
      </c>
      <c r="N2983" s="1" t="s">
        <v>26</v>
      </c>
      <c r="O2983" s="1" t="s">
        <v>27</v>
      </c>
      <c r="P2983" s="2">
        <v>8.7962962962962962E-4</v>
      </c>
      <c r="Q2983" s="1" t="s">
        <v>2172</v>
      </c>
      <c r="R2983" s="1">
        <v>0</v>
      </c>
      <c r="S2983" s="1" t="str">
        <f>""</f>
        <v/>
      </c>
      <c r="T2983" s="1" t="s">
        <v>29</v>
      </c>
      <c r="U2983" s="1" t="s">
        <v>30</v>
      </c>
      <c r="V2983" s="1">
        <v>0</v>
      </c>
    </row>
    <row r="2984" spans="2:22" x14ac:dyDescent="0.15">
      <c r="B2984" s="1" t="str">
        <f>"186****1307"</f>
        <v>186****1307</v>
      </c>
      <c r="C2984" s="1" t="s">
        <v>97</v>
      </c>
      <c r="D2984" s="1" t="str">
        <f t="shared" si="293"/>
        <v>89177328</v>
      </c>
      <c r="E2984" s="1" t="s">
        <v>24</v>
      </c>
      <c r="F2984" s="1" t="str">
        <f t="shared" si="294"/>
        <v>0010</v>
      </c>
      <c r="G2984" s="1" t="str">
        <f>""</f>
        <v/>
      </c>
      <c r="H2984" s="1" t="str">
        <f>"0012"</f>
        <v>0012</v>
      </c>
      <c r="I2984" s="1" t="s">
        <v>612</v>
      </c>
      <c r="J2984" s="1" t="str">
        <f>"01043989720"</f>
        <v>01043989720</v>
      </c>
      <c r="K2984" s="1" t="str">
        <f>"2017-03-16 14:42:36"</f>
        <v>2017-03-16 14:42:36</v>
      </c>
      <c r="L2984" s="1" t="str">
        <f>"-"</f>
        <v>-</v>
      </c>
      <c r="M2984" s="2">
        <v>0</v>
      </c>
      <c r="N2984" s="1" t="s">
        <v>33</v>
      </c>
      <c r="O2984" s="1" t="s">
        <v>34</v>
      </c>
      <c r="P2984" s="2">
        <v>1.1574074074074073E-5</v>
      </c>
      <c r="Q2984" s="1" t="str">
        <f>""</f>
        <v/>
      </c>
      <c r="R2984" s="1">
        <v>0</v>
      </c>
      <c r="S2984" s="1" t="str">
        <f>""</f>
        <v/>
      </c>
      <c r="T2984" s="1" t="s">
        <v>29</v>
      </c>
      <c r="U2984" s="1" t="s">
        <v>30</v>
      </c>
      <c r="V2984" s="1">
        <v>0</v>
      </c>
    </row>
    <row r="2985" spans="2:22" x14ac:dyDescent="0.15">
      <c r="B2985" s="1" t="str">
        <f>"150****2030"</f>
        <v>150****2030</v>
      </c>
      <c r="C2985" s="1" t="s">
        <v>76</v>
      </c>
      <c r="D2985" s="1" t="str">
        <f t="shared" si="293"/>
        <v>89177328</v>
      </c>
      <c r="E2985" s="1" t="s">
        <v>24</v>
      </c>
      <c r="F2985" s="1" t="str">
        <f t="shared" si="294"/>
        <v>0010</v>
      </c>
      <c r="G2985" s="1" t="str">
        <f>""</f>
        <v/>
      </c>
      <c r="H2985" s="1" t="str">
        <f>"0003"</f>
        <v>0003</v>
      </c>
      <c r="I2985" s="1" t="s">
        <v>2173</v>
      </c>
      <c r="J2985" s="1" t="str">
        <f>"18601060080"</f>
        <v>18601060080</v>
      </c>
      <c r="K2985" s="1" t="str">
        <f>"2017-03-16 14:34:56"</f>
        <v>2017-03-16 14:34:56</v>
      </c>
      <c r="L2985" s="1" t="str">
        <f>"2017-03-16 14:35:12"</f>
        <v>2017-03-16 14:35:12</v>
      </c>
      <c r="M2985" s="2">
        <v>3.8310185185185183E-3</v>
      </c>
      <c r="N2985" s="1" t="s">
        <v>26</v>
      </c>
      <c r="O2985" s="1" t="s">
        <v>27</v>
      </c>
      <c r="P2985" s="2">
        <v>4.0162037037037033E-3</v>
      </c>
      <c r="Q2985" s="1" t="s">
        <v>2174</v>
      </c>
      <c r="R2985" s="1">
        <v>0</v>
      </c>
      <c r="S2985" s="1" t="str">
        <f>""</f>
        <v/>
      </c>
      <c r="T2985" s="1" t="s">
        <v>29</v>
      </c>
      <c r="U2985" s="1" t="s">
        <v>30</v>
      </c>
      <c r="V2985" s="1">
        <v>0</v>
      </c>
    </row>
    <row r="2986" spans="2:22" x14ac:dyDescent="0.15">
      <c r="B2986" s="1" t="str">
        <f>"135****1132"</f>
        <v>135****1132</v>
      </c>
      <c r="C2986" s="1" t="s">
        <v>23</v>
      </c>
      <c r="D2986" s="1" t="str">
        <f t="shared" si="293"/>
        <v>89177328</v>
      </c>
      <c r="E2986" s="1" t="s">
        <v>24</v>
      </c>
      <c r="F2986" s="1" t="str">
        <f t="shared" si="294"/>
        <v>0010</v>
      </c>
      <c r="G2986" s="1" t="str">
        <f>""</f>
        <v/>
      </c>
      <c r="H2986" s="1" t="str">
        <f>"0010"</f>
        <v>0010</v>
      </c>
      <c r="I2986" s="1" t="s">
        <v>71</v>
      </c>
      <c r="J2986" s="1" t="str">
        <f>"01043989719"</f>
        <v>01043989719</v>
      </c>
      <c r="K2986" s="1" t="str">
        <f>"2017-03-16 14:34:23"</f>
        <v>2017-03-16 14:34:23</v>
      </c>
      <c r="L2986" s="1" t="str">
        <f>"2017-03-16 14:34:32"</f>
        <v>2017-03-16 14:34:32</v>
      </c>
      <c r="M2986" s="2">
        <v>2.0833333333333333E-3</v>
      </c>
      <c r="N2986" s="1" t="s">
        <v>26</v>
      </c>
      <c r="O2986" s="1" t="s">
        <v>27</v>
      </c>
      <c r="P2986" s="2">
        <v>2.1874999999999998E-3</v>
      </c>
      <c r="Q2986" s="1" t="s">
        <v>2175</v>
      </c>
      <c r="R2986" s="1">
        <v>0</v>
      </c>
      <c r="S2986" s="1" t="str">
        <f>""</f>
        <v/>
      </c>
      <c r="T2986" s="1" t="s">
        <v>29</v>
      </c>
      <c r="U2986" s="1" t="s">
        <v>30</v>
      </c>
      <c r="V2986" s="1">
        <v>60</v>
      </c>
    </row>
    <row r="2987" spans="2:22" x14ac:dyDescent="0.15">
      <c r="B2987" s="1" t="str">
        <f>"010****4275"</f>
        <v>010****4275</v>
      </c>
      <c r="C2987" s="1" t="s">
        <v>23</v>
      </c>
      <c r="D2987" s="1" t="str">
        <f t="shared" si="293"/>
        <v>89177328</v>
      </c>
      <c r="E2987" s="1" t="s">
        <v>24</v>
      </c>
      <c r="F2987" s="1" t="str">
        <f t="shared" si="294"/>
        <v>0010</v>
      </c>
      <c r="G2987" s="1" t="str">
        <f>""</f>
        <v/>
      </c>
      <c r="H2987" s="1" t="str">
        <f>"0010"</f>
        <v>0010</v>
      </c>
      <c r="I2987" s="1" t="s">
        <v>71</v>
      </c>
      <c r="J2987" s="1" t="str">
        <f>"01043989719"</f>
        <v>01043989719</v>
      </c>
      <c r="K2987" s="1" t="str">
        <f>"2017-03-16 14:28:07"</f>
        <v>2017-03-16 14:28:07</v>
      </c>
      <c r="L2987" s="1" t="str">
        <f>"-"</f>
        <v>-</v>
      </c>
      <c r="M2987" s="2">
        <v>0</v>
      </c>
      <c r="N2987" s="1" t="s">
        <v>33</v>
      </c>
      <c r="O2987" s="1" t="s">
        <v>34</v>
      </c>
      <c r="P2987" s="2">
        <v>4.6296296296296294E-5</v>
      </c>
      <c r="Q2987" s="1" t="str">
        <f>""</f>
        <v/>
      </c>
      <c r="R2987" s="1">
        <v>0</v>
      </c>
      <c r="S2987" s="1" t="str">
        <f>""</f>
        <v/>
      </c>
      <c r="T2987" s="1" t="s">
        <v>29</v>
      </c>
      <c r="U2987" s="1" t="s">
        <v>30</v>
      </c>
      <c r="V2987" s="1">
        <v>0</v>
      </c>
    </row>
    <row r="2988" spans="2:22" x14ac:dyDescent="0.15">
      <c r="B2988" s="1" t="str">
        <f>"182****6663"</f>
        <v>182****6663</v>
      </c>
      <c r="C2988" s="1" t="s">
        <v>1087</v>
      </c>
      <c r="D2988" s="1" t="str">
        <f t="shared" si="293"/>
        <v>89177328</v>
      </c>
      <c r="E2988" s="1" t="s">
        <v>24</v>
      </c>
      <c r="F2988" s="1" t="str">
        <f t="shared" si="294"/>
        <v>0010</v>
      </c>
      <c r="G2988" s="1" t="str">
        <f>""</f>
        <v/>
      </c>
      <c r="H2988" s="1" t="str">
        <f>"0003"</f>
        <v>0003</v>
      </c>
      <c r="I2988" s="1" t="s">
        <v>2173</v>
      </c>
      <c r="J2988" s="1" t="str">
        <f>"18601060080"</f>
        <v>18601060080</v>
      </c>
      <c r="K2988" s="1" t="str">
        <f>"2017-03-16 14:22:13"</f>
        <v>2017-03-16 14:22:13</v>
      </c>
      <c r="L2988" s="1" t="str">
        <f>"2017-03-16 14:22:35"</f>
        <v>2017-03-16 14:22:35</v>
      </c>
      <c r="M2988" s="2">
        <v>8.4027777777777781E-3</v>
      </c>
      <c r="N2988" s="1" t="s">
        <v>26</v>
      </c>
      <c r="O2988" s="1" t="s">
        <v>34</v>
      </c>
      <c r="P2988" s="2">
        <v>8.6574074074074071E-3</v>
      </c>
      <c r="Q2988" s="1" t="s">
        <v>2176</v>
      </c>
      <c r="R2988" s="1">
        <v>0</v>
      </c>
      <c r="S2988" s="1" t="str">
        <f>""</f>
        <v/>
      </c>
      <c r="T2988" s="1" t="s">
        <v>29</v>
      </c>
      <c r="U2988" s="1" t="s">
        <v>30</v>
      </c>
      <c r="V2988" s="1">
        <v>0</v>
      </c>
    </row>
    <row r="2989" spans="2:22" x14ac:dyDescent="0.15">
      <c r="B2989" s="1" t="str">
        <f>"187****7830"</f>
        <v>187****7830</v>
      </c>
      <c r="C2989" s="1" t="s">
        <v>23</v>
      </c>
      <c r="D2989" s="1" t="str">
        <f t="shared" si="293"/>
        <v>89177328</v>
      </c>
      <c r="E2989" s="1" t="s">
        <v>24</v>
      </c>
      <c r="F2989" s="1" t="str">
        <f t="shared" si="294"/>
        <v>0010</v>
      </c>
      <c r="G2989" s="1" t="str">
        <f>""</f>
        <v/>
      </c>
      <c r="H2989" s="1" t="str">
        <f>"0012"</f>
        <v>0012</v>
      </c>
      <c r="I2989" s="1" t="s">
        <v>612</v>
      </c>
      <c r="J2989" s="1" t="str">
        <f>"01043989720"</f>
        <v>01043989720</v>
      </c>
      <c r="K2989" s="1" t="str">
        <f>"2017-03-16 14:21:20"</f>
        <v>2017-03-16 14:21:20</v>
      </c>
      <c r="L2989" s="1" t="str">
        <f>"2017-03-16 14:21:31"</f>
        <v>2017-03-16 14:21:31</v>
      </c>
      <c r="M2989" s="2">
        <v>1.3506944444444445E-2</v>
      </c>
      <c r="N2989" s="1" t="s">
        <v>26</v>
      </c>
      <c r="O2989" s="1" t="s">
        <v>34</v>
      </c>
      <c r="P2989" s="2">
        <v>1.3634259259259257E-2</v>
      </c>
      <c r="Q2989" s="1" t="s">
        <v>2177</v>
      </c>
      <c r="R2989" s="1">
        <v>0</v>
      </c>
      <c r="S2989" s="1" t="str">
        <f>""</f>
        <v/>
      </c>
      <c r="T2989" s="1" t="s">
        <v>29</v>
      </c>
      <c r="U2989" s="1" t="s">
        <v>30</v>
      </c>
      <c r="V2989" s="1">
        <v>0</v>
      </c>
    </row>
    <row r="2990" spans="2:22" x14ac:dyDescent="0.15">
      <c r="B2990" s="1" t="str">
        <f>"156****1717"</f>
        <v>156****1717</v>
      </c>
      <c r="C2990" s="1" t="s">
        <v>23</v>
      </c>
      <c r="D2990" s="1" t="str">
        <f>"4000108333"</f>
        <v>4000108333</v>
      </c>
      <c r="E2990" s="1" t="s">
        <v>53</v>
      </c>
      <c r="F2990" s="1" t="str">
        <f>""</f>
        <v/>
      </c>
      <c r="G2990" s="1" t="str">
        <f>""</f>
        <v/>
      </c>
      <c r="H2990" s="1" t="str">
        <f>""</f>
        <v/>
      </c>
      <c r="I2990" s="1" t="str">
        <f>""</f>
        <v/>
      </c>
      <c r="J2990" s="1" t="str">
        <f>""</f>
        <v/>
      </c>
      <c r="K2990" s="1" t="str">
        <f>"2017-03-16 14:14:42"</f>
        <v>2017-03-16 14:14:42</v>
      </c>
      <c r="L2990" s="1" t="str">
        <f>"-"</f>
        <v>-</v>
      </c>
      <c r="M2990" s="2">
        <v>0</v>
      </c>
      <c r="N2990" s="1" t="s">
        <v>55</v>
      </c>
      <c r="O2990" s="1" t="s">
        <v>34</v>
      </c>
      <c r="P2990" s="2">
        <v>4.6296296296296294E-5</v>
      </c>
      <c r="Q2990" s="1" t="str">
        <f>""</f>
        <v/>
      </c>
      <c r="R2990" s="1">
        <v>0.12</v>
      </c>
      <c r="S2990" s="1" t="str">
        <f>""</f>
        <v/>
      </c>
      <c r="T2990" s="1" t="s">
        <v>29</v>
      </c>
      <c r="U2990" s="1" t="s">
        <v>30</v>
      </c>
      <c r="V2990" s="1">
        <v>0</v>
      </c>
    </row>
    <row r="2991" spans="2:22" x14ac:dyDescent="0.15">
      <c r="B2991" s="1" t="str">
        <f>"186****0893"</f>
        <v>186****0893</v>
      </c>
      <c r="C2991" s="1" t="s">
        <v>81</v>
      </c>
      <c r="D2991" s="1" t="str">
        <f>"89177328"</f>
        <v>89177328</v>
      </c>
      <c r="E2991" s="1" t="s">
        <v>24</v>
      </c>
      <c r="F2991" s="1" t="str">
        <f>"0010"</f>
        <v>0010</v>
      </c>
      <c r="G2991" s="1" t="str">
        <f>""</f>
        <v/>
      </c>
      <c r="H2991" s="1" t="str">
        <f>"0012"</f>
        <v>0012</v>
      </c>
      <c r="I2991" s="1" t="s">
        <v>612</v>
      </c>
      <c r="J2991" s="1" t="str">
        <f>"01043989720"</f>
        <v>01043989720</v>
      </c>
      <c r="K2991" s="1" t="str">
        <f>"2017-03-16 14:13:18"</f>
        <v>2017-03-16 14:13:18</v>
      </c>
      <c r="L2991" s="1" t="str">
        <f>"2017-03-16 14:13:35"</f>
        <v>2017-03-16 14:13:35</v>
      </c>
      <c r="M2991" s="2">
        <v>1.2152777777777778E-3</v>
      </c>
      <c r="N2991" s="1" t="s">
        <v>26</v>
      </c>
      <c r="O2991" s="1" t="s">
        <v>34</v>
      </c>
      <c r="P2991" s="2">
        <v>1.4120370370370369E-3</v>
      </c>
      <c r="Q2991" s="1" t="s">
        <v>2178</v>
      </c>
      <c r="R2991" s="1">
        <v>0</v>
      </c>
      <c r="S2991" s="1" t="str">
        <f>""</f>
        <v/>
      </c>
      <c r="T2991" s="1" t="s">
        <v>29</v>
      </c>
      <c r="U2991" s="1" t="s">
        <v>30</v>
      </c>
      <c r="V2991" s="1">
        <v>0</v>
      </c>
    </row>
    <row r="2992" spans="2:22" x14ac:dyDescent="0.15">
      <c r="B2992" s="1" t="str">
        <f>"132****7295"</f>
        <v>132****7295</v>
      </c>
      <c r="C2992" s="1" t="s">
        <v>23</v>
      </c>
      <c r="D2992" s="1" t="str">
        <f>"89177328"</f>
        <v>89177328</v>
      </c>
      <c r="E2992" s="1" t="s">
        <v>24</v>
      </c>
      <c r="F2992" s="1" t="str">
        <f>"0010"</f>
        <v>0010</v>
      </c>
      <c r="G2992" s="1" t="str">
        <f>""</f>
        <v/>
      </c>
      <c r="H2992" s="1" t="str">
        <f>"0012"</f>
        <v>0012</v>
      </c>
      <c r="I2992" s="1" t="s">
        <v>612</v>
      </c>
      <c r="J2992" s="1" t="str">
        <f>"01043989720"</f>
        <v>01043989720</v>
      </c>
      <c r="K2992" s="1" t="str">
        <f>"2017-03-16 14:04:06"</f>
        <v>2017-03-16 14:04:06</v>
      </c>
      <c r="L2992" s="1" t="str">
        <f>"2017-03-16 14:04:18"</f>
        <v>2017-03-16 14:04:18</v>
      </c>
      <c r="M2992" s="2">
        <v>5.3587962962962964E-3</v>
      </c>
      <c r="N2992" s="1" t="s">
        <v>26</v>
      </c>
      <c r="O2992" s="1" t="s">
        <v>34</v>
      </c>
      <c r="P2992" s="2">
        <v>5.4976851851851853E-3</v>
      </c>
      <c r="Q2992" s="1" t="s">
        <v>2179</v>
      </c>
      <c r="R2992" s="1">
        <v>0</v>
      </c>
      <c r="S2992" s="1" t="str">
        <f>""</f>
        <v/>
      </c>
      <c r="T2992" s="1" t="s">
        <v>29</v>
      </c>
      <c r="U2992" s="1" t="s">
        <v>30</v>
      </c>
      <c r="V2992" s="1">
        <v>0</v>
      </c>
    </row>
    <row r="2993" spans="2:22" x14ac:dyDescent="0.15">
      <c r="B2993" s="1" t="str">
        <f>"157****4678"</f>
        <v>157****4678</v>
      </c>
      <c r="C2993" s="1" t="s">
        <v>23</v>
      </c>
      <c r="D2993" s="1" t="str">
        <f>"4000108333"</f>
        <v>4000108333</v>
      </c>
      <c r="E2993" s="1" t="s">
        <v>53</v>
      </c>
      <c r="F2993" s="1" t="str">
        <f>"017"</f>
        <v>017</v>
      </c>
      <c r="G2993" s="1" t="s">
        <v>135</v>
      </c>
      <c r="H2993" s="1" t="str">
        <f>""</f>
        <v/>
      </c>
      <c r="I2993" s="1" t="str">
        <f>""</f>
        <v/>
      </c>
      <c r="J2993" s="1" t="str">
        <f>"13082215656"</f>
        <v>13082215656</v>
      </c>
      <c r="K2993" s="1" t="str">
        <f>"2017-03-16 14:00:33"</f>
        <v>2017-03-16 14:00:33</v>
      </c>
      <c r="L2993" s="1" t="str">
        <f>"-"</f>
        <v>-</v>
      </c>
      <c r="M2993" s="2">
        <v>0</v>
      </c>
      <c r="N2993" s="1" t="s">
        <v>33</v>
      </c>
      <c r="O2993" s="1" t="s">
        <v>34</v>
      </c>
      <c r="P2993" s="2">
        <v>2.3148148148148146E-4</v>
      </c>
      <c r="Q2993" s="1" t="str">
        <f>""</f>
        <v/>
      </c>
      <c r="R2993" s="1">
        <v>0.12</v>
      </c>
      <c r="S2993" s="1" t="str">
        <f>""</f>
        <v/>
      </c>
      <c r="T2993" s="1" t="s">
        <v>29</v>
      </c>
      <c r="U2993" s="1" t="s">
        <v>30</v>
      </c>
      <c r="V2993" s="1">
        <v>0</v>
      </c>
    </row>
    <row r="2994" spans="2:22" x14ac:dyDescent="0.15">
      <c r="B2994" s="1" t="str">
        <f>"134****9069"</f>
        <v>134****9069</v>
      </c>
      <c r="C2994" s="1" t="s">
        <v>76</v>
      </c>
      <c r="D2994" s="1" t="str">
        <f t="shared" ref="D2994:D3041" si="295">"89177328"</f>
        <v>89177328</v>
      </c>
      <c r="E2994" s="1" t="s">
        <v>24</v>
      </c>
      <c r="F2994" s="1" t="str">
        <f t="shared" ref="F2994:F3041" si="296">"0010"</f>
        <v>0010</v>
      </c>
      <c r="G2994" s="1" t="str">
        <f>""</f>
        <v/>
      </c>
      <c r="H2994" s="1" t="str">
        <f>"0003"</f>
        <v>0003</v>
      </c>
      <c r="I2994" s="1" t="s">
        <v>2173</v>
      </c>
      <c r="J2994" s="1" t="str">
        <f>"18601060080"</f>
        <v>18601060080</v>
      </c>
      <c r="K2994" s="1" t="str">
        <f>"2017-03-16 13:51:14"</f>
        <v>2017-03-16 13:51:14</v>
      </c>
      <c r="L2994" s="1" t="str">
        <f>"2017-03-16 13:52:23"</f>
        <v>2017-03-16 13:52:23</v>
      </c>
      <c r="M2994" s="2">
        <v>1.2824074074074073E-2</v>
      </c>
      <c r="N2994" s="1" t="s">
        <v>26</v>
      </c>
      <c r="O2994" s="1" t="s">
        <v>27</v>
      </c>
      <c r="P2994" s="2">
        <v>1.3622685185185184E-2</v>
      </c>
      <c r="Q2994" s="1" t="s">
        <v>2180</v>
      </c>
      <c r="R2994" s="1">
        <v>0</v>
      </c>
      <c r="S2994" s="1" t="str">
        <f>""</f>
        <v/>
      </c>
      <c r="T2994" s="1" t="s">
        <v>29</v>
      </c>
      <c r="U2994" s="1" t="s">
        <v>30</v>
      </c>
      <c r="V2994" s="1">
        <v>0</v>
      </c>
    </row>
    <row r="2995" spans="2:22" x14ac:dyDescent="0.15">
      <c r="B2995" s="1" t="str">
        <f>"156****4405"</f>
        <v>156****4405</v>
      </c>
      <c r="C2995" s="1" t="s">
        <v>23</v>
      </c>
      <c r="D2995" s="1" t="str">
        <f t="shared" si="295"/>
        <v>89177328</v>
      </c>
      <c r="E2995" s="1" t="s">
        <v>24</v>
      </c>
      <c r="F2995" s="1" t="str">
        <f t="shared" si="296"/>
        <v>0010</v>
      </c>
      <c r="G2995" s="1" t="str">
        <f>""</f>
        <v/>
      </c>
      <c r="H2995" s="1" t="str">
        <f>"0010"</f>
        <v>0010</v>
      </c>
      <c r="I2995" s="1" t="s">
        <v>71</v>
      </c>
      <c r="J2995" s="1" t="str">
        <f>"01043989719"</f>
        <v>01043989719</v>
      </c>
      <c r="K2995" s="1" t="str">
        <f>"2017-03-16 13:46:54"</f>
        <v>2017-03-16 13:46:54</v>
      </c>
      <c r="L2995" s="1" t="str">
        <f>"2017-03-16 13:48:31"</f>
        <v>2017-03-16 13:48:31</v>
      </c>
      <c r="M2995" s="2">
        <v>4.155092592592593E-3</v>
      </c>
      <c r="N2995" s="1" t="s">
        <v>26</v>
      </c>
      <c r="O2995" s="1" t="s">
        <v>34</v>
      </c>
      <c r="P2995" s="2">
        <v>5.2777777777777771E-3</v>
      </c>
      <c r="Q2995" s="1" t="s">
        <v>2181</v>
      </c>
      <c r="R2995" s="1">
        <v>0</v>
      </c>
      <c r="S2995" s="1" t="str">
        <f>""</f>
        <v/>
      </c>
      <c r="T2995" s="1" t="s">
        <v>29</v>
      </c>
      <c r="U2995" s="1" t="s">
        <v>30</v>
      </c>
      <c r="V2995" s="1">
        <v>0</v>
      </c>
    </row>
    <row r="2996" spans="2:22" x14ac:dyDescent="0.15">
      <c r="B2996" s="1" t="str">
        <f>"188****5039"</f>
        <v>188****5039</v>
      </c>
      <c r="C2996" s="1" t="s">
        <v>1439</v>
      </c>
      <c r="D2996" s="1" t="str">
        <f t="shared" si="295"/>
        <v>89177328</v>
      </c>
      <c r="E2996" s="1" t="s">
        <v>24</v>
      </c>
      <c r="F2996" s="1" t="str">
        <f t="shared" si="296"/>
        <v>0010</v>
      </c>
      <c r="G2996" s="1" t="str">
        <f>""</f>
        <v/>
      </c>
      <c r="H2996" s="1" t="str">
        <f>""</f>
        <v/>
      </c>
      <c r="I2996" s="1" t="str">
        <f>""</f>
        <v/>
      </c>
      <c r="J2996" s="1" t="str">
        <f>""</f>
        <v/>
      </c>
      <c r="K2996" s="1" t="str">
        <f>"2017-03-16 13:44:59"</f>
        <v>2017-03-16 13:44:59</v>
      </c>
      <c r="L2996" s="1" t="str">
        <f>"-"</f>
        <v>-</v>
      </c>
      <c r="M2996" s="2">
        <v>0</v>
      </c>
      <c r="N2996" s="1" t="s">
        <v>55</v>
      </c>
      <c r="O2996" s="1" t="s">
        <v>34</v>
      </c>
      <c r="P2996" s="2">
        <v>9.9537037037037042E-4</v>
      </c>
      <c r="Q2996" s="1" t="str">
        <f>""</f>
        <v/>
      </c>
      <c r="R2996" s="1">
        <v>0</v>
      </c>
      <c r="S2996" s="1" t="str">
        <f>""</f>
        <v/>
      </c>
      <c r="T2996" s="1" t="s">
        <v>29</v>
      </c>
      <c r="U2996" s="1" t="s">
        <v>30</v>
      </c>
      <c r="V2996" s="1">
        <v>0</v>
      </c>
    </row>
    <row r="2997" spans="2:22" x14ac:dyDescent="0.15">
      <c r="B2997" s="1" t="str">
        <f>"134****9069"</f>
        <v>134****9069</v>
      </c>
      <c r="C2997" s="1" t="s">
        <v>76</v>
      </c>
      <c r="D2997" s="1" t="str">
        <f t="shared" si="295"/>
        <v>89177328</v>
      </c>
      <c r="E2997" s="1" t="s">
        <v>24</v>
      </c>
      <c r="F2997" s="1" t="str">
        <f t="shared" si="296"/>
        <v>0010</v>
      </c>
      <c r="G2997" s="1" t="str">
        <f>""</f>
        <v/>
      </c>
      <c r="H2997" s="1" t="str">
        <f>"0010"</f>
        <v>0010</v>
      </c>
      <c r="I2997" s="1" t="s">
        <v>71</v>
      </c>
      <c r="J2997" s="1" t="str">
        <f>"01043989719"</f>
        <v>01043989719</v>
      </c>
      <c r="K2997" s="1" t="str">
        <f>"2017-03-16 13:43:03"</f>
        <v>2017-03-16 13:43:03</v>
      </c>
      <c r="L2997" s="1" t="str">
        <f>"2017-03-16 13:43:12"</f>
        <v>2017-03-16 13:43:12</v>
      </c>
      <c r="M2997" s="2">
        <v>3.5185185185185185E-3</v>
      </c>
      <c r="N2997" s="1" t="s">
        <v>26</v>
      </c>
      <c r="O2997" s="1" t="s">
        <v>27</v>
      </c>
      <c r="P2997" s="2">
        <v>3.6226851851851854E-3</v>
      </c>
      <c r="Q2997" s="1" t="s">
        <v>2182</v>
      </c>
      <c r="R2997" s="1">
        <v>0</v>
      </c>
      <c r="S2997" s="1" t="str">
        <f>""</f>
        <v/>
      </c>
      <c r="T2997" s="1" t="s">
        <v>29</v>
      </c>
      <c r="U2997" s="1" t="s">
        <v>30</v>
      </c>
      <c r="V2997" s="1">
        <v>0</v>
      </c>
    </row>
    <row r="2998" spans="2:22" x14ac:dyDescent="0.15">
      <c r="B2998" s="1" t="str">
        <f>"186****2859"</f>
        <v>186****2859</v>
      </c>
      <c r="C2998" s="1" t="s">
        <v>23</v>
      </c>
      <c r="D2998" s="1" t="str">
        <f t="shared" si="295"/>
        <v>89177328</v>
      </c>
      <c r="E2998" s="1" t="s">
        <v>24</v>
      </c>
      <c r="F2998" s="1" t="str">
        <f t="shared" si="296"/>
        <v>0010</v>
      </c>
      <c r="G2998" s="1" t="str">
        <f>""</f>
        <v/>
      </c>
      <c r="H2998" s="1" t="str">
        <f>"0012"</f>
        <v>0012</v>
      </c>
      <c r="I2998" s="1" t="s">
        <v>612</v>
      </c>
      <c r="J2998" s="1" t="str">
        <f>"01043989720"</f>
        <v>01043989720</v>
      </c>
      <c r="K2998" s="1" t="str">
        <f>"2017-03-16 13:41:03"</f>
        <v>2017-03-16 13:41:03</v>
      </c>
      <c r="L2998" s="1" t="str">
        <f>"2017-03-16 13:41:15"</f>
        <v>2017-03-16 13:41:15</v>
      </c>
      <c r="M2998" s="2">
        <v>8.0208333333333329E-3</v>
      </c>
      <c r="N2998" s="1" t="s">
        <v>26</v>
      </c>
      <c r="O2998" s="1" t="s">
        <v>34</v>
      </c>
      <c r="P2998" s="2">
        <v>8.1597222222222227E-3</v>
      </c>
      <c r="Q2998" s="1" t="s">
        <v>2183</v>
      </c>
      <c r="R2998" s="1">
        <v>0</v>
      </c>
      <c r="S2998" s="1" t="str">
        <f>""</f>
        <v/>
      </c>
      <c r="T2998" s="1" t="s">
        <v>29</v>
      </c>
      <c r="U2998" s="1" t="s">
        <v>30</v>
      </c>
      <c r="V2998" s="1">
        <v>0</v>
      </c>
    </row>
    <row r="2999" spans="2:22" x14ac:dyDescent="0.15">
      <c r="B2999" s="1" t="str">
        <f>"136****0506"</f>
        <v>136****0506</v>
      </c>
      <c r="C2999" s="1" t="s">
        <v>23</v>
      </c>
      <c r="D2999" s="1" t="str">
        <f t="shared" si="295"/>
        <v>89177328</v>
      </c>
      <c r="E2999" s="1" t="s">
        <v>24</v>
      </c>
      <c r="F2999" s="1" t="str">
        <f t="shared" si="296"/>
        <v>0010</v>
      </c>
      <c r="G2999" s="1" t="str">
        <f>""</f>
        <v/>
      </c>
      <c r="H2999" s="1" t="str">
        <f>"0003"</f>
        <v>0003</v>
      </c>
      <c r="I2999" s="1" t="s">
        <v>2173</v>
      </c>
      <c r="J2999" s="1" t="str">
        <f>"18601060080"</f>
        <v>18601060080</v>
      </c>
      <c r="K2999" s="1" t="str">
        <f>"2017-03-16 13:32:16"</f>
        <v>2017-03-16 13:32:16</v>
      </c>
      <c r="L2999" s="1" t="str">
        <f>"2017-03-16 13:32:55"</f>
        <v>2017-03-16 13:32:55</v>
      </c>
      <c r="M2999" s="2">
        <v>1.3229166666666667E-2</v>
      </c>
      <c r="N2999" s="1" t="s">
        <v>26</v>
      </c>
      <c r="O2999" s="1" t="s">
        <v>27</v>
      </c>
      <c r="P2999" s="2">
        <v>1.3680555555555555E-2</v>
      </c>
      <c r="Q2999" s="1" t="s">
        <v>2184</v>
      </c>
      <c r="R2999" s="1">
        <v>0</v>
      </c>
      <c r="S2999" s="1" t="str">
        <f>""</f>
        <v/>
      </c>
      <c r="T2999" s="1" t="s">
        <v>29</v>
      </c>
      <c r="U2999" s="1" t="s">
        <v>30</v>
      </c>
      <c r="V2999" s="1">
        <v>0</v>
      </c>
    </row>
    <row r="3000" spans="2:22" x14ac:dyDescent="0.15">
      <c r="B3000" s="1" t="str">
        <f>"150****0277"</f>
        <v>150****0277</v>
      </c>
      <c r="C3000" s="1" t="s">
        <v>1512</v>
      </c>
      <c r="D3000" s="1" t="str">
        <f t="shared" si="295"/>
        <v>89177328</v>
      </c>
      <c r="E3000" s="1" t="s">
        <v>24</v>
      </c>
      <c r="F3000" s="1" t="str">
        <f t="shared" si="296"/>
        <v>0010</v>
      </c>
      <c r="G3000" s="1" t="str">
        <f>""</f>
        <v/>
      </c>
      <c r="H3000" s="1" t="str">
        <f>"0010"</f>
        <v>0010</v>
      </c>
      <c r="I3000" s="1" t="s">
        <v>71</v>
      </c>
      <c r="J3000" s="1" t="str">
        <f>"01043989719"</f>
        <v>01043989719</v>
      </c>
      <c r="K3000" s="1" t="str">
        <f>"2017-03-16 13:26:19"</f>
        <v>2017-03-16 13:26:19</v>
      </c>
      <c r="L3000" s="1" t="str">
        <f>"2017-03-16 13:26:29"</f>
        <v>2017-03-16 13:26:29</v>
      </c>
      <c r="M3000" s="2">
        <v>5.2430555555555555E-3</v>
      </c>
      <c r="N3000" s="1" t="s">
        <v>26</v>
      </c>
      <c r="O3000" s="1" t="s">
        <v>27</v>
      </c>
      <c r="P3000" s="2">
        <v>5.3587962962962964E-3</v>
      </c>
      <c r="Q3000" s="1" t="s">
        <v>2185</v>
      </c>
      <c r="R3000" s="1">
        <v>0</v>
      </c>
      <c r="S3000" s="1" t="str">
        <f>""</f>
        <v/>
      </c>
      <c r="T3000" s="1" t="s">
        <v>29</v>
      </c>
      <c r="U3000" s="1" t="s">
        <v>30</v>
      </c>
      <c r="V3000" s="1">
        <v>0</v>
      </c>
    </row>
    <row r="3001" spans="2:22" x14ac:dyDescent="0.15">
      <c r="B3001" s="1" t="str">
        <f>"0316013439131367"</f>
        <v>0316013439131367</v>
      </c>
      <c r="C3001" s="1" t="s">
        <v>51</v>
      </c>
      <c r="D3001" s="1" t="str">
        <f t="shared" si="295"/>
        <v>89177328</v>
      </c>
      <c r="E3001" s="1" t="s">
        <v>24</v>
      </c>
      <c r="F3001" s="1" t="str">
        <f t="shared" si="296"/>
        <v>0010</v>
      </c>
      <c r="G3001" s="1" t="str">
        <f>""</f>
        <v/>
      </c>
      <c r="H3001" s="1" t="str">
        <f>"0012"</f>
        <v>0012</v>
      </c>
      <c r="I3001" s="1" t="s">
        <v>612</v>
      </c>
      <c r="J3001" s="1" t="str">
        <f>"01043989720"</f>
        <v>01043989720</v>
      </c>
      <c r="K3001" s="1" t="str">
        <f>"2017-03-16 13:20:46"</f>
        <v>2017-03-16 13:20:46</v>
      </c>
      <c r="L3001" s="1" t="str">
        <f>"2017-03-16 13:21:01"</f>
        <v>2017-03-16 13:21:01</v>
      </c>
      <c r="M3001" s="2">
        <v>8.0324074074074065E-3</v>
      </c>
      <c r="N3001" s="1" t="s">
        <v>26</v>
      </c>
      <c r="O3001" s="1" t="s">
        <v>27</v>
      </c>
      <c r="P3001" s="2">
        <v>8.2060185185185187E-3</v>
      </c>
      <c r="Q3001" s="1" t="s">
        <v>2186</v>
      </c>
      <c r="R3001" s="1">
        <v>0</v>
      </c>
      <c r="S3001" s="1" t="str">
        <f>""</f>
        <v/>
      </c>
      <c r="T3001" s="1" t="s">
        <v>29</v>
      </c>
      <c r="U3001" s="1" t="s">
        <v>30</v>
      </c>
      <c r="V3001" s="1">
        <v>0</v>
      </c>
    </row>
    <row r="3002" spans="2:22" x14ac:dyDescent="0.15">
      <c r="B3002" s="1" t="str">
        <f>"186****8585"</f>
        <v>186****8585</v>
      </c>
      <c r="C3002" s="1" t="s">
        <v>592</v>
      </c>
      <c r="D3002" s="1" t="str">
        <f t="shared" si="295"/>
        <v>89177328</v>
      </c>
      <c r="E3002" s="1" t="s">
        <v>24</v>
      </c>
      <c r="F3002" s="1" t="str">
        <f t="shared" si="296"/>
        <v>0010</v>
      </c>
      <c r="G3002" s="1" t="s">
        <v>24</v>
      </c>
      <c r="H3002" s="1" t="str">
        <f>"0034"</f>
        <v>0034</v>
      </c>
      <c r="I3002" s="1" t="s">
        <v>31</v>
      </c>
      <c r="J3002" s="1" t="str">
        <f>"01043977568"</f>
        <v>01043977568</v>
      </c>
      <c r="K3002" s="1" t="str">
        <f>"2017-03-16 12:36:55"</f>
        <v>2017-03-16 12:36:55</v>
      </c>
      <c r="L3002" s="1" t="str">
        <f>"2017-03-16 12:37:04"</f>
        <v>2017-03-16 12:37:04</v>
      </c>
      <c r="M3002" s="2">
        <v>2.4050925925925924E-2</v>
      </c>
      <c r="N3002" s="1" t="s">
        <v>26</v>
      </c>
      <c r="O3002" s="1" t="s">
        <v>27</v>
      </c>
      <c r="P3002" s="2">
        <v>2.4155092592592589E-2</v>
      </c>
      <c r="Q3002" s="1" t="s">
        <v>2187</v>
      </c>
      <c r="R3002" s="1">
        <v>0</v>
      </c>
      <c r="S3002" s="1" t="str">
        <f>""</f>
        <v/>
      </c>
      <c r="T3002" s="1" t="s">
        <v>29</v>
      </c>
      <c r="U3002" s="1" t="s">
        <v>30</v>
      </c>
      <c r="V3002" s="1">
        <v>0</v>
      </c>
    </row>
    <row r="3003" spans="2:22" x14ac:dyDescent="0.15">
      <c r="B3003" s="1" t="str">
        <f>"133****8249"</f>
        <v>133****8249</v>
      </c>
      <c r="C3003" s="1" t="s">
        <v>113</v>
      </c>
      <c r="D3003" s="1" t="str">
        <f t="shared" si="295"/>
        <v>89177328</v>
      </c>
      <c r="E3003" s="1" t="s">
        <v>24</v>
      </c>
      <c r="F3003" s="1" t="str">
        <f t="shared" si="296"/>
        <v>0010</v>
      </c>
      <c r="G3003" s="1" t="s">
        <v>24</v>
      </c>
      <c r="H3003" s="1" t="str">
        <f>"0010"</f>
        <v>0010</v>
      </c>
      <c r="I3003" s="1" t="s">
        <v>71</v>
      </c>
      <c r="J3003" s="1" t="str">
        <f>"01043989719"</f>
        <v>01043989719</v>
      </c>
      <c r="K3003" s="1" t="str">
        <f>"2017-03-16 12:09:10"</f>
        <v>2017-03-16 12:09:10</v>
      </c>
      <c r="L3003" s="1" t="str">
        <f>"2017-03-16 12:09:19"</f>
        <v>2017-03-16 12:09:19</v>
      </c>
      <c r="M3003" s="2">
        <v>9.4675925925925917E-3</v>
      </c>
      <c r="N3003" s="1" t="s">
        <v>26</v>
      </c>
      <c r="O3003" s="1" t="s">
        <v>27</v>
      </c>
      <c r="P3003" s="2">
        <v>9.571759259259259E-3</v>
      </c>
      <c r="Q3003" s="1" t="s">
        <v>2188</v>
      </c>
      <c r="R3003" s="1">
        <v>0</v>
      </c>
      <c r="S3003" s="1" t="str">
        <f>""</f>
        <v/>
      </c>
      <c r="T3003" s="1" t="s">
        <v>29</v>
      </c>
      <c r="U3003" s="1" t="s">
        <v>30</v>
      </c>
      <c r="V3003" s="1">
        <v>0</v>
      </c>
    </row>
    <row r="3004" spans="2:22" x14ac:dyDescent="0.15">
      <c r="B3004" s="1" t="str">
        <f>"185****1575"</f>
        <v>185****1575</v>
      </c>
      <c r="C3004" s="1" t="s">
        <v>23</v>
      </c>
      <c r="D3004" s="1" t="str">
        <f t="shared" si="295"/>
        <v>89177328</v>
      </c>
      <c r="E3004" s="1" t="s">
        <v>24</v>
      </c>
      <c r="F3004" s="1" t="str">
        <f t="shared" si="296"/>
        <v>0010</v>
      </c>
      <c r="G3004" s="1" t="s">
        <v>24</v>
      </c>
      <c r="H3004" s="1" t="str">
        <f>"0033"</f>
        <v>0033</v>
      </c>
      <c r="I3004" s="1" t="s">
        <v>106</v>
      </c>
      <c r="J3004" s="1" t="str">
        <f>"01043977567"</f>
        <v>01043977567</v>
      </c>
      <c r="K3004" s="1" t="str">
        <f>"2017-03-16 11:52:17"</f>
        <v>2017-03-16 11:52:17</v>
      </c>
      <c r="L3004" s="1" t="str">
        <f>"2017-03-16 11:52:23"</f>
        <v>2017-03-16 11:52:23</v>
      </c>
      <c r="M3004" s="2">
        <v>2.6041666666666665E-3</v>
      </c>
      <c r="N3004" s="1" t="s">
        <v>26</v>
      </c>
      <c r="O3004" s="1" t="s">
        <v>27</v>
      </c>
      <c r="P3004" s="2">
        <v>2.673611111111111E-3</v>
      </c>
      <c r="Q3004" s="1" t="s">
        <v>2189</v>
      </c>
      <c r="R3004" s="1">
        <v>0</v>
      </c>
      <c r="S3004" s="1" t="str">
        <f>""</f>
        <v/>
      </c>
      <c r="T3004" s="1" t="s">
        <v>29</v>
      </c>
      <c r="U3004" s="1" t="s">
        <v>30</v>
      </c>
      <c r="V3004" s="1">
        <v>0</v>
      </c>
    </row>
    <row r="3005" spans="2:22" x14ac:dyDescent="0.15">
      <c r="B3005" s="1" t="str">
        <f>"136****3228"</f>
        <v>136****3228</v>
      </c>
      <c r="C3005" s="1" t="s">
        <v>23</v>
      </c>
      <c r="D3005" s="1" t="str">
        <f t="shared" si="295"/>
        <v>89177328</v>
      </c>
      <c r="E3005" s="1" t="s">
        <v>24</v>
      </c>
      <c r="F3005" s="1" t="str">
        <f t="shared" si="296"/>
        <v>0010</v>
      </c>
      <c r="G3005" s="1" t="s">
        <v>24</v>
      </c>
      <c r="H3005" s="1" t="str">
        <f>"0034"</f>
        <v>0034</v>
      </c>
      <c r="I3005" s="1" t="s">
        <v>31</v>
      </c>
      <c r="J3005" s="1" t="str">
        <f>"01043977568"</f>
        <v>01043977568</v>
      </c>
      <c r="K3005" s="1" t="str">
        <f>"2017-03-16 11:34:36"</f>
        <v>2017-03-16 11:34:36</v>
      </c>
      <c r="L3005" s="1" t="str">
        <f>"2017-03-16 11:34:43"</f>
        <v>2017-03-16 11:34:43</v>
      </c>
      <c r="M3005" s="2">
        <v>8.9930555555555545E-3</v>
      </c>
      <c r="N3005" s="1" t="s">
        <v>26</v>
      </c>
      <c r="O3005" s="1" t="s">
        <v>34</v>
      </c>
      <c r="P3005" s="2">
        <v>9.0740740740740729E-3</v>
      </c>
      <c r="Q3005" s="1" t="s">
        <v>2190</v>
      </c>
      <c r="R3005" s="1">
        <v>0</v>
      </c>
      <c r="S3005" s="1" t="str">
        <f>""</f>
        <v/>
      </c>
      <c r="T3005" s="1" t="s">
        <v>29</v>
      </c>
      <c r="U3005" s="1" t="s">
        <v>30</v>
      </c>
      <c r="V3005" s="1">
        <v>0</v>
      </c>
    </row>
    <row r="3006" spans="2:22" x14ac:dyDescent="0.15">
      <c r="B3006" s="1" t="str">
        <f>"157****2818"</f>
        <v>157****2818</v>
      </c>
      <c r="C3006" s="1" t="s">
        <v>132</v>
      </c>
      <c r="D3006" s="1" t="str">
        <f t="shared" si="295"/>
        <v>89177328</v>
      </c>
      <c r="E3006" s="1" t="s">
        <v>24</v>
      </c>
      <c r="F3006" s="1" t="str">
        <f t="shared" si="296"/>
        <v>0010</v>
      </c>
      <c r="G3006" s="1" t="s">
        <v>24</v>
      </c>
      <c r="H3006" s="1" t="str">
        <f>"0033"</f>
        <v>0033</v>
      </c>
      <c r="I3006" s="1" t="s">
        <v>106</v>
      </c>
      <c r="J3006" s="1" t="str">
        <f>"01043977567"</f>
        <v>01043977567</v>
      </c>
      <c r="K3006" s="1" t="str">
        <f>"2017-03-16 11:12:45"</f>
        <v>2017-03-16 11:12:45</v>
      </c>
      <c r="L3006" s="1" t="str">
        <f>"2017-03-16 11:12:51"</f>
        <v>2017-03-16 11:12:51</v>
      </c>
      <c r="M3006" s="2">
        <v>3.6342592592592594E-3</v>
      </c>
      <c r="N3006" s="1" t="s">
        <v>26</v>
      </c>
      <c r="O3006" s="1" t="s">
        <v>27</v>
      </c>
      <c r="P3006" s="2">
        <v>3.7037037037037034E-3</v>
      </c>
      <c r="Q3006" s="1" t="s">
        <v>2191</v>
      </c>
      <c r="R3006" s="1">
        <v>0</v>
      </c>
      <c r="S3006" s="1" t="str">
        <f>""</f>
        <v/>
      </c>
      <c r="T3006" s="1" t="s">
        <v>29</v>
      </c>
      <c r="U3006" s="1" t="s">
        <v>30</v>
      </c>
      <c r="V3006" s="1">
        <v>0</v>
      </c>
    </row>
    <row r="3007" spans="2:22" x14ac:dyDescent="0.15">
      <c r="B3007" s="1" t="str">
        <f>"183****4280"</f>
        <v>183****4280</v>
      </c>
      <c r="C3007" s="1" t="s">
        <v>23</v>
      </c>
      <c r="D3007" s="1" t="str">
        <f t="shared" si="295"/>
        <v>89177328</v>
      </c>
      <c r="E3007" s="1" t="s">
        <v>24</v>
      </c>
      <c r="F3007" s="1" t="str">
        <f t="shared" si="296"/>
        <v>0010</v>
      </c>
      <c r="G3007" s="1" t="s">
        <v>24</v>
      </c>
      <c r="H3007" s="1" t="str">
        <f>"0033"</f>
        <v>0033</v>
      </c>
      <c r="I3007" s="1" t="s">
        <v>106</v>
      </c>
      <c r="J3007" s="1" t="str">
        <f>"01043977567"</f>
        <v>01043977567</v>
      </c>
      <c r="K3007" s="1" t="str">
        <f>"2017-03-16 10:52:16"</f>
        <v>2017-03-16 10:52:16</v>
      </c>
      <c r="L3007" s="1" t="str">
        <f>"2017-03-16 10:52:22"</f>
        <v>2017-03-16 10:52:22</v>
      </c>
      <c r="M3007" s="2">
        <v>8.1018518518518516E-5</v>
      </c>
      <c r="N3007" s="1" t="s">
        <v>26</v>
      </c>
      <c r="O3007" s="1" t="s">
        <v>27</v>
      </c>
      <c r="P3007" s="2">
        <v>1.5046296296296297E-4</v>
      </c>
      <c r="Q3007" s="1" t="s">
        <v>2192</v>
      </c>
      <c r="R3007" s="1">
        <v>0</v>
      </c>
      <c r="S3007" s="1" t="str">
        <f>""</f>
        <v/>
      </c>
      <c r="T3007" s="1" t="s">
        <v>29</v>
      </c>
      <c r="U3007" s="1" t="s">
        <v>30</v>
      </c>
      <c r="V3007" s="1">
        <v>0</v>
      </c>
    </row>
    <row r="3008" spans="2:22" x14ac:dyDescent="0.15">
      <c r="B3008" s="1" t="str">
        <f>"010****3333"</f>
        <v>010****3333</v>
      </c>
      <c r="C3008" s="1" t="s">
        <v>23</v>
      </c>
      <c r="D3008" s="1" t="str">
        <f t="shared" si="295"/>
        <v>89177328</v>
      </c>
      <c r="E3008" s="1" t="s">
        <v>24</v>
      </c>
      <c r="F3008" s="1" t="str">
        <f t="shared" si="296"/>
        <v>0010</v>
      </c>
      <c r="G3008" s="1" t="s">
        <v>24</v>
      </c>
      <c r="H3008" s="1" t="str">
        <f>"0010"</f>
        <v>0010</v>
      </c>
      <c r="I3008" s="1" t="s">
        <v>71</v>
      </c>
      <c r="J3008" s="1" t="str">
        <f>"01043989719"</f>
        <v>01043989719</v>
      </c>
      <c r="K3008" s="1" t="str">
        <f>"2017-03-16 10:52:04"</f>
        <v>2017-03-16 10:52:04</v>
      </c>
      <c r="L3008" s="1" t="str">
        <f>"2017-03-16 10:52:08"</f>
        <v>2017-03-16 10:52:08</v>
      </c>
      <c r="M3008" s="2">
        <v>3.2291666666666666E-3</v>
      </c>
      <c r="N3008" s="1" t="s">
        <v>26</v>
      </c>
      <c r="O3008" s="1" t="s">
        <v>27</v>
      </c>
      <c r="P3008" s="2">
        <v>3.2754629629629631E-3</v>
      </c>
      <c r="Q3008" s="1" t="s">
        <v>2193</v>
      </c>
      <c r="R3008" s="1">
        <v>0</v>
      </c>
      <c r="S3008" s="1" t="str">
        <f>""</f>
        <v/>
      </c>
      <c r="T3008" s="1" t="s">
        <v>29</v>
      </c>
      <c r="U3008" s="1" t="s">
        <v>30</v>
      </c>
      <c r="V3008" s="1">
        <v>0</v>
      </c>
    </row>
    <row r="3009" spans="2:22" x14ac:dyDescent="0.15">
      <c r="B3009" s="1" t="str">
        <f>"130****5656"</f>
        <v>130****5656</v>
      </c>
      <c r="C3009" s="1" t="s">
        <v>112</v>
      </c>
      <c r="D3009" s="1" t="str">
        <f t="shared" si="295"/>
        <v>89177328</v>
      </c>
      <c r="E3009" s="1" t="s">
        <v>24</v>
      </c>
      <c r="F3009" s="1" t="str">
        <f t="shared" si="296"/>
        <v>0010</v>
      </c>
      <c r="G3009" s="1" t="s">
        <v>24</v>
      </c>
      <c r="H3009" s="1" t="str">
        <f>"0033"</f>
        <v>0033</v>
      </c>
      <c r="I3009" s="1" t="s">
        <v>106</v>
      </c>
      <c r="J3009" s="1" t="str">
        <f>"01043977567"</f>
        <v>01043977567</v>
      </c>
      <c r="K3009" s="1" t="str">
        <f>"2017-03-16 10:51:30"</f>
        <v>2017-03-16 10:51:30</v>
      </c>
      <c r="L3009" s="1" t="str">
        <f>"-"</f>
        <v>-</v>
      </c>
      <c r="M3009" s="2">
        <v>0</v>
      </c>
      <c r="N3009" s="1" t="s">
        <v>33</v>
      </c>
      <c r="O3009" s="1" t="s">
        <v>34</v>
      </c>
      <c r="P3009" s="2">
        <v>1.1574074074074073E-4</v>
      </c>
      <c r="Q3009" s="1" t="str">
        <f>""</f>
        <v/>
      </c>
      <c r="R3009" s="1">
        <v>0</v>
      </c>
      <c r="S3009" s="1" t="str">
        <f>""</f>
        <v/>
      </c>
      <c r="T3009" s="1" t="s">
        <v>29</v>
      </c>
      <c r="U3009" s="1" t="s">
        <v>30</v>
      </c>
      <c r="V3009" s="1">
        <v>0</v>
      </c>
    </row>
    <row r="3010" spans="2:22" x14ac:dyDescent="0.15">
      <c r="B3010" s="1" t="str">
        <f>"135****0635"</f>
        <v>135****0635</v>
      </c>
      <c r="C3010" s="1" t="s">
        <v>193</v>
      </c>
      <c r="D3010" s="1" t="str">
        <f t="shared" si="295"/>
        <v>89177328</v>
      </c>
      <c r="E3010" s="1" t="s">
        <v>24</v>
      </c>
      <c r="F3010" s="1" t="str">
        <f t="shared" si="296"/>
        <v>0010</v>
      </c>
      <c r="G3010" s="1" t="s">
        <v>24</v>
      </c>
      <c r="H3010" s="1" t="str">
        <f>"0034"</f>
        <v>0034</v>
      </c>
      <c r="I3010" s="1" t="s">
        <v>31</v>
      </c>
      <c r="J3010" s="1" t="str">
        <f>"01043977568"</f>
        <v>01043977568</v>
      </c>
      <c r="K3010" s="1" t="str">
        <f>"2017-03-16 10:48:31"</f>
        <v>2017-03-16 10:48:31</v>
      </c>
      <c r="L3010" s="1" t="str">
        <f>"2017-03-16 10:48:40"</f>
        <v>2017-03-16 10:48:40</v>
      </c>
      <c r="M3010" s="2">
        <v>3.0902777777777782E-3</v>
      </c>
      <c r="N3010" s="1" t="s">
        <v>26</v>
      </c>
      <c r="O3010" s="1" t="s">
        <v>34</v>
      </c>
      <c r="P3010" s="2">
        <v>3.1944444444444442E-3</v>
      </c>
      <c r="Q3010" s="1" t="s">
        <v>2194</v>
      </c>
      <c r="R3010" s="1">
        <v>0</v>
      </c>
      <c r="S3010" s="1" t="str">
        <f>""</f>
        <v/>
      </c>
      <c r="T3010" s="1" t="s">
        <v>29</v>
      </c>
      <c r="U3010" s="1" t="s">
        <v>30</v>
      </c>
      <c r="V3010" s="1">
        <v>0</v>
      </c>
    </row>
    <row r="3011" spans="2:22" x14ac:dyDescent="0.15">
      <c r="B3011" s="1" t="str">
        <f>"183****4280"</f>
        <v>183****4280</v>
      </c>
      <c r="C3011" s="1" t="s">
        <v>23</v>
      </c>
      <c r="D3011" s="1" t="str">
        <f t="shared" si="295"/>
        <v>89177328</v>
      </c>
      <c r="E3011" s="1" t="s">
        <v>24</v>
      </c>
      <c r="F3011" s="1" t="str">
        <f t="shared" si="296"/>
        <v>0010</v>
      </c>
      <c r="G3011" s="1" t="s">
        <v>24</v>
      </c>
      <c r="H3011" s="1" t="str">
        <f>"0034"</f>
        <v>0034</v>
      </c>
      <c r="I3011" s="1" t="s">
        <v>31</v>
      </c>
      <c r="J3011" s="1" t="str">
        <f>"01043977568"</f>
        <v>01043977568</v>
      </c>
      <c r="K3011" s="1" t="str">
        <f>"2017-03-16 10:45:32"</f>
        <v>2017-03-16 10:45:32</v>
      </c>
      <c r="L3011" s="1" t="str">
        <f>"2017-03-16 10:45:41"</f>
        <v>2017-03-16 10:45:41</v>
      </c>
      <c r="M3011" s="2">
        <v>1.3888888888888889E-4</v>
      </c>
      <c r="N3011" s="1" t="s">
        <v>26</v>
      </c>
      <c r="O3011" s="1" t="s">
        <v>27</v>
      </c>
      <c r="P3011" s="2">
        <v>2.4305555555555552E-4</v>
      </c>
      <c r="Q3011" s="1" t="s">
        <v>2195</v>
      </c>
      <c r="R3011" s="1">
        <v>0</v>
      </c>
      <c r="S3011" s="1" t="str">
        <f>""</f>
        <v/>
      </c>
      <c r="T3011" s="1" t="s">
        <v>29</v>
      </c>
      <c r="U3011" s="1" t="s">
        <v>30</v>
      </c>
      <c r="V3011" s="1">
        <v>0</v>
      </c>
    </row>
    <row r="3012" spans="2:22" x14ac:dyDescent="0.15">
      <c r="B3012" s="1" t="str">
        <f>"158****1926"</f>
        <v>158****1926</v>
      </c>
      <c r="C3012" s="1" t="s">
        <v>99</v>
      </c>
      <c r="D3012" s="1" t="str">
        <f t="shared" si="295"/>
        <v>89177328</v>
      </c>
      <c r="E3012" s="1" t="s">
        <v>24</v>
      </c>
      <c r="F3012" s="1" t="str">
        <f t="shared" si="296"/>
        <v>0010</v>
      </c>
      <c r="G3012" s="1" t="s">
        <v>24</v>
      </c>
      <c r="H3012" s="1" t="str">
        <f>"0010"</f>
        <v>0010</v>
      </c>
      <c r="I3012" s="1" t="s">
        <v>71</v>
      </c>
      <c r="J3012" s="1" t="str">
        <f>"01043989719"</f>
        <v>01043989719</v>
      </c>
      <c r="K3012" s="1" t="str">
        <f>"2017-03-16 10:35:46"</f>
        <v>2017-03-16 10:35:46</v>
      </c>
      <c r="L3012" s="1" t="str">
        <f>"2017-03-16 10:35:56"</f>
        <v>2017-03-16 10:35:56</v>
      </c>
      <c r="M3012" s="2">
        <v>6.6203703703703702E-3</v>
      </c>
      <c r="N3012" s="1" t="s">
        <v>26</v>
      </c>
      <c r="O3012" s="1" t="s">
        <v>27</v>
      </c>
      <c r="P3012" s="2">
        <v>6.7361111111111103E-3</v>
      </c>
      <c r="Q3012" s="1" t="s">
        <v>2196</v>
      </c>
      <c r="R3012" s="1">
        <v>0</v>
      </c>
      <c r="S3012" s="1" t="str">
        <f>""</f>
        <v/>
      </c>
      <c r="T3012" s="1" t="s">
        <v>29</v>
      </c>
      <c r="U3012" s="1" t="s">
        <v>30</v>
      </c>
      <c r="V3012" s="1">
        <v>0</v>
      </c>
    </row>
    <row r="3013" spans="2:22" x14ac:dyDescent="0.15">
      <c r="B3013" s="1" t="str">
        <f>"130****7125"</f>
        <v>130****7125</v>
      </c>
      <c r="C3013" s="1" t="s">
        <v>23</v>
      </c>
      <c r="D3013" s="1" t="str">
        <f t="shared" si="295"/>
        <v>89177328</v>
      </c>
      <c r="E3013" s="1" t="s">
        <v>24</v>
      </c>
      <c r="F3013" s="1" t="str">
        <f t="shared" si="296"/>
        <v>0010</v>
      </c>
      <c r="G3013" s="1" t="s">
        <v>24</v>
      </c>
      <c r="H3013" s="1" t="str">
        <f>"0034"</f>
        <v>0034</v>
      </c>
      <c r="I3013" s="1" t="s">
        <v>31</v>
      </c>
      <c r="J3013" s="1" t="str">
        <f>"01043977568"</f>
        <v>01043977568</v>
      </c>
      <c r="K3013" s="1" t="str">
        <f>"2017-03-16 10:34:00"</f>
        <v>2017-03-16 10:34:00</v>
      </c>
      <c r="L3013" s="1" t="str">
        <f>"2017-03-16 10:34:09"</f>
        <v>2017-03-16 10:34:09</v>
      </c>
      <c r="M3013" s="2">
        <v>3.8888888888888883E-3</v>
      </c>
      <c r="N3013" s="1" t="s">
        <v>26</v>
      </c>
      <c r="O3013" s="1" t="s">
        <v>27</v>
      </c>
      <c r="P3013" s="2">
        <v>3.9930555555555561E-3</v>
      </c>
      <c r="Q3013" s="1" t="s">
        <v>2197</v>
      </c>
      <c r="R3013" s="1">
        <v>0</v>
      </c>
      <c r="S3013" s="1" t="str">
        <f>""</f>
        <v/>
      </c>
      <c r="T3013" s="1" t="s">
        <v>29</v>
      </c>
      <c r="U3013" s="1" t="s">
        <v>30</v>
      </c>
      <c r="V3013" s="1">
        <v>0</v>
      </c>
    </row>
    <row r="3014" spans="2:22" x14ac:dyDescent="0.15">
      <c r="B3014" s="1" t="str">
        <f>"185****1235"</f>
        <v>185****1235</v>
      </c>
      <c r="C3014" s="1" t="s">
        <v>23</v>
      </c>
      <c r="D3014" s="1" t="str">
        <f t="shared" si="295"/>
        <v>89177328</v>
      </c>
      <c r="E3014" s="1" t="s">
        <v>24</v>
      </c>
      <c r="F3014" s="1" t="str">
        <f t="shared" si="296"/>
        <v>0010</v>
      </c>
      <c r="G3014" s="1" t="s">
        <v>24</v>
      </c>
      <c r="H3014" s="1" t="str">
        <f>"0010"</f>
        <v>0010</v>
      </c>
      <c r="I3014" s="1" t="s">
        <v>71</v>
      </c>
      <c r="J3014" s="1" t="str">
        <f>"01043989719"</f>
        <v>01043989719</v>
      </c>
      <c r="K3014" s="1" t="str">
        <f>"2017-03-16 10:32:39"</f>
        <v>2017-03-16 10:32:39</v>
      </c>
      <c r="L3014" s="1" t="str">
        <f>"2017-03-16 10:32:45"</f>
        <v>2017-03-16 10:32:45</v>
      </c>
      <c r="M3014" s="2">
        <v>8.1018518518518516E-5</v>
      </c>
      <c r="N3014" s="1" t="s">
        <v>26</v>
      </c>
      <c r="O3014" s="1" t="s">
        <v>34</v>
      </c>
      <c r="P3014" s="2">
        <v>1.5046296296296297E-4</v>
      </c>
      <c r="Q3014" s="1" t="s">
        <v>2198</v>
      </c>
      <c r="R3014" s="1">
        <v>0</v>
      </c>
      <c r="S3014" s="1" t="str">
        <f>""</f>
        <v/>
      </c>
      <c r="T3014" s="1" t="s">
        <v>29</v>
      </c>
      <c r="U3014" s="1" t="s">
        <v>30</v>
      </c>
      <c r="V3014" s="1">
        <v>0</v>
      </c>
    </row>
    <row r="3015" spans="2:22" x14ac:dyDescent="0.15">
      <c r="B3015" s="1" t="str">
        <f>"188****7867"</f>
        <v>188****7867</v>
      </c>
      <c r="C3015" s="1" t="s">
        <v>23</v>
      </c>
      <c r="D3015" s="1" t="str">
        <f t="shared" si="295"/>
        <v>89177328</v>
      </c>
      <c r="E3015" s="1" t="s">
        <v>24</v>
      </c>
      <c r="F3015" s="1" t="str">
        <f t="shared" si="296"/>
        <v>0010</v>
      </c>
      <c r="G3015" s="1" t="s">
        <v>24</v>
      </c>
      <c r="H3015" s="1" t="str">
        <f>"0012"</f>
        <v>0012</v>
      </c>
      <c r="I3015" s="1" t="s">
        <v>612</v>
      </c>
      <c r="J3015" s="1" t="str">
        <f>"01043989720"</f>
        <v>01043989720</v>
      </c>
      <c r="K3015" s="1" t="str">
        <f>"2017-03-16 10:27:04"</f>
        <v>2017-03-16 10:27:04</v>
      </c>
      <c r="L3015" s="1" t="str">
        <f>"2017-03-16 10:27:18"</f>
        <v>2017-03-16 10:27:18</v>
      </c>
      <c r="M3015" s="2">
        <v>6.9444444444444444E-5</v>
      </c>
      <c r="N3015" s="1" t="s">
        <v>26</v>
      </c>
      <c r="O3015" s="1" t="s">
        <v>34</v>
      </c>
      <c r="P3015" s="2">
        <v>2.3148148148148146E-4</v>
      </c>
      <c r="Q3015" s="1" t="s">
        <v>2199</v>
      </c>
      <c r="R3015" s="1">
        <v>0</v>
      </c>
      <c r="S3015" s="1" t="str">
        <f>""</f>
        <v/>
      </c>
      <c r="T3015" s="1" t="s">
        <v>29</v>
      </c>
      <c r="U3015" s="1" t="s">
        <v>30</v>
      </c>
      <c r="V3015" s="1">
        <v>0</v>
      </c>
    </row>
    <row r="3016" spans="2:22" x14ac:dyDescent="0.15">
      <c r="B3016" s="1" t="str">
        <f>"010****1334"</f>
        <v>010****1334</v>
      </c>
      <c r="C3016" s="1" t="s">
        <v>23</v>
      </c>
      <c r="D3016" s="1" t="str">
        <f t="shared" si="295"/>
        <v>89177328</v>
      </c>
      <c r="E3016" s="1" t="s">
        <v>24</v>
      </c>
      <c r="F3016" s="1" t="str">
        <f t="shared" si="296"/>
        <v>0010</v>
      </c>
      <c r="G3016" s="1" t="s">
        <v>24</v>
      </c>
      <c r="H3016" s="1" t="str">
        <f>"0010"</f>
        <v>0010</v>
      </c>
      <c r="I3016" s="1" t="s">
        <v>71</v>
      </c>
      <c r="J3016" s="1" t="str">
        <f>"01043989719"</f>
        <v>01043989719</v>
      </c>
      <c r="K3016" s="1" t="str">
        <f>"2017-03-16 10:23:20"</f>
        <v>2017-03-16 10:23:20</v>
      </c>
      <c r="L3016" s="1" t="str">
        <f>"2017-03-16 10:23:23"</f>
        <v>2017-03-16 10:23:23</v>
      </c>
      <c r="M3016" s="2">
        <v>6.018518518518519E-4</v>
      </c>
      <c r="N3016" s="1" t="s">
        <v>26</v>
      </c>
      <c r="O3016" s="1" t="s">
        <v>34</v>
      </c>
      <c r="P3016" s="2">
        <v>6.3657407407407402E-4</v>
      </c>
      <c r="Q3016" s="1" t="s">
        <v>2200</v>
      </c>
      <c r="R3016" s="1">
        <v>0</v>
      </c>
      <c r="S3016" s="1" t="str">
        <f>""</f>
        <v/>
      </c>
      <c r="T3016" s="1" t="s">
        <v>29</v>
      </c>
      <c r="U3016" s="1" t="s">
        <v>30</v>
      </c>
      <c r="V3016" s="1">
        <v>0</v>
      </c>
    </row>
    <row r="3017" spans="2:22" x14ac:dyDescent="0.15">
      <c r="B3017" s="1" t="str">
        <f>"114"</f>
        <v>114</v>
      </c>
      <c r="C3017" s="1" t="s">
        <v>159</v>
      </c>
      <c r="D3017" s="1" t="str">
        <f t="shared" si="295"/>
        <v>89177328</v>
      </c>
      <c r="E3017" s="1" t="s">
        <v>24</v>
      </c>
      <c r="F3017" s="1" t="str">
        <f t="shared" si="296"/>
        <v>0010</v>
      </c>
      <c r="G3017" s="1" t="s">
        <v>24</v>
      </c>
      <c r="H3017" s="1" t="str">
        <f>"0012"</f>
        <v>0012</v>
      </c>
      <c r="I3017" s="1" t="s">
        <v>612</v>
      </c>
      <c r="J3017" s="1" t="str">
        <f>"01043989720"</f>
        <v>01043989720</v>
      </c>
      <c r="K3017" s="1" t="str">
        <f>"2017-03-16 10:22:20"</f>
        <v>2017-03-16 10:22:20</v>
      </c>
      <c r="L3017" s="1" t="str">
        <f>"2017-03-16 10:22:35"</f>
        <v>2017-03-16 10:22:35</v>
      </c>
      <c r="M3017" s="2">
        <v>9.2592592592592588E-5</v>
      </c>
      <c r="N3017" s="1" t="s">
        <v>26</v>
      </c>
      <c r="O3017" s="1" t="s">
        <v>27</v>
      </c>
      <c r="P3017" s="2">
        <v>2.6620370370370372E-4</v>
      </c>
      <c r="Q3017" s="1" t="s">
        <v>2201</v>
      </c>
      <c r="R3017" s="1">
        <v>0</v>
      </c>
      <c r="S3017" s="1" t="str">
        <f>""</f>
        <v/>
      </c>
      <c r="T3017" s="1" t="s">
        <v>29</v>
      </c>
      <c r="U3017" s="1" t="s">
        <v>30</v>
      </c>
      <c r="V3017" s="1">
        <v>0</v>
      </c>
    </row>
    <row r="3018" spans="2:22" x14ac:dyDescent="0.15">
      <c r="B3018" s="1" t="str">
        <f>"183****4280"</f>
        <v>183****4280</v>
      </c>
      <c r="C3018" s="1" t="s">
        <v>23</v>
      </c>
      <c r="D3018" s="1" t="str">
        <f t="shared" si="295"/>
        <v>89177328</v>
      </c>
      <c r="E3018" s="1" t="s">
        <v>24</v>
      </c>
      <c r="F3018" s="1" t="str">
        <f t="shared" si="296"/>
        <v>0010</v>
      </c>
      <c r="G3018" s="1" t="s">
        <v>24</v>
      </c>
      <c r="H3018" s="1" t="str">
        <f>"0010"</f>
        <v>0010</v>
      </c>
      <c r="I3018" s="1" t="s">
        <v>71</v>
      </c>
      <c r="J3018" s="1" t="str">
        <f>"01043989719"</f>
        <v>01043989719</v>
      </c>
      <c r="K3018" s="1" t="str">
        <f>"2017-03-16 10:20:51"</f>
        <v>2017-03-16 10:20:51</v>
      </c>
      <c r="L3018" s="1" t="str">
        <f>"-"</f>
        <v>-</v>
      </c>
      <c r="M3018" s="2">
        <v>0</v>
      </c>
      <c r="N3018" s="1" t="s">
        <v>33</v>
      </c>
      <c r="O3018" s="1" t="s">
        <v>34</v>
      </c>
      <c r="P3018" s="2">
        <v>3.4722222222222222E-5</v>
      </c>
      <c r="Q3018" s="1" t="str">
        <f>""</f>
        <v/>
      </c>
      <c r="R3018" s="1">
        <v>0</v>
      </c>
      <c r="S3018" s="1" t="str">
        <f>""</f>
        <v/>
      </c>
      <c r="T3018" s="1" t="s">
        <v>29</v>
      </c>
      <c r="U3018" s="1" t="s">
        <v>30</v>
      </c>
      <c r="V3018" s="1">
        <v>0</v>
      </c>
    </row>
    <row r="3019" spans="2:22" x14ac:dyDescent="0.15">
      <c r="B3019" s="1" t="str">
        <f>"185****1235"</f>
        <v>185****1235</v>
      </c>
      <c r="C3019" s="1" t="s">
        <v>23</v>
      </c>
      <c r="D3019" s="1" t="str">
        <f t="shared" si="295"/>
        <v>89177328</v>
      </c>
      <c r="E3019" s="1" t="s">
        <v>24</v>
      </c>
      <c r="F3019" s="1" t="str">
        <f t="shared" si="296"/>
        <v>0010</v>
      </c>
      <c r="G3019" s="1" t="s">
        <v>24</v>
      </c>
      <c r="H3019" s="1" t="str">
        <f>"0010"</f>
        <v>0010</v>
      </c>
      <c r="I3019" s="1" t="s">
        <v>71</v>
      </c>
      <c r="J3019" s="1" t="str">
        <f>"01043989719"</f>
        <v>01043989719</v>
      </c>
      <c r="K3019" s="1" t="str">
        <f>"2017-03-16 10:20:30"</f>
        <v>2017-03-16 10:20:30</v>
      </c>
      <c r="L3019" s="1" t="str">
        <f>"2017-03-16 10:20:36"</f>
        <v>2017-03-16 10:20:36</v>
      </c>
      <c r="M3019" s="2">
        <v>1.1574074074074073E-5</v>
      </c>
      <c r="N3019" s="1" t="s">
        <v>26</v>
      </c>
      <c r="O3019" s="1" t="s">
        <v>34</v>
      </c>
      <c r="P3019" s="2">
        <v>8.1018518518518516E-5</v>
      </c>
      <c r="Q3019" s="1" t="str">
        <f>""</f>
        <v/>
      </c>
      <c r="R3019" s="1">
        <v>0</v>
      </c>
      <c r="S3019" s="1" t="str">
        <f>""</f>
        <v/>
      </c>
      <c r="T3019" s="1" t="s">
        <v>29</v>
      </c>
      <c r="U3019" s="1" t="s">
        <v>30</v>
      </c>
      <c r="V3019" s="1">
        <v>0</v>
      </c>
    </row>
    <row r="3020" spans="2:22" x14ac:dyDescent="0.15">
      <c r="B3020" s="1" t="str">
        <f>"130****5656"</f>
        <v>130****5656</v>
      </c>
      <c r="C3020" s="1" t="s">
        <v>112</v>
      </c>
      <c r="D3020" s="1" t="str">
        <f t="shared" si="295"/>
        <v>89177328</v>
      </c>
      <c r="E3020" s="1" t="s">
        <v>24</v>
      </c>
      <c r="F3020" s="1" t="str">
        <f t="shared" si="296"/>
        <v>0010</v>
      </c>
      <c r="G3020" s="1" t="s">
        <v>24</v>
      </c>
      <c r="H3020" s="1" t="str">
        <f>"0033"</f>
        <v>0033</v>
      </c>
      <c r="I3020" s="1" t="s">
        <v>106</v>
      </c>
      <c r="J3020" s="1" t="str">
        <f>"01043977567"</f>
        <v>01043977567</v>
      </c>
      <c r="K3020" s="1" t="str">
        <f>"2017-03-16 10:18:41"</f>
        <v>2017-03-16 10:18:41</v>
      </c>
      <c r="L3020" s="1" t="str">
        <f>"-"</f>
        <v>-</v>
      </c>
      <c r="M3020" s="2">
        <v>0</v>
      </c>
      <c r="N3020" s="1" t="s">
        <v>33</v>
      </c>
      <c r="O3020" s="1" t="s">
        <v>34</v>
      </c>
      <c r="P3020" s="2">
        <v>1.273148148148148E-4</v>
      </c>
      <c r="Q3020" s="1" t="str">
        <f>""</f>
        <v/>
      </c>
      <c r="R3020" s="1">
        <v>0</v>
      </c>
      <c r="S3020" s="1" t="str">
        <f>""</f>
        <v/>
      </c>
      <c r="T3020" s="1" t="s">
        <v>29</v>
      </c>
      <c r="U3020" s="1" t="s">
        <v>30</v>
      </c>
      <c r="V3020" s="1">
        <v>0</v>
      </c>
    </row>
    <row r="3021" spans="2:22" x14ac:dyDescent="0.15">
      <c r="B3021" s="1" t="str">
        <f>"188****7867"</f>
        <v>188****7867</v>
      </c>
      <c r="C3021" s="1" t="s">
        <v>23</v>
      </c>
      <c r="D3021" s="1" t="str">
        <f t="shared" si="295"/>
        <v>89177328</v>
      </c>
      <c r="E3021" s="1" t="s">
        <v>24</v>
      </c>
      <c r="F3021" s="1" t="str">
        <f t="shared" si="296"/>
        <v>0010</v>
      </c>
      <c r="G3021" s="1" t="s">
        <v>24</v>
      </c>
      <c r="H3021" s="1" t="str">
        <f>"0010"</f>
        <v>0010</v>
      </c>
      <c r="I3021" s="1" t="s">
        <v>71</v>
      </c>
      <c r="J3021" s="1" t="str">
        <f>"01043989719"</f>
        <v>01043989719</v>
      </c>
      <c r="K3021" s="1" t="str">
        <f>"2017-03-16 10:15:46"</f>
        <v>2017-03-16 10:15:46</v>
      </c>
      <c r="L3021" s="1" t="str">
        <f>"2017-03-16 10:15:50"</f>
        <v>2017-03-16 10:15:50</v>
      </c>
      <c r="M3021" s="2">
        <v>8.1018518518518516E-5</v>
      </c>
      <c r="N3021" s="1" t="s">
        <v>26</v>
      </c>
      <c r="O3021" s="1" t="s">
        <v>27</v>
      </c>
      <c r="P3021" s="2">
        <v>1.273148148148148E-4</v>
      </c>
      <c r="Q3021" s="1" t="s">
        <v>2202</v>
      </c>
      <c r="R3021" s="1">
        <v>0</v>
      </c>
      <c r="S3021" s="1" t="str">
        <f>""</f>
        <v/>
      </c>
      <c r="T3021" s="1" t="s">
        <v>29</v>
      </c>
      <c r="U3021" s="1" t="s">
        <v>30</v>
      </c>
      <c r="V3021" s="1">
        <v>0</v>
      </c>
    </row>
    <row r="3022" spans="2:22" x14ac:dyDescent="0.15">
      <c r="B3022" s="1" t="str">
        <f>"185****1235"</f>
        <v>185****1235</v>
      </c>
      <c r="C3022" s="1" t="s">
        <v>23</v>
      </c>
      <c r="D3022" s="1" t="str">
        <f t="shared" si="295"/>
        <v>89177328</v>
      </c>
      <c r="E3022" s="1" t="s">
        <v>24</v>
      </c>
      <c r="F3022" s="1" t="str">
        <f t="shared" si="296"/>
        <v>0010</v>
      </c>
      <c r="G3022" s="1" t="s">
        <v>24</v>
      </c>
      <c r="H3022" s="1" t="str">
        <f>"0012"</f>
        <v>0012</v>
      </c>
      <c r="I3022" s="1" t="s">
        <v>612</v>
      </c>
      <c r="J3022" s="1" t="str">
        <f>"01043989720"</f>
        <v>01043989720</v>
      </c>
      <c r="K3022" s="1" t="str">
        <f>"2017-03-16 10:14:44"</f>
        <v>2017-03-16 10:14:44</v>
      </c>
      <c r="L3022" s="1" t="str">
        <f>"-"</f>
        <v>-</v>
      </c>
      <c r="M3022" s="2">
        <v>0</v>
      </c>
      <c r="N3022" s="1" t="s">
        <v>33</v>
      </c>
      <c r="O3022" s="1" t="s">
        <v>34</v>
      </c>
      <c r="P3022" s="2">
        <v>1.1574074074074073E-4</v>
      </c>
      <c r="Q3022" s="1" t="str">
        <f>""</f>
        <v/>
      </c>
      <c r="R3022" s="1">
        <v>0</v>
      </c>
      <c r="S3022" s="1" t="str">
        <f>""</f>
        <v/>
      </c>
      <c r="T3022" s="1" t="s">
        <v>29</v>
      </c>
      <c r="U3022" s="1" t="s">
        <v>30</v>
      </c>
      <c r="V3022" s="1">
        <v>0</v>
      </c>
    </row>
    <row r="3023" spans="2:22" x14ac:dyDescent="0.15">
      <c r="B3023" s="1" t="str">
        <f>"183****4280"</f>
        <v>183****4280</v>
      </c>
      <c r="C3023" s="1" t="s">
        <v>23</v>
      </c>
      <c r="D3023" s="1" t="str">
        <f t="shared" si="295"/>
        <v>89177328</v>
      </c>
      <c r="E3023" s="1" t="s">
        <v>24</v>
      </c>
      <c r="F3023" s="1" t="str">
        <f t="shared" si="296"/>
        <v>0010</v>
      </c>
      <c r="G3023" s="1" t="s">
        <v>24</v>
      </c>
      <c r="H3023" s="1" t="str">
        <f>"0033"</f>
        <v>0033</v>
      </c>
      <c r="I3023" s="1" t="s">
        <v>106</v>
      </c>
      <c r="J3023" s="1" t="str">
        <f>"01043977567"</f>
        <v>01043977567</v>
      </c>
      <c r="K3023" s="1" t="str">
        <f>"2017-03-16 10:12:27"</f>
        <v>2017-03-16 10:12:27</v>
      </c>
      <c r="L3023" s="1" t="str">
        <f>"-"</f>
        <v>-</v>
      </c>
      <c r="M3023" s="2">
        <v>0</v>
      </c>
      <c r="N3023" s="1" t="s">
        <v>33</v>
      </c>
      <c r="O3023" s="1" t="s">
        <v>34</v>
      </c>
      <c r="P3023" s="2">
        <v>1.9675925925925926E-4</v>
      </c>
      <c r="Q3023" s="1" t="str">
        <f>""</f>
        <v/>
      </c>
      <c r="R3023" s="1">
        <v>0</v>
      </c>
      <c r="S3023" s="1" t="str">
        <f>""</f>
        <v/>
      </c>
      <c r="T3023" s="1" t="s">
        <v>29</v>
      </c>
      <c r="U3023" s="1" t="s">
        <v>30</v>
      </c>
      <c r="V3023" s="1">
        <v>0</v>
      </c>
    </row>
    <row r="3024" spans="2:22" x14ac:dyDescent="0.15">
      <c r="B3024" s="1" t="str">
        <f>"157****4678"</f>
        <v>157****4678</v>
      </c>
      <c r="C3024" s="1" t="s">
        <v>23</v>
      </c>
      <c r="D3024" s="1" t="str">
        <f t="shared" si="295"/>
        <v>89177328</v>
      </c>
      <c r="E3024" s="1" t="s">
        <v>24</v>
      </c>
      <c r="F3024" s="1" t="str">
        <f t="shared" si="296"/>
        <v>0010</v>
      </c>
      <c r="G3024" s="1" t="s">
        <v>24</v>
      </c>
      <c r="H3024" s="1" t="str">
        <f>"0012"</f>
        <v>0012</v>
      </c>
      <c r="I3024" s="1" t="s">
        <v>612</v>
      </c>
      <c r="J3024" s="1" t="str">
        <f>"01043989720"</f>
        <v>01043989720</v>
      </c>
      <c r="K3024" s="1" t="str">
        <f>"2017-03-16 10:12:12"</f>
        <v>2017-03-16 10:12:12</v>
      </c>
      <c r="L3024" s="1" t="str">
        <f>"-"</f>
        <v>-</v>
      </c>
      <c r="M3024" s="2">
        <v>0</v>
      </c>
      <c r="N3024" s="1" t="s">
        <v>33</v>
      </c>
      <c r="O3024" s="1" t="s">
        <v>34</v>
      </c>
      <c r="P3024" s="2">
        <v>1.6203703703703703E-4</v>
      </c>
      <c r="Q3024" s="1" t="str">
        <f>""</f>
        <v/>
      </c>
      <c r="R3024" s="1">
        <v>0</v>
      </c>
      <c r="S3024" s="1" t="str">
        <f>""</f>
        <v/>
      </c>
      <c r="T3024" s="1" t="s">
        <v>29</v>
      </c>
      <c r="U3024" s="1" t="s">
        <v>30</v>
      </c>
      <c r="V3024" s="1">
        <v>0</v>
      </c>
    </row>
    <row r="3025" spans="2:22" x14ac:dyDescent="0.15">
      <c r="B3025" s="1" t="str">
        <f>"130****5656"</f>
        <v>130****5656</v>
      </c>
      <c r="C3025" s="1" t="s">
        <v>112</v>
      </c>
      <c r="D3025" s="1" t="str">
        <f t="shared" si="295"/>
        <v>89177328</v>
      </c>
      <c r="E3025" s="1" t="s">
        <v>24</v>
      </c>
      <c r="F3025" s="1" t="str">
        <f t="shared" si="296"/>
        <v>0010</v>
      </c>
      <c r="G3025" s="1" t="s">
        <v>24</v>
      </c>
      <c r="H3025" s="1" t="str">
        <f>"0010"</f>
        <v>0010</v>
      </c>
      <c r="I3025" s="1" t="s">
        <v>71</v>
      </c>
      <c r="J3025" s="1" t="str">
        <f>"01043989719"</f>
        <v>01043989719</v>
      </c>
      <c r="K3025" s="1" t="str">
        <f>"2017-03-16 10:11:02"</f>
        <v>2017-03-16 10:11:02</v>
      </c>
      <c r="L3025" s="1" t="str">
        <f>"2017-03-16 10:11:07"</f>
        <v>2017-03-16 10:11:07</v>
      </c>
      <c r="M3025" s="2">
        <v>4.6296296296296294E-5</v>
      </c>
      <c r="N3025" s="1" t="s">
        <v>26</v>
      </c>
      <c r="O3025" s="1" t="s">
        <v>27</v>
      </c>
      <c r="P3025" s="2">
        <v>1.0416666666666667E-4</v>
      </c>
      <c r="Q3025" s="1" t="str">
        <f>""</f>
        <v/>
      </c>
      <c r="R3025" s="1">
        <v>0</v>
      </c>
      <c r="S3025" s="1" t="str">
        <f>""</f>
        <v/>
      </c>
      <c r="T3025" s="1" t="s">
        <v>29</v>
      </c>
      <c r="U3025" s="1" t="s">
        <v>30</v>
      </c>
      <c r="V3025" s="1">
        <v>0</v>
      </c>
    </row>
    <row r="3026" spans="2:22" x14ac:dyDescent="0.15">
      <c r="B3026" s="1" t="str">
        <f>"185****1235"</f>
        <v>185****1235</v>
      </c>
      <c r="C3026" s="1" t="s">
        <v>23</v>
      </c>
      <c r="D3026" s="1" t="str">
        <f t="shared" si="295"/>
        <v>89177328</v>
      </c>
      <c r="E3026" s="1" t="s">
        <v>24</v>
      </c>
      <c r="F3026" s="1" t="str">
        <f t="shared" si="296"/>
        <v>0010</v>
      </c>
      <c r="G3026" s="1" t="s">
        <v>24</v>
      </c>
      <c r="H3026" s="1" t="str">
        <f>"0012"</f>
        <v>0012</v>
      </c>
      <c r="I3026" s="1" t="s">
        <v>612</v>
      </c>
      <c r="J3026" s="1" t="str">
        <f>"01043989720"</f>
        <v>01043989720</v>
      </c>
      <c r="K3026" s="1" t="str">
        <f>"2017-03-16 10:09:54"</f>
        <v>2017-03-16 10:09:54</v>
      </c>
      <c r="L3026" s="1" t="str">
        <f>"-"</f>
        <v>-</v>
      </c>
      <c r="M3026" s="2">
        <v>0</v>
      </c>
      <c r="N3026" s="1" t="s">
        <v>33</v>
      </c>
      <c r="O3026" s="1" t="s">
        <v>34</v>
      </c>
      <c r="P3026" s="2">
        <v>1.1574074074074073E-4</v>
      </c>
      <c r="Q3026" s="1" t="str">
        <f>""</f>
        <v/>
      </c>
      <c r="R3026" s="1">
        <v>0</v>
      </c>
      <c r="S3026" s="1" t="str">
        <f>""</f>
        <v/>
      </c>
      <c r="T3026" s="1" t="s">
        <v>29</v>
      </c>
      <c r="U3026" s="1" t="s">
        <v>30</v>
      </c>
      <c r="V3026" s="1">
        <v>0</v>
      </c>
    </row>
    <row r="3027" spans="2:22" x14ac:dyDescent="0.15">
      <c r="B3027" s="1" t="str">
        <f>"188****7867"</f>
        <v>188****7867</v>
      </c>
      <c r="C3027" s="1" t="s">
        <v>23</v>
      </c>
      <c r="D3027" s="1" t="str">
        <f t="shared" si="295"/>
        <v>89177328</v>
      </c>
      <c r="E3027" s="1" t="s">
        <v>24</v>
      </c>
      <c r="F3027" s="1" t="str">
        <f t="shared" si="296"/>
        <v>0010</v>
      </c>
      <c r="G3027" s="1" t="s">
        <v>24</v>
      </c>
      <c r="H3027" s="1" t="str">
        <f>"0010"</f>
        <v>0010</v>
      </c>
      <c r="I3027" s="1" t="s">
        <v>71</v>
      </c>
      <c r="J3027" s="1" t="str">
        <f>"01043989719"</f>
        <v>01043989719</v>
      </c>
      <c r="K3027" s="1" t="str">
        <f>"2017-03-16 10:09:42"</f>
        <v>2017-03-16 10:09:42</v>
      </c>
      <c r="L3027" s="1" t="str">
        <f>"2017-03-16 10:09:47"</f>
        <v>2017-03-16 10:09:47</v>
      </c>
      <c r="M3027" s="2">
        <v>1.1574074074074073E-4</v>
      </c>
      <c r="N3027" s="1" t="s">
        <v>26</v>
      </c>
      <c r="O3027" s="1" t="s">
        <v>34</v>
      </c>
      <c r="P3027" s="2">
        <v>1.7361111111111112E-4</v>
      </c>
      <c r="Q3027" s="1" t="s">
        <v>2203</v>
      </c>
      <c r="R3027" s="1">
        <v>0</v>
      </c>
      <c r="S3027" s="1" t="str">
        <f>""</f>
        <v/>
      </c>
      <c r="T3027" s="1" t="s">
        <v>29</v>
      </c>
      <c r="U3027" s="1" t="s">
        <v>30</v>
      </c>
      <c r="V3027" s="1">
        <v>0</v>
      </c>
    </row>
    <row r="3028" spans="2:22" x14ac:dyDescent="0.15">
      <c r="B3028" s="1" t="str">
        <f>"183****4280"</f>
        <v>183****4280</v>
      </c>
      <c r="C3028" s="1" t="s">
        <v>23</v>
      </c>
      <c r="D3028" s="1" t="str">
        <f t="shared" si="295"/>
        <v>89177328</v>
      </c>
      <c r="E3028" s="1" t="s">
        <v>24</v>
      </c>
      <c r="F3028" s="1" t="str">
        <f t="shared" si="296"/>
        <v>0010</v>
      </c>
      <c r="G3028" s="1" t="s">
        <v>24</v>
      </c>
      <c r="H3028" s="1" t="str">
        <f>"0033"</f>
        <v>0033</v>
      </c>
      <c r="I3028" s="1" t="s">
        <v>106</v>
      </c>
      <c r="J3028" s="1" t="str">
        <f>"01043977567"</f>
        <v>01043977567</v>
      </c>
      <c r="K3028" s="1" t="str">
        <f>"2017-03-16 10:08:27"</f>
        <v>2017-03-16 10:08:27</v>
      </c>
      <c r="L3028" s="1" t="str">
        <f>"2017-03-16 10:08:32"</f>
        <v>2017-03-16 10:08:32</v>
      </c>
      <c r="M3028" s="2">
        <v>1.0416666666666667E-4</v>
      </c>
      <c r="N3028" s="1" t="s">
        <v>26</v>
      </c>
      <c r="O3028" s="1" t="s">
        <v>27</v>
      </c>
      <c r="P3028" s="2">
        <v>1.6203703703703703E-4</v>
      </c>
      <c r="Q3028" s="1" t="s">
        <v>2204</v>
      </c>
      <c r="R3028" s="1">
        <v>0</v>
      </c>
      <c r="S3028" s="1" t="str">
        <f>""</f>
        <v/>
      </c>
      <c r="T3028" s="1" t="s">
        <v>29</v>
      </c>
      <c r="U3028" s="1" t="s">
        <v>30</v>
      </c>
      <c r="V3028" s="1">
        <v>0</v>
      </c>
    </row>
    <row r="3029" spans="2:22" x14ac:dyDescent="0.15">
      <c r="B3029" s="1" t="str">
        <f>"139****3897"</f>
        <v>139****3897</v>
      </c>
      <c r="C3029" s="1" t="s">
        <v>69</v>
      </c>
      <c r="D3029" s="1" t="str">
        <f t="shared" si="295"/>
        <v>89177328</v>
      </c>
      <c r="E3029" s="1" t="s">
        <v>24</v>
      </c>
      <c r="F3029" s="1" t="str">
        <f t="shared" si="296"/>
        <v>0010</v>
      </c>
      <c r="G3029" s="1" t="s">
        <v>24</v>
      </c>
      <c r="H3029" s="1" t="str">
        <f>"0010"</f>
        <v>0010</v>
      </c>
      <c r="I3029" s="1" t="s">
        <v>71</v>
      </c>
      <c r="J3029" s="1" t="str">
        <f>"01043989719"</f>
        <v>01043989719</v>
      </c>
      <c r="K3029" s="1" t="str">
        <f>"2017-03-16 09:57:07"</f>
        <v>2017-03-16 09:57:07</v>
      </c>
      <c r="L3029" s="1" t="str">
        <f>"2017-03-16 09:57:16"</f>
        <v>2017-03-16 09:57:16</v>
      </c>
      <c r="M3029" s="2">
        <v>6.9907407407407409E-3</v>
      </c>
      <c r="N3029" s="1" t="s">
        <v>26</v>
      </c>
      <c r="O3029" s="1" t="s">
        <v>27</v>
      </c>
      <c r="P3029" s="2">
        <v>7.0949074074074074E-3</v>
      </c>
      <c r="Q3029" s="1" t="s">
        <v>2205</v>
      </c>
      <c r="R3029" s="1">
        <v>0</v>
      </c>
      <c r="S3029" s="1" t="str">
        <f>""</f>
        <v/>
      </c>
      <c r="T3029" s="1" t="s">
        <v>29</v>
      </c>
      <c r="U3029" s="1" t="s">
        <v>30</v>
      </c>
      <c r="V3029" s="1">
        <v>0</v>
      </c>
    </row>
    <row r="3030" spans="2:22" x14ac:dyDescent="0.15">
      <c r="B3030" s="1" t="str">
        <f>"139****0587"</f>
        <v>139****0587</v>
      </c>
      <c r="C3030" s="1" t="s">
        <v>23</v>
      </c>
      <c r="D3030" s="1" t="str">
        <f t="shared" si="295"/>
        <v>89177328</v>
      </c>
      <c r="E3030" s="1" t="s">
        <v>24</v>
      </c>
      <c r="F3030" s="1" t="str">
        <f t="shared" si="296"/>
        <v>0010</v>
      </c>
      <c r="G3030" s="1" t="s">
        <v>24</v>
      </c>
      <c r="H3030" s="1" t="str">
        <f>"0010"</f>
        <v>0010</v>
      </c>
      <c r="I3030" s="1" t="s">
        <v>71</v>
      </c>
      <c r="J3030" s="1" t="str">
        <f>"01043989719"</f>
        <v>01043989719</v>
      </c>
      <c r="K3030" s="1" t="str">
        <f>"2017-03-16 09:38:44"</f>
        <v>2017-03-16 09:38:44</v>
      </c>
      <c r="L3030" s="1" t="str">
        <f>"2017-03-16 09:38:54"</f>
        <v>2017-03-16 09:38:54</v>
      </c>
      <c r="M3030" s="2">
        <v>1.0555555555555554E-2</v>
      </c>
      <c r="N3030" s="1" t="s">
        <v>26</v>
      </c>
      <c r="O3030" s="1" t="s">
        <v>27</v>
      </c>
      <c r="P3030" s="2">
        <v>1.0671296296296297E-2</v>
      </c>
      <c r="Q3030" s="1" t="s">
        <v>2206</v>
      </c>
      <c r="R3030" s="1">
        <v>0</v>
      </c>
      <c r="S3030" s="1" t="str">
        <f>""</f>
        <v/>
      </c>
      <c r="T3030" s="1" t="s">
        <v>29</v>
      </c>
      <c r="U3030" s="1" t="s">
        <v>30</v>
      </c>
      <c r="V3030" s="1">
        <v>0</v>
      </c>
    </row>
    <row r="3031" spans="2:22" x14ac:dyDescent="0.15">
      <c r="B3031" s="1" t="str">
        <f>"010****9787"</f>
        <v>010****9787</v>
      </c>
      <c r="C3031" s="1" t="s">
        <v>23</v>
      </c>
      <c r="D3031" s="1" t="str">
        <f t="shared" si="295"/>
        <v>89177328</v>
      </c>
      <c r="E3031" s="1" t="s">
        <v>24</v>
      </c>
      <c r="F3031" s="1" t="str">
        <f t="shared" si="296"/>
        <v>0010</v>
      </c>
      <c r="G3031" s="1" t="s">
        <v>24</v>
      </c>
      <c r="H3031" s="1" t="str">
        <f>"0010"</f>
        <v>0010</v>
      </c>
      <c r="I3031" s="1" t="s">
        <v>71</v>
      </c>
      <c r="J3031" s="1" t="str">
        <f>"01043989719"</f>
        <v>01043989719</v>
      </c>
      <c r="K3031" s="1" t="str">
        <f>"2017-03-16 09:24:12"</f>
        <v>2017-03-16 09:24:12</v>
      </c>
      <c r="L3031" s="1" t="str">
        <f>"2017-03-16 09:24:18"</f>
        <v>2017-03-16 09:24:18</v>
      </c>
      <c r="M3031" s="2">
        <v>3.8425925925925923E-3</v>
      </c>
      <c r="N3031" s="1" t="s">
        <v>26</v>
      </c>
      <c r="O3031" s="1" t="s">
        <v>27</v>
      </c>
      <c r="P3031" s="2">
        <v>3.9120370370370368E-3</v>
      </c>
      <c r="Q3031" s="1" t="s">
        <v>2207</v>
      </c>
      <c r="R3031" s="1">
        <v>0</v>
      </c>
      <c r="S3031" s="1" t="str">
        <f>""</f>
        <v/>
      </c>
      <c r="T3031" s="1" t="s">
        <v>29</v>
      </c>
      <c r="U3031" s="1" t="s">
        <v>30</v>
      </c>
      <c r="V3031" s="1">
        <v>0</v>
      </c>
    </row>
    <row r="3032" spans="2:22" x14ac:dyDescent="0.15">
      <c r="B3032" s="1" t="str">
        <f>"136****4423"</f>
        <v>136****4423</v>
      </c>
      <c r="C3032" s="1" t="s">
        <v>23</v>
      </c>
      <c r="D3032" s="1" t="str">
        <f t="shared" si="295"/>
        <v>89177328</v>
      </c>
      <c r="E3032" s="1" t="s">
        <v>24</v>
      </c>
      <c r="F3032" s="1" t="str">
        <f t="shared" si="296"/>
        <v>0010</v>
      </c>
      <c r="G3032" s="1" t="s">
        <v>24</v>
      </c>
      <c r="H3032" s="1" t="str">
        <f>"0033"</f>
        <v>0033</v>
      </c>
      <c r="I3032" s="1" t="s">
        <v>106</v>
      </c>
      <c r="J3032" s="1" t="str">
        <f>"01043977567"</f>
        <v>01043977567</v>
      </c>
      <c r="K3032" s="1" t="str">
        <f>"2017-03-16 09:23:41"</f>
        <v>2017-03-16 09:23:41</v>
      </c>
      <c r="L3032" s="1" t="str">
        <f>"2017-03-16 09:23:48"</f>
        <v>2017-03-16 09:23:48</v>
      </c>
      <c r="M3032" s="2">
        <v>4.5023148148148149E-3</v>
      </c>
      <c r="N3032" s="1" t="s">
        <v>26</v>
      </c>
      <c r="O3032" s="1" t="s">
        <v>27</v>
      </c>
      <c r="P3032" s="2">
        <v>4.5833333333333334E-3</v>
      </c>
      <c r="Q3032" s="1" t="s">
        <v>2208</v>
      </c>
      <c r="R3032" s="1">
        <v>0</v>
      </c>
      <c r="S3032" s="1" t="str">
        <f>""</f>
        <v/>
      </c>
      <c r="T3032" s="1" t="s">
        <v>29</v>
      </c>
      <c r="U3032" s="1" t="s">
        <v>30</v>
      </c>
      <c r="V3032" s="1">
        <v>0</v>
      </c>
    </row>
    <row r="3033" spans="2:22" x14ac:dyDescent="0.15">
      <c r="B3033" s="1" t="str">
        <f>"010****0559"</f>
        <v>010****0559</v>
      </c>
      <c r="C3033" s="1" t="s">
        <v>23</v>
      </c>
      <c r="D3033" s="1" t="str">
        <f t="shared" si="295"/>
        <v>89177328</v>
      </c>
      <c r="E3033" s="1" t="s">
        <v>24</v>
      </c>
      <c r="F3033" s="1" t="str">
        <f t="shared" si="296"/>
        <v>0010</v>
      </c>
      <c r="G3033" s="1" t="s">
        <v>24</v>
      </c>
      <c r="H3033" s="1" t="str">
        <f>"0012"</f>
        <v>0012</v>
      </c>
      <c r="I3033" s="1" t="s">
        <v>612</v>
      </c>
      <c r="J3033" s="1" t="str">
        <f>"01043989720"</f>
        <v>01043989720</v>
      </c>
      <c r="K3033" s="1" t="str">
        <f>"2017-03-16 09:18:23"</f>
        <v>2017-03-16 09:18:23</v>
      </c>
      <c r="L3033" s="1" t="str">
        <f>"2017-03-16 09:18:39"</f>
        <v>2017-03-16 09:18:39</v>
      </c>
      <c r="M3033" s="2">
        <v>1.6967592592592593E-2</v>
      </c>
      <c r="N3033" s="1" t="s">
        <v>26</v>
      </c>
      <c r="O3033" s="1" t="s">
        <v>34</v>
      </c>
      <c r="P3033" s="2">
        <v>1.7152777777777777E-2</v>
      </c>
      <c r="Q3033" s="1" t="s">
        <v>2209</v>
      </c>
      <c r="R3033" s="1">
        <v>0</v>
      </c>
      <c r="S3033" s="1" t="str">
        <f>""</f>
        <v/>
      </c>
      <c r="T3033" s="1" t="s">
        <v>29</v>
      </c>
      <c r="U3033" s="1" t="s">
        <v>30</v>
      </c>
      <c r="V3033" s="1">
        <v>0</v>
      </c>
    </row>
    <row r="3034" spans="2:22" x14ac:dyDescent="0.15">
      <c r="B3034" s="1" t="str">
        <f>"136****8780"</f>
        <v>136****8780</v>
      </c>
      <c r="C3034" s="1" t="s">
        <v>23</v>
      </c>
      <c r="D3034" s="1" t="str">
        <f t="shared" si="295"/>
        <v>89177328</v>
      </c>
      <c r="E3034" s="1" t="s">
        <v>24</v>
      </c>
      <c r="F3034" s="1" t="str">
        <f t="shared" si="296"/>
        <v>0010</v>
      </c>
      <c r="G3034" s="1" t="s">
        <v>24</v>
      </c>
      <c r="H3034" s="1" t="str">
        <f>"0010"</f>
        <v>0010</v>
      </c>
      <c r="I3034" s="1" t="s">
        <v>71</v>
      </c>
      <c r="J3034" s="1" t="str">
        <f>"01043989719"</f>
        <v>01043989719</v>
      </c>
      <c r="K3034" s="1" t="str">
        <f>"2017-03-16 09:12:19"</f>
        <v>2017-03-16 09:12:19</v>
      </c>
      <c r="L3034" s="1" t="str">
        <f>"2017-03-16 09:12:27"</f>
        <v>2017-03-16 09:12:27</v>
      </c>
      <c r="M3034" s="2">
        <v>7.037037037037037E-3</v>
      </c>
      <c r="N3034" s="1" t="s">
        <v>26</v>
      </c>
      <c r="O3034" s="1" t="s">
        <v>27</v>
      </c>
      <c r="P3034" s="2">
        <v>7.1296296296296307E-3</v>
      </c>
      <c r="Q3034" s="1" t="s">
        <v>2210</v>
      </c>
      <c r="R3034" s="1">
        <v>0</v>
      </c>
      <c r="S3034" s="1" t="str">
        <f>""</f>
        <v/>
      </c>
      <c r="T3034" s="1" t="s">
        <v>29</v>
      </c>
      <c r="U3034" s="1" t="s">
        <v>30</v>
      </c>
      <c r="V3034" s="1">
        <v>0</v>
      </c>
    </row>
    <row r="3035" spans="2:22" x14ac:dyDescent="0.15">
      <c r="B3035" s="1" t="str">
        <f>"010****1217"</f>
        <v>010****1217</v>
      </c>
      <c r="C3035" s="1" t="s">
        <v>23</v>
      </c>
      <c r="D3035" s="1" t="str">
        <f t="shared" si="295"/>
        <v>89177328</v>
      </c>
      <c r="E3035" s="1" t="s">
        <v>24</v>
      </c>
      <c r="F3035" s="1" t="str">
        <f t="shared" si="296"/>
        <v>0010</v>
      </c>
      <c r="G3035" s="1" t="s">
        <v>24</v>
      </c>
      <c r="H3035" s="1" t="str">
        <f>"0012"</f>
        <v>0012</v>
      </c>
      <c r="I3035" s="1" t="s">
        <v>612</v>
      </c>
      <c r="J3035" s="1" t="str">
        <f>"01043989720"</f>
        <v>01043989720</v>
      </c>
      <c r="K3035" s="1" t="str">
        <f>"2017-03-16 08:42:03"</f>
        <v>2017-03-16 08:42:03</v>
      </c>
      <c r="L3035" s="1" t="str">
        <f>"2017-03-16 08:42:16"</f>
        <v>2017-03-16 08:42:16</v>
      </c>
      <c r="M3035" s="2">
        <v>3.9004629629629632E-3</v>
      </c>
      <c r="N3035" s="1" t="s">
        <v>26</v>
      </c>
      <c r="O3035" s="1" t="s">
        <v>34</v>
      </c>
      <c r="P3035" s="2">
        <v>4.0509259259259257E-3</v>
      </c>
      <c r="Q3035" s="1" t="s">
        <v>2211</v>
      </c>
      <c r="R3035" s="1">
        <v>0</v>
      </c>
      <c r="S3035" s="1" t="str">
        <f>""</f>
        <v/>
      </c>
      <c r="T3035" s="1" t="s">
        <v>29</v>
      </c>
      <c r="U3035" s="1" t="s">
        <v>30</v>
      </c>
      <c r="V3035" s="1">
        <v>0</v>
      </c>
    </row>
    <row r="3036" spans="2:22" x14ac:dyDescent="0.15">
      <c r="B3036" s="1" t="str">
        <f>"188****7867"</f>
        <v>188****7867</v>
      </c>
      <c r="C3036" s="1" t="s">
        <v>23</v>
      </c>
      <c r="D3036" s="1" t="str">
        <f t="shared" si="295"/>
        <v>89177328</v>
      </c>
      <c r="E3036" s="1" t="s">
        <v>24</v>
      </c>
      <c r="F3036" s="1" t="str">
        <f t="shared" si="296"/>
        <v>0010</v>
      </c>
      <c r="G3036" s="1" t="s">
        <v>24</v>
      </c>
      <c r="H3036" s="1" t="str">
        <f>"0010"</f>
        <v>0010</v>
      </c>
      <c r="I3036" s="1" t="s">
        <v>71</v>
      </c>
      <c r="J3036" s="1" t="str">
        <f>"01043989719"</f>
        <v>01043989719</v>
      </c>
      <c r="K3036" s="1" t="str">
        <f>"2017-03-16 08:38:29"</f>
        <v>2017-03-16 08:38:29</v>
      </c>
      <c r="L3036" s="1" t="str">
        <f>"2017-03-16 08:38:38"</f>
        <v>2017-03-16 08:38:38</v>
      </c>
      <c r="M3036" s="2">
        <v>2.7777777777777778E-4</v>
      </c>
      <c r="N3036" s="1" t="s">
        <v>26</v>
      </c>
      <c r="O3036" s="1" t="s">
        <v>27</v>
      </c>
      <c r="P3036" s="2">
        <v>3.8194444444444446E-4</v>
      </c>
      <c r="Q3036" s="1" t="s">
        <v>2212</v>
      </c>
      <c r="R3036" s="1">
        <v>0</v>
      </c>
      <c r="S3036" s="1" t="str">
        <f>""</f>
        <v/>
      </c>
      <c r="T3036" s="1" t="s">
        <v>29</v>
      </c>
      <c r="U3036" s="1" t="s">
        <v>30</v>
      </c>
      <c r="V3036" s="1">
        <v>0</v>
      </c>
    </row>
    <row r="3037" spans="2:22" x14ac:dyDescent="0.15">
      <c r="B3037" s="1" t="str">
        <f>"136****3729"</f>
        <v>136****3729</v>
      </c>
      <c r="C3037" s="1" t="s">
        <v>1505</v>
      </c>
      <c r="D3037" s="1" t="str">
        <f t="shared" si="295"/>
        <v>89177328</v>
      </c>
      <c r="E3037" s="1" t="s">
        <v>24</v>
      </c>
      <c r="F3037" s="1" t="str">
        <f t="shared" si="296"/>
        <v>0010</v>
      </c>
      <c r="G3037" s="1" t="s">
        <v>24</v>
      </c>
      <c r="H3037" s="1" t="str">
        <f>"0033"</f>
        <v>0033</v>
      </c>
      <c r="I3037" s="1" t="s">
        <v>106</v>
      </c>
      <c r="J3037" s="1" t="str">
        <f>"01043977567"</f>
        <v>01043977567</v>
      </c>
      <c r="K3037" s="1" t="str">
        <f>"2017-03-16 08:25:46"</f>
        <v>2017-03-16 08:25:46</v>
      </c>
      <c r="L3037" s="1" t="str">
        <f>"2017-03-16 08:25:53"</f>
        <v>2017-03-16 08:25:53</v>
      </c>
      <c r="M3037" s="2">
        <v>7.083333333333333E-3</v>
      </c>
      <c r="N3037" s="1" t="s">
        <v>26</v>
      </c>
      <c r="O3037" s="1" t="s">
        <v>27</v>
      </c>
      <c r="P3037" s="2">
        <v>7.1643518518518514E-3</v>
      </c>
      <c r="Q3037" s="1" t="s">
        <v>2213</v>
      </c>
      <c r="R3037" s="1">
        <v>0</v>
      </c>
      <c r="S3037" s="1" t="str">
        <f>""</f>
        <v/>
      </c>
      <c r="T3037" s="1" t="s">
        <v>29</v>
      </c>
      <c r="U3037" s="1" t="s">
        <v>30</v>
      </c>
      <c r="V3037" s="1">
        <v>0</v>
      </c>
    </row>
    <row r="3038" spans="2:22" x14ac:dyDescent="0.15">
      <c r="B3038" s="1" t="str">
        <f>"178****3257"</f>
        <v>178****3257</v>
      </c>
      <c r="C3038" s="1" t="s">
        <v>645</v>
      </c>
      <c r="D3038" s="1" t="str">
        <f t="shared" si="295"/>
        <v>89177328</v>
      </c>
      <c r="E3038" s="1" t="s">
        <v>24</v>
      </c>
      <c r="F3038" s="1" t="str">
        <f t="shared" si="296"/>
        <v>0010</v>
      </c>
      <c r="G3038" s="1" t="s">
        <v>24</v>
      </c>
      <c r="H3038" s="1" t="str">
        <f>"0033"</f>
        <v>0033</v>
      </c>
      <c r="I3038" s="1" t="s">
        <v>106</v>
      </c>
      <c r="J3038" s="1" t="str">
        <f>"01043977567"</f>
        <v>01043977567</v>
      </c>
      <c r="K3038" s="1" t="str">
        <f>"2017-03-16 08:21:42"</f>
        <v>2017-03-16 08:21:42</v>
      </c>
      <c r="L3038" s="1" t="str">
        <f>"2017-03-16 08:21:48"</f>
        <v>2017-03-16 08:21:48</v>
      </c>
      <c r="M3038" s="2">
        <v>8.1018518518518516E-5</v>
      </c>
      <c r="N3038" s="1" t="s">
        <v>26</v>
      </c>
      <c r="O3038" s="1" t="s">
        <v>34</v>
      </c>
      <c r="P3038" s="2">
        <v>1.5046296296296297E-4</v>
      </c>
      <c r="Q3038" s="1" t="s">
        <v>2214</v>
      </c>
      <c r="R3038" s="1">
        <v>0</v>
      </c>
      <c r="S3038" s="1" t="str">
        <f>""</f>
        <v/>
      </c>
      <c r="T3038" s="1" t="s">
        <v>29</v>
      </c>
      <c r="U3038" s="1" t="s">
        <v>30</v>
      </c>
      <c r="V3038" s="1">
        <v>0</v>
      </c>
    </row>
    <row r="3039" spans="2:22" x14ac:dyDescent="0.15">
      <c r="B3039" s="1" t="str">
        <f>"185****1235"</f>
        <v>185****1235</v>
      </c>
      <c r="C3039" s="1" t="s">
        <v>23</v>
      </c>
      <c r="D3039" s="1" t="str">
        <f t="shared" si="295"/>
        <v>89177328</v>
      </c>
      <c r="E3039" s="1" t="s">
        <v>24</v>
      </c>
      <c r="F3039" s="1" t="str">
        <f t="shared" si="296"/>
        <v>0010</v>
      </c>
      <c r="G3039" s="1" t="s">
        <v>24</v>
      </c>
      <c r="H3039" s="1" t="str">
        <f>"0012"</f>
        <v>0012</v>
      </c>
      <c r="I3039" s="1" t="s">
        <v>612</v>
      </c>
      <c r="J3039" s="1" t="str">
        <f>"01043989720"</f>
        <v>01043989720</v>
      </c>
      <c r="K3039" s="1" t="str">
        <f>"2017-03-16 08:21:17"</f>
        <v>2017-03-16 08:21:17</v>
      </c>
      <c r="L3039" s="1" t="str">
        <f>"-"</f>
        <v>-</v>
      </c>
      <c r="M3039" s="2">
        <v>0</v>
      </c>
      <c r="N3039" s="1" t="s">
        <v>33</v>
      </c>
      <c r="O3039" s="1" t="s">
        <v>34</v>
      </c>
      <c r="P3039" s="2">
        <v>9.2592592592592588E-5</v>
      </c>
      <c r="Q3039" s="1" t="str">
        <f>""</f>
        <v/>
      </c>
      <c r="R3039" s="1">
        <v>0</v>
      </c>
      <c r="S3039" s="1" t="str">
        <f>""</f>
        <v/>
      </c>
      <c r="T3039" s="1" t="s">
        <v>29</v>
      </c>
      <c r="U3039" s="1" t="s">
        <v>30</v>
      </c>
      <c r="V3039" s="1">
        <v>0</v>
      </c>
    </row>
    <row r="3040" spans="2:22" x14ac:dyDescent="0.15">
      <c r="B3040" s="1" t="str">
        <f>"185****1235"</f>
        <v>185****1235</v>
      </c>
      <c r="C3040" s="1" t="s">
        <v>23</v>
      </c>
      <c r="D3040" s="1" t="str">
        <f t="shared" si="295"/>
        <v>89177328</v>
      </c>
      <c r="E3040" s="1" t="s">
        <v>24</v>
      </c>
      <c r="F3040" s="1" t="str">
        <f t="shared" si="296"/>
        <v>0010</v>
      </c>
      <c r="G3040" s="1" t="s">
        <v>24</v>
      </c>
      <c r="H3040" s="1" t="str">
        <f>"0012"</f>
        <v>0012</v>
      </c>
      <c r="I3040" s="1" t="s">
        <v>612</v>
      </c>
      <c r="J3040" s="1" t="str">
        <f>"01043989720"</f>
        <v>01043989720</v>
      </c>
      <c r="K3040" s="1" t="str">
        <f>"2017-03-16 08:19:52"</f>
        <v>2017-03-16 08:19:52</v>
      </c>
      <c r="L3040" s="1" t="str">
        <f>"-"</f>
        <v>-</v>
      </c>
      <c r="M3040" s="2">
        <v>0</v>
      </c>
      <c r="N3040" s="1" t="s">
        <v>33</v>
      </c>
      <c r="O3040" s="1" t="s">
        <v>34</v>
      </c>
      <c r="P3040" s="2">
        <v>1.7361111111111112E-4</v>
      </c>
      <c r="Q3040" s="1" t="str">
        <f>""</f>
        <v/>
      </c>
      <c r="R3040" s="1">
        <v>0</v>
      </c>
      <c r="S3040" s="1" t="str">
        <f>""</f>
        <v/>
      </c>
      <c r="T3040" s="1" t="s">
        <v>29</v>
      </c>
      <c r="U3040" s="1" t="s">
        <v>30</v>
      </c>
      <c r="V3040" s="1">
        <v>0</v>
      </c>
    </row>
    <row r="3041" spans="2:22" x14ac:dyDescent="0.15">
      <c r="B3041" s="1" t="str">
        <f>"186****3456"</f>
        <v>186****3456</v>
      </c>
      <c r="C3041" s="1" t="s">
        <v>23</v>
      </c>
      <c r="D3041" s="1" t="str">
        <f t="shared" si="295"/>
        <v>89177328</v>
      </c>
      <c r="E3041" s="1" t="s">
        <v>24</v>
      </c>
      <c r="F3041" s="1" t="str">
        <f t="shared" si="296"/>
        <v>0010</v>
      </c>
      <c r="G3041" s="1" t="s">
        <v>24</v>
      </c>
      <c r="H3041" s="1" t="str">
        <f>"0012"</f>
        <v>0012</v>
      </c>
      <c r="I3041" s="1" t="s">
        <v>612</v>
      </c>
      <c r="J3041" s="1" t="str">
        <f>"01043989720"</f>
        <v>01043989720</v>
      </c>
      <c r="K3041" s="1" t="str">
        <f>"2017-03-16 08:13:33"</f>
        <v>2017-03-16 08:13:33</v>
      </c>
      <c r="L3041" s="1" t="str">
        <f>"2017-03-16 08:13:45"</f>
        <v>2017-03-16 08:13:45</v>
      </c>
      <c r="M3041" s="2">
        <v>1.9675925925925926E-4</v>
      </c>
      <c r="N3041" s="1" t="s">
        <v>26</v>
      </c>
      <c r="O3041" s="1" t="s">
        <v>27</v>
      </c>
      <c r="P3041" s="2">
        <v>3.3564814814814812E-4</v>
      </c>
      <c r="Q3041" s="1" t="s">
        <v>2215</v>
      </c>
      <c r="R3041" s="1">
        <v>0</v>
      </c>
      <c r="S3041" s="1" t="str">
        <f>""</f>
        <v/>
      </c>
      <c r="T3041" s="1" t="s">
        <v>29</v>
      </c>
      <c r="U3041" s="1" t="s">
        <v>30</v>
      </c>
      <c r="V3041" s="1">
        <v>0</v>
      </c>
    </row>
    <row r="3042" spans="2:22" x14ac:dyDescent="0.15">
      <c r="B3042" s="1" t="str">
        <f>"185****5592"</f>
        <v>185****5592</v>
      </c>
      <c r="C3042" s="1" t="s">
        <v>23</v>
      </c>
      <c r="D3042" s="1" t="str">
        <f>"4000108333"</f>
        <v>4000108333</v>
      </c>
      <c r="E3042" s="1" t="s">
        <v>414</v>
      </c>
      <c r="F3042" s="1" t="str">
        <f>""</f>
        <v/>
      </c>
      <c r="G3042" s="1" t="str">
        <f>""</f>
        <v/>
      </c>
      <c r="H3042" s="1" t="str">
        <f>""</f>
        <v/>
      </c>
      <c r="I3042" s="1" t="str">
        <f>""</f>
        <v/>
      </c>
      <c r="J3042" s="1" t="str">
        <f>""</f>
        <v/>
      </c>
      <c r="K3042" s="1" t="str">
        <f>"2017-04-19 21:35:55"</f>
        <v>2017-04-19 21:35:55</v>
      </c>
      <c r="L3042" s="1" t="str">
        <f>"-"</f>
        <v>-</v>
      </c>
      <c r="M3042" s="2">
        <v>0</v>
      </c>
      <c r="N3042" s="1" t="s">
        <v>55</v>
      </c>
      <c r="O3042" s="1" t="s">
        <v>34</v>
      </c>
      <c r="P3042" s="2">
        <v>2.5462962962962961E-4</v>
      </c>
      <c r="Q3042" s="1" t="str">
        <f>""</f>
        <v/>
      </c>
      <c r="R3042" s="1">
        <v>0.12</v>
      </c>
      <c r="S3042" s="1" t="str">
        <f>""</f>
        <v/>
      </c>
      <c r="T3042" s="1" t="s">
        <v>183</v>
      </c>
      <c r="U3042" s="1" t="s">
        <v>30</v>
      </c>
      <c r="V3042" s="1">
        <v>0</v>
      </c>
    </row>
    <row r="3043" spans="2:22" x14ac:dyDescent="0.15">
      <c r="B3043" s="1" t="str">
        <f>"158****9122"</f>
        <v>158****9122</v>
      </c>
      <c r="C3043" s="1" t="s">
        <v>23</v>
      </c>
      <c r="D3043" s="1" t="str">
        <f t="shared" ref="D3043:D3067" si="297">"89177328"</f>
        <v>89177328</v>
      </c>
      <c r="E3043" s="1" t="s">
        <v>181</v>
      </c>
      <c r="F3043" s="1" t="str">
        <f>""</f>
        <v/>
      </c>
      <c r="G3043" s="1" t="str">
        <f>""</f>
        <v/>
      </c>
      <c r="H3043" s="1" t="str">
        <f>""</f>
        <v/>
      </c>
      <c r="I3043" s="1" t="str">
        <f>""</f>
        <v/>
      </c>
      <c r="J3043" s="1" t="str">
        <f>""</f>
        <v/>
      </c>
      <c r="K3043" s="1" t="str">
        <f>"2017-04-19 21:32:02"</f>
        <v>2017-04-19 21:32:02</v>
      </c>
      <c r="L3043" s="1" t="str">
        <f>"2017-04-19 21:32:13"</f>
        <v>2017-04-19 21:32:13</v>
      </c>
      <c r="M3043" s="2">
        <v>9.2592592592592588E-5</v>
      </c>
      <c r="N3043" s="1" t="s">
        <v>55</v>
      </c>
      <c r="O3043" s="1" t="s">
        <v>34</v>
      </c>
      <c r="P3043" s="2">
        <v>2.199074074074074E-4</v>
      </c>
      <c r="Q3043" s="1" t="s">
        <v>2216</v>
      </c>
      <c r="R3043" s="1">
        <v>0</v>
      </c>
      <c r="S3043" s="1" t="str">
        <f>""</f>
        <v/>
      </c>
      <c r="T3043" s="1" t="s">
        <v>183</v>
      </c>
      <c r="U3043" s="1" t="s">
        <v>30</v>
      </c>
      <c r="V3043" s="1">
        <v>0</v>
      </c>
    </row>
    <row r="3044" spans="2:22" x14ac:dyDescent="0.15">
      <c r="B3044" s="1" t="str">
        <f>"010****8133"</f>
        <v>010****8133</v>
      </c>
      <c r="C3044" s="1" t="s">
        <v>23</v>
      </c>
      <c r="D3044" s="1" t="str">
        <f t="shared" si="297"/>
        <v>89177328</v>
      </c>
      <c r="E3044" s="1" t="s">
        <v>24</v>
      </c>
      <c r="F3044" s="1" t="str">
        <f t="shared" ref="F3044:F3064" si="298">"0010"</f>
        <v>0010</v>
      </c>
      <c r="G3044" s="1" t="s">
        <v>24</v>
      </c>
      <c r="H3044" s="1" t="str">
        <f>"0017"</f>
        <v>0017</v>
      </c>
      <c r="I3044" s="1" t="s">
        <v>135</v>
      </c>
      <c r="J3044" s="1" t="str">
        <f>"01043989717"</f>
        <v>01043989717</v>
      </c>
      <c r="K3044" s="1" t="str">
        <f>"2017-04-19 20:51:19"</f>
        <v>2017-04-19 20:51:19</v>
      </c>
      <c r="L3044" s="1" t="str">
        <f>"2017-04-19 20:51:27"</f>
        <v>2017-04-19 20:51:27</v>
      </c>
      <c r="M3044" s="2">
        <v>7.719907407407408E-3</v>
      </c>
      <c r="N3044" s="1" t="s">
        <v>26</v>
      </c>
      <c r="O3044" s="1" t="s">
        <v>27</v>
      </c>
      <c r="P3044" s="2">
        <v>7.8125E-3</v>
      </c>
      <c r="Q3044" s="1" t="s">
        <v>2217</v>
      </c>
      <c r="R3044" s="1">
        <v>0</v>
      </c>
      <c r="S3044" s="1" t="str">
        <f>""</f>
        <v/>
      </c>
      <c r="T3044" s="1" t="s">
        <v>29</v>
      </c>
      <c r="U3044" s="1" t="s">
        <v>30</v>
      </c>
      <c r="V3044" s="1">
        <v>0</v>
      </c>
    </row>
    <row r="3045" spans="2:22" x14ac:dyDescent="0.15">
      <c r="B3045" s="1" t="str">
        <f>"185****1062"</f>
        <v>185****1062</v>
      </c>
      <c r="C3045" s="1" t="s">
        <v>550</v>
      </c>
      <c r="D3045" s="1" t="str">
        <f t="shared" si="297"/>
        <v>89177328</v>
      </c>
      <c r="E3045" s="1" t="s">
        <v>24</v>
      </c>
      <c r="F3045" s="1" t="str">
        <f t="shared" si="298"/>
        <v>0010</v>
      </c>
      <c r="G3045" s="1" t="s">
        <v>24</v>
      </c>
      <c r="H3045" s="1" t="str">
        <f>"0035"</f>
        <v>0035</v>
      </c>
      <c r="I3045" s="1" t="s">
        <v>25</v>
      </c>
      <c r="J3045" s="1" t="str">
        <f>"01043977569"</f>
        <v>01043977569</v>
      </c>
      <c r="K3045" s="1" t="str">
        <f>"2017-04-19 20:44:38"</f>
        <v>2017-04-19 20:44:38</v>
      </c>
      <c r="L3045" s="1" t="str">
        <f>"2017-04-19 20:44:47"</f>
        <v>2017-04-19 20:44:47</v>
      </c>
      <c r="M3045" s="2">
        <v>7.4074074074074068E-3</v>
      </c>
      <c r="N3045" s="1" t="s">
        <v>26</v>
      </c>
      <c r="O3045" s="1" t="s">
        <v>27</v>
      </c>
      <c r="P3045" s="2">
        <v>7.5115740740740742E-3</v>
      </c>
      <c r="Q3045" s="1" t="s">
        <v>2218</v>
      </c>
      <c r="R3045" s="1">
        <v>0</v>
      </c>
      <c r="S3045" s="1" t="str">
        <f>""</f>
        <v/>
      </c>
      <c r="T3045" s="1" t="s">
        <v>29</v>
      </c>
      <c r="U3045" s="1" t="s">
        <v>30</v>
      </c>
      <c r="V3045" s="1">
        <v>0</v>
      </c>
    </row>
    <row r="3046" spans="2:22" x14ac:dyDescent="0.15">
      <c r="B3046" s="1" t="str">
        <f>"139****0453"</f>
        <v>139****0453</v>
      </c>
      <c r="C3046" s="1" t="s">
        <v>99</v>
      </c>
      <c r="D3046" s="1" t="str">
        <f t="shared" si="297"/>
        <v>89177328</v>
      </c>
      <c r="E3046" s="1" t="s">
        <v>24</v>
      </c>
      <c r="F3046" s="1" t="str">
        <f t="shared" si="298"/>
        <v>0010</v>
      </c>
      <c r="G3046" s="1" t="s">
        <v>24</v>
      </c>
      <c r="H3046" s="1" t="str">
        <f>"0035"</f>
        <v>0035</v>
      </c>
      <c r="I3046" s="1" t="s">
        <v>25</v>
      </c>
      <c r="J3046" s="1" t="str">
        <f>"01043977569"</f>
        <v>01043977569</v>
      </c>
      <c r="K3046" s="1" t="str">
        <f>"2017-04-19 20:31:24"</f>
        <v>2017-04-19 20:31:24</v>
      </c>
      <c r="L3046" s="1" t="str">
        <f>"2017-04-19 20:31:34"</f>
        <v>2017-04-19 20:31:34</v>
      </c>
      <c r="M3046" s="2">
        <v>7.3263888888888892E-3</v>
      </c>
      <c r="N3046" s="1" t="s">
        <v>26</v>
      </c>
      <c r="O3046" s="1" t="s">
        <v>27</v>
      </c>
      <c r="P3046" s="2">
        <v>7.4421296296296293E-3</v>
      </c>
      <c r="Q3046" s="1" t="s">
        <v>2219</v>
      </c>
      <c r="R3046" s="1">
        <v>0</v>
      </c>
      <c r="S3046" s="1" t="str">
        <f>""</f>
        <v/>
      </c>
      <c r="T3046" s="1" t="s">
        <v>29</v>
      </c>
      <c r="U3046" s="1" t="s">
        <v>30</v>
      </c>
      <c r="V3046" s="1">
        <v>0</v>
      </c>
    </row>
    <row r="3047" spans="2:22" x14ac:dyDescent="0.15">
      <c r="B3047" s="1" t="str">
        <f>"185****5592"</f>
        <v>185****5592</v>
      </c>
      <c r="C3047" s="1" t="s">
        <v>23</v>
      </c>
      <c r="D3047" s="1" t="str">
        <f t="shared" si="297"/>
        <v>89177328</v>
      </c>
      <c r="E3047" s="1" t="s">
        <v>24</v>
      </c>
      <c r="F3047" s="1" t="str">
        <f t="shared" si="298"/>
        <v>0010</v>
      </c>
      <c r="G3047" s="1" t="s">
        <v>24</v>
      </c>
      <c r="H3047" s="1" t="str">
        <f>"0018"</f>
        <v>0018</v>
      </c>
      <c r="I3047" s="1" t="s">
        <v>36</v>
      </c>
      <c r="J3047" s="1" t="str">
        <f>"01043977572"</f>
        <v>01043977572</v>
      </c>
      <c r="K3047" s="1" t="str">
        <f>"2017-04-19 20:11:19"</f>
        <v>2017-04-19 20:11:19</v>
      </c>
      <c r="L3047" s="1" t="str">
        <f>"2017-04-19 20:11:30"</f>
        <v>2017-04-19 20:11:30</v>
      </c>
      <c r="M3047" s="2">
        <v>1.2280092592592592E-2</v>
      </c>
      <c r="N3047" s="1" t="s">
        <v>26</v>
      </c>
      <c r="O3047" s="1" t="s">
        <v>34</v>
      </c>
      <c r="P3047" s="2">
        <v>1.2407407407407409E-2</v>
      </c>
      <c r="Q3047" s="1" t="s">
        <v>2220</v>
      </c>
      <c r="R3047" s="1">
        <v>0</v>
      </c>
      <c r="S3047" s="1" t="str">
        <f>""</f>
        <v/>
      </c>
      <c r="T3047" s="1" t="s">
        <v>29</v>
      </c>
      <c r="U3047" s="1" t="s">
        <v>30</v>
      </c>
      <c r="V3047" s="1">
        <v>0</v>
      </c>
    </row>
    <row r="3048" spans="2:22" x14ac:dyDescent="0.15">
      <c r="B3048" s="1" t="str">
        <f>"156****8821"</f>
        <v>156****8821</v>
      </c>
      <c r="C3048" s="1" t="s">
        <v>99</v>
      </c>
      <c r="D3048" s="1" t="str">
        <f t="shared" si="297"/>
        <v>89177328</v>
      </c>
      <c r="E3048" s="1" t="s">
        <v>24</v>
      </c>
      <c r="F3048" s="1" t="str">
        <f t="shared" si="298"/>
        <v>0010</v>
      </c>
      <c r="G3048" s="1" t="s">
        <v>24</v>
      </c>
      <c r="H3048" s="1" t="str">
        <f>"0017"</f>
        <v>0017</v>
      </c>
      <c r="I3048" s="1" t="s">
        <v>135</v>
      </c>
      <c r="J3048" s="1" t="str">
        <f>"01043989717"</f>
        <v>01043989717</v>
      </c>
      <c r="K3048" s="1" t="str">
        <f>"2017-04-19 19:44:40"</f>
        <v>2017-04-19 19:44:40</v>
      </c>
      <c r="L3048" s="1" t="str">
        <f>"2017-04-19 19:44:49"</f>
        <v>2017-04-19 19:44:49</v>
      </c>
      <c r="M3048" s="2">
        <v>9.2824074074074076E-3</v>
      </c>
      <c r="N3048" s="1" t="s">
        <v>26</v>
      </c>
      <c r="O3048" s="1" t="s">
        <v>27</v>
      </c>
      <c r="P3048" s="2">
        <v>9.386574074074075E-3</v>
      </c>
      <c r="Q3048" s="1" t="s">
        <v>2221</v>
      </c>
      <c r="R3048" s="1">
        <v>0</v>
      </c>
      <c r="S3048" s="1" t="str">
        <f>""</f>
        <v/>
      </c>
      <c r="T3048" s="1" t="s">
        <v>29</v>
      </c>
      <c r="U3048" s="1" t="s">
        <v>30</v>
      </c>
      <c r="V3048" s="1">
        <v>0</v>
      </c>
    </row>
    <row r="3049" spans="2:22" x14ac:dyDescent="0.15">
      <c r="B3049" s="1" t="str">
        <f>"139****7734"</f>
        <v>139****7734</v>
      </c>
      <c r="C3049" s="1" t="s">
        <v>23</v>
      </c>
      <c r="D3049" s="1" t="str">
        <f t="shared" si="297"/>
        <v>89177328</v>
      </c>
      <c r="E3049" s="1" t="s">
        <v>24</v>
      </c>
      <c r="F3049" s="1" t="str">
        <f t="shared" si="298"/>
        <v>0010</v>
      </c>
      <c r="G3049" s="1" t="s">
        <v>24</v>
      </c>
      <c r="H3049" s="1" t="str">
        <f>"0017"</f>
        <v>0017</v>
      </c>
      <c r="I3049" s="1" t="s">
        <v>135</v>
      </c>
      <c r="J3049" s="1" t="str">
        <f>"01043989717"</f>
        <v>01043989717</v>
      </c>
      <c r="K3049" s="1" t="str">
        <f>"2017-04-19 19:14:40"</f>
        <v>2017-04-19 19:14:40</v>
      </c>
      <c r="L3049" s="1" t="str">
        <f>"2017-04-19 19:14:49"</f>
        <v>2017-04-19 19:14:49</v>
      </c>
      <c r="M3049" s="2">
        <v>1.9212962962962963E-2</v>
      </c>
      <c r="N3049" s="1" t="s">
        <v>26</v>
      </c>
      <c r="O3049" s="1" t="s">
        <v>27</v>
      </c>
      <c r="P3049" s="2">
        <v>1.9317129629629629E-2</v>
      </c>
      <c r="Q3049" s="1" t="s">
        <v>2222</v>
      </c>
      <c r="R3049" s="1">
        <v>0</v>
      </c>
      <c r="S3049" s="1" t="str">
        <f>""</f>
        <v/>
      </c>
      <c r="T3049" s="1" t="s">
        <v>29</v>
      </c>
      <c r="U3049" s="1" t="s">
        <v>30</v>
      </c>
      <c r="V3049" s="1">
        <v>0</v>
      </c>
    </row>
    <row r="3050" spans="2:22" x14ac:dyDescent="0.15">
      <c r="B3050" s="1" t="str">
        <f>"185****5506"</f>
        <v>185****5506</v>
      </c>
      <c r="C3050" s="1" t="s">
        <v>23</v>
      </c>
      <c r="D3050" s="1" t="str">
        <f t="shared" si="297"/>
        <v>89177328</v>
      </c>
      <c r="E3050" s="1" t="s">
        <v>24</v>
      </c>
      <c r="F3050" s="1" t="str">
        <f t="shared" si="298"/>
        <v>0010</v>
      </c>
      <c r="G3050" s="1" t="s">
        <v>24</v>
      </c>
      <c r="H3050" s="1" t="str">
        <f>"0035"</f>
        <v>0035</v>
      </c>
      <c r="I3050" s="1" t="s">
        <v>25</v>
      </c>
      <c r="J3050" s="1" t="str">
        <f>"01043977569"</f>
        <v>01043977569</v>
      </c>
      <c r="K3050" s="1" t="str">
        <f>"2017-04-19 19:02:19"</f>
        <v>2017-04-19 19:02:19</v>
      </c>
      <c r="L3050" s="1" t="str">
        <f>"2017-04-19 19:02:29"</f>
        <v>2017-04-19 19:02:29</v>
      </c>
      <c r="M3050" s="2">
        <v>7.8703703703703713E-3</v>
      </c>
      <c r="N3050" s="1" t="s">
        <v>26</v>
      </c>
      <c r="O3050" s="1" t="s">
        <v>27</v>
      </c>
      <c r="P3050" s="2">
        <v>7.9861111111111122E-3</v>
      </c>
      <c r="Q3050" s="1" t="s">
        <v>2223</v>
      </c>
      <c r="R3050" s="1">
        <v>0</v>
      </c>
      <c r="S3050" s="1" t="str">
        <f>""</f>
        <v/>
      </c>
      <c r="T3050" s="1" t="s">
        <v>29</v>
      </c>
      <c r="U3050" s="1" t="s">
        <v>30</v>
      </c>
      <c r="V3050" s="1">
        <v>0</v>
      </c>
    </row>
    <row r="3051" spans="2:22" x14ac:dyDescent="0.15">
      <c r="B3051" s="1" t="str">
        <f>"010****9208"</f>
        <v>010****9208</v>
      </c>
      <c r="C3051" s="1" t="s">
        <v>23</v>
      </c>
      <c r="D3051" s="1" t="str">
        <f t="shared" si="297"/>
        <v>89177328</v>
      </c>
      <c r="E3051" s="1" t="s">
        <v>24</v>
      </c>
      <c r="F3051" s="1" t="str">
        <f t="shared" si="298"/>
        <v>0010</v>
      </c>
      <c r="G3051" s="1" t="s">
        <v>24</v>
      </c>
      <c r="H3051" s="1" t="str">
        <f>"0033"</f>
        <v>0033</v>
      </c>
      <c r="I3051" s="1" t="s">
        <v>106</v>
      </c>
      <c r="J3051" s="1" t="str">
        <f>"01043977567"</f>
        <v>01043977567</v>
      </c>
      <c r="K3051" s="1" t="str">
        <f>"2017-04-19 18:07:03"</f>
        <v>2017-04-19 18:07:03</v>
      </c>
      <c r="L3051" s="1" t="str">
        <f>"2017-04-19 18:07:13"</f>
        <v>2017-04-19 18:07:13</v>
      </c>
      <c r="M3051" s="2">
        <v>1.1412037037037038E-2</v>
      </c>
      <c r="N3051" s="1" t="s">
        <v>26</v>
      </c>
      <c r="O3051" s="1" t="s">
        <v>27</v>
      </c>
      <c r="P3051" s="2">
        <v>1.1527777777777777E-2</v>
      </c>
      <c r="Q3051" s="1" t="s">
        <v>2224</v>
      </c>
      <c r="R3051" s="1">
        <v>0</v>
      </c>
      <c r="S3051" s="1" t="str">
        <f>""</f>
        <v/>
      </c>
      <c r="T3051" s="1" t="s">
        <v>29</v>
      </c>
      <c r="U3051" s="1" t="s">
        <v>30</v>
      </c>
      <c r="V3051" s="1">
        <v>0</v>
      </c>
    </row>
    <row r="3052" spans="2:22" x14ac:dyDescent="0.15">
      <c r="B3052" s="1" t="str">
        <f>"133****5326"</f>
        <v>133****5326</v>
      </c>
      <c r="C3052" s="1" t="s">
        <v>23</v>
      </c>
      <c r="D3052" s="1" t="str">
        <f t="shared" si="297"/>
        <v>89177328</v>
      </c>
      <c r="E3052" s="1" t="s">
        <v>24</v>
      </c>
      <c r="F3052" s="1" t="str">
        <f t="shared" si="298"/>
        <v>0010</v>
      </c>
      <c r="G3052" s="1" t="s">
        <v>24</v>
      </c>
      <c r="H3052" s="1" t="str">
        <f>"0035"</f>
        <v>0035</v>
      </c>
      <c r="I3052" s="1" t="s">
        <v>25</v>
      </c>
      <c r="J3052" s="1" t="str">
        <f>"01043977569"</f>
        <v>01043977569</v>
      </c>
      <c r="K3052" s="1" t="str">
        <f>"2017-04-19 17:52:40"</f>
        <v>2017-04-19 17:52:40</v>
      </c>
      <c r="L3052" s="1" t="str">
        <f>"2017-04-19 17:52:49"</f>
        <v>2017-04-19 17:52:49</v>
      </c>
      <c r="M3052" s="2">
        <v>5.6828703703703702E-3</v>
      </c>
      <c r="N3052" s="1" t="s">
        <v>26</v>
      </c>
      <c r="O3052" s="1" t="s">
        <v>27</v>
      </c>
      <c r="P3052" s="2">
        <v>5.7870370370370376E-3</v>
      </c>
      <c r="Q3052" s="1" t="s">
        <v>2225</v>
      </c>
      <c r="R3052" s="1">
        <v>0</v>
      </c>
      <c r="S3052" s="1" t="str">
        <f>""</f>
        <v/>
      </c>
      <c r="T3052" s="1" t="s">
        <v>29</v>
      </c>
      <c r="U3052" s="1" t="s">
        <v>30</v>
      </c>
      <c r="V3052" s="1">
        <v>0</v>
      </c>
    </row>
    <row r="3053" spans="2:22" x14ac:dyDescent="0.15">
      <c r="B3053" s="1" t="str">
        <f>"130****6642"</f>
        <v>130****6642</v>
      </c>
      <c r="C3053" s="1" t="s">
        <v>23</v>
      </c>
      <c r="D3053" s="1" t="str">
        <f t="shared" si="297"/>
        <v>89177328</v>
      </c>
      <c r="E3053" s="1" t="s">
        <v>24</v>
      </c>
      <c r="F3053" s="1" t="str">
        <f t="shared" si="298"/>
        <v>0010</v>
      </c>
      <c r="G3053" s="1" t="s">
        <v>24</v>
      </c>
      <c r="H3053" s="1" t="str">
        <f>"0017"</f>
        <v>0017</v>
      </c>
      <c r="I3053" s="1" t="s">
        <v>135</v>
      </c>
      <c r="J3053" s="1" t="str">
        <f>"01043989717"</f>
        <v>01043989717</v>
      </c>
      <c r="K3053" s="1" t="str">
        <f>"2017-04-19 17:50:05"</f>
        <v>2017-04-19 17:50:05</v>
      </c>
      <c r="L3053" s="1" t="str">
        <f>"2017-04-19 17:50:14"</f>
        <v>2017-04-19 17:50:14</v>
      </c>
      <c r="M3053" s="2">
        <v>2.2453703703703702E-3</v>
      </c>
      <c r="N3053" s="1" t="s">
        <v>26</v>
      </c>
      <c r="O3053" s="1" t="s">
        <v>27</v>
      </c>
      <c r="P3053" s="2">
        <v>2.3495370370370371E-3</v>
      </c>
      <c r="Q3053" s="1" t="s">
        <v>2226</v>
      </c>
      <c r="R3053" s="1">
        <v>0</v>
      </c>
      <c r="S3053" s="1" t="str">
        <f>""</f>
        <v/>
      </c>
      <c r="T3053" s="1" t="s">
        <v>29</v>
      </c>
      <c r="U3053" s="1" t="s">
        <v>30</v>
      </c>
      <c r="V3053" s="1">
        <v>0</v>
      </c>
    </row>
    <row r="3054" spans="2:22" x14ac:dyDescent="0.15">
      <c r="B3054" s="1" t="str">
        <f>"137****4420"</f>
        <v>137****4420</v>
      </c>
      <c r="C3054" s="1" t="s">
        <v>23</v>
      </c>
      <c r="D3054" s="1" t="str">
        <f t="shared" si="297"/>
        <v>89177328</v>
      </c>
      <c r="E3054" s="1" t="s">
        <v>24</v>
      </c>
      <c r="F3054" s="1" t="str">
        <f t="shared" si="298"/>
        <v>0010</v>
      </c>
      <c r="G3054" s="1" t="s">
        <v>24</v>
      </c>
      <c r="H3054" s="1" t="str">
        <f>"0018"</f>
        <v>0018</v>
      </c>
      <c r="I3054" s="1" t="s">
        <v>36</v>
      </c>
      <c r="J3054" s="1" t="str">
        <f>"01043977572"</f>
        <v>01043977572</v>
      </c>
      <c r="K3054" s="1" t="str">
        <f>"2017-04-19 17:44:23"</f>
        <v>2017-04-19 17:44:23</v>
      </c>
      <c r="L3054" s="1" t="str">
        <f>"2017-04-19 17:44:34"</f>
        <v>2017-04-19 17:44:34</v>
      </c>
      <c r="M3054" s="2">
        <v>6.4236111111111117E-3</v>
      </c>
      <c r="N3054" s="1" t="s">
        <v>26</v>
      </c>
      <c r="O3054" s="1" t="s">
        <v>34</v>
      </c>
      <c r="P3054" s="2">
        <v>6.5509259259259262E-3</v>
      </c>
      <c r="Q3054" s="1" t="s">
        <v>2227</v>
      </c>
      <c r="R3054" s="1">
        <v>0</v>
      </c>
      <c r="S3054" s="1" t="str">
        <f>""</f>
        <v/>
      </c>
      <c r="T3054" s="1" t="s">
        <v>29</v>
      </c>
      <c r="U3054" s="1" t="s">
        <v>30</v>
      </c>
      <c r="V3054" s="1">
        <v>0</v>
      </c>
    </row>
    <row r="3055" spans="2:22" x14ac:dyDescent="0.15">
      <c r="B3055" s="1" t="str">
        <f>"137****4562"</f>
        <v>137****4562</v>
      </c>
      <c r="C3055" s="1" t="s">
        <v>23</v>
      </c>
      <c r="D3055" s="1" t="str">
        <f t="shared" si="297"/>
        <v>89177328</v>
      </c>
      <c r="E3055" s="1" t="s">
        <v>24</v>
      </c>
      <c r="F3055" s="1" t="str">
        <f t="shared" si="298"/>
        <v>0010</v>
      </c>
      <c r="G3055" s="1" t="s">
        <v>24</v>
      </c>
      <c r="H3055" s="1" t="str">
        <f>"0035"</f>
        <v>0035</v>
      </c>
      <c r="I3055" s="1" t="s">
        <v>25</v>
      </c>
      <c r="J3055" s="1" t="str">
        <f>"01043977569"</f>
        <v>01043977569</v>
      </c>
      <c r="K3055" s="1" t="str">
        <f>"2017-04-19 17:03:05"</f>
        <v>2017-04-19 17:03:05</v>
      </c>
      <c r="L3055" s="1" t="str">
        <f>"2017-04-19 17:03:14"</f>
        <v>2017-04-19 17:03:14</v>
      </c>
      <c r="M3055" s="2">
        <v>7.5000000000000006E-3</v>
      </c>
      <c r="N3055" s="1" t="s">
        <v>26</v>
      </c>
      <c r="O3055" s="1" t="s">
        <v>27</v>
      </c>
      <c r="P3055" s="2">
        <v>7.6041666666666662E-3</v>
      </c>
      <c r="Q3055" s="1" t="s">
        <v>2228</v>
      </c>
      <c r="R3055" s="1">
        <v>0</v>
      </c>
      <c r="S3055" s="1" t="str">
        <f>""</f>
        <v/>
      </c>
      <c r="T3055" s="1" t="s">
        <v>29</v>
      </c>
      <c r="U3055" s="1" t="s">
        <v>30</v>
      </c>
      <c r="V3055" s="1">
        <v>0</v>
      </c>
    </row>
    <row r="3056" spans="2:22" x14ac:dyDescent="0.15">
      <c r="B3056" s="1" t="str">
        <f>"0898****1883"</f>
        <v>0898****1883</v>
      </c>
      <c r="C3056" s="1" t="s">
        <v>2229</v>
      </c>
      <c r="D3056" s="1" t="str">
        <f t="shared" si="297"/>
        <v>89177328</v>
      </c>
      <c r="E3056" s="1" t="s">
        <v>24</v>
      </c>
      <c r="F3056" s="1" t="str">
        <f t="shared" si="298"/>
        <v>0010</v>
      </c>
      <c r="G3056" s="1" t="s">
        <v>24</v>
      </c>
      <c r="H3056" s="1" t="str">
        <f>"0033"</f>
        <v>0033</v>
      </c>
      <c r="I3056" s="1" t="s">
        <v>106</v>
      </c>
      <c r="J3056" s="1" t="str">
        <f>"01043977567"</f>
        <v>01043977567</v>
      </c>
      <c r="K3056" s="1" t="str">
        <f>"2017-04-19 17:00:13"</f>
        <v>2017-04-19 17:00:13</v>
      </c>
      <c r="L3056" s="1" t="str">
        <f>"2017-04-19 17:00:25"</f>
        <v>2017-04-19 17:00:25</v>
      </c>
      <c r="M3056" s="2">
        <v>2.3391203703703702E-2</v>
      </c>
      <c r="N3056" s="1" t="s">
        <v>26</v>
      </c>
      <c r="O3056" s="1" t="s">
        <v>27</v>
      </c>
      <c r="P3056" s="2">
        <v>2.3530092592592592E-2</v>
      </c>
      <c r="Q3056" s="1" t="s">
        <v>2230</v>
      </c>
      <c r="R3056" s="1">
        <v>0</v>
      </c>
      <c r="S3056" s="1" t="str">
        <f>""</f>
        <v/>
      </c>
      <c r="T3056" s="1" t="s">
        <v>29</v>
      </c>
      <c r="U3056" s="1" t="s">
        <v>30</v>
      </c>
      <c r="V3056" s="1">
        <v>0</v>
      </c>
    </row>
    <row r="3057" spans="2:22" x14ac:dyDescent="0.15">
      <c r="B3057" s="1" t="str">
        <f>"010****7724"</f>
        <v>010****7724</v>
      </c>
      <c r="C3057" s="1" t="s">
        <v>23</v>
      </c>
      <c r="D3057" s="1" t="str">
        <f t="shared" si="297"/>
        <v>89177328</v>
      </c>
      <c r="E3057" s="1" t="s">
        <v>24</v>
      </c>
      <c r="F3057" s="1" t="str">
        <f t="shared" si="298"/>
        <v>0010</v>
      </c>
      <c r="G3057" s="1" t="s">
        <v>24</v>
      </c>
      <c r="H3057" s="1" t="str">
        <f>"0033"</f>
        <v>0033</v>
      </c>
      <c r="I3057" s="1" t="s">
        <v>106</v>
      </c>
      <c r="J3057" s="1" t="str">
        <f>"01043977567"</f>
        <v>01043977567</v>
      </c>
      <c r="K3057" s="1" t="str">
        <f>"2017-04-19 16:24:38"</f>
        <v>2017-04-19 16:24:38</v>
      </c>
      <c r="L3057" s="1" t="str">
        <f>"2017-04-19 16:24:48"</f>
        <v>2017-04-19 16:24:48</v>
      </c>
      <c r="M3057" s="2">
        <v>4.4791666666666669E-3</v>
      </c>
      <c r="N3057" s="1" t="s">
        <v>26</v>
      </c>
      <c r="O3057" s="1" t="s">
        <v>27</v>
      </c>
      <c r="P3057" s="2">
        <v>4.5949074074074078E-3</v>
      </c>
      <c r="Q3057" s="1" t="s">
        <v>2231</v>
      </c>
      <c r="R3057" s="1">
        <v>0</v>
      </c>
      <c r="S3057" s="1" t="str">
        <f>""</f>
        <v/>
      </c>
      <c r="T3057" s="1" t="s">
        <v>29</v>
      </c>
      <c r="U3057" s="1" t="s">
        <v>30</v>
      </c>
      <c r="V3057" s="1">
        <v>0</v>
      </c>
    </row>
    <row r="3058" spans="2:22" x14ac:dyDescent="0.15">
      <c r="B3058" s="1" t="str">
        <f>"116114"</f>
        <v>116114</v>
      </c>
      <c r="C3058" s="1" t="s">
        <v>159</v>
      </c>
      <c r="D3058" s="1" t="str">
        <f t="shared" si="297"/>
        <v>89177328</v>
      </c>
      <c r="E3058" s="1" t="s">
        <v>24</v>
      </c>
      <c r="F3058" s="1" t="str">
        <f t="shared" si="298"/>
        <v>0010</v>
      </c>
      <c r="G3058" s="1" t="s">
        <v>24</v>
      </c>
      <c r="H3058" s="1" t="str">
        <f>"0035"</f>
        <v>0035</v>
      </c>
      <c r="I3058" s="1" t="s">
        <v>25</v>
      </c>
      <c r="J3058" s="1" t="str">
        <f>"01043977569"</f>
        <v>01043977569</v>
      </c>
      <c r="K3058" s="1" t="str">
        <f>"2017-04-19 16:16:48"</f>
        <v>2017-04-19 16:16:48</v>
      </c>
      <c r="L3058" s="1" t="str">
        <f>"-"</f>
        <v>-</v>
      </c>
      <c r="M3058" s="2">
        <v>0</v>
      </c>
      <c r="N3058" s="1" t="s">
        <v>33</v>
      </c>
      <c r="O3058" s="1" t="s">
        <v>34</v>
      </c>
      <c r="P3058" s="2">
        <v>8.1018518518518516E-5</v>
      </c>
      <c r="Q3058" s="1" t="str">
        <f>""</f>
        <v/>
      </c>
      <c r="R3058" s="1">
        <v>0</v>
      </c>
      <c r="S3058" s="1" t="str">
        <f>""</f>
        <v/>
      </c>
      <c r="T3058" s="1" t="s">
        <v>29</v>
      </c>
      <c r="U3058" s="1" t="s">
        <v>30</v>
      </c>
      <c r="V3058" s="1">
        <v>0</v>
      </c>
    </row>
    <row r="3059" spans="2:22" x14ac:dyDescent="0.15">
      <c r="B3059" s="1" t="str">
        <f>"188****7216"</f>
        <v>188****7216</v>
      </c>
      <c r="C3059" s="1" t="s">
        <v>23</v>
      </c>
      <c r="D3059" s="1" t="str">
        <f t="shared" si="297"/>
        <v>89177328</v>
      </c>
      <c r="E3059" s="1" t="s">
        <v>24</v>
      </c>
      <c r="F3059" s="1" t="str">
        <f t="shared" si="298"/>
        <v>0010</v>
      </c>
      <c r="G3059" s="1" t="s">
        <v>24</v>
      </c>
      <c r="H3059" s="1" t="str">
        <f>"0018"</f>
        <v>0018</v>
      </c>
      <c r="I3059" s="1" t="s">
        <v>36</v>
      </c>
      <c r="J3059" s="1" t="str">
        <f>"01043977572"</f>
        <v>01043977572</v>
      </c>
      <c r="K3059" s="1" t="str">
        <f>"2017-04-19 16:11:05"</f>
        <v>2017-04-19 16:11:05</v>
      </c>
      <c r="L3059" s="1" t="str">
        <f>"2017-04-19 16:11:12"</f>
        <v>2017-04-19 16:11:12</v>
      </c>
      <c r="M3059" s="2">
        <v>2.0057870370370368E-2</v>
      </c>
      <c r="N3059" s="1" t="s">
        <v>26</v>
      </c>
      <c r="O3059" s="1" t="s">
        <v>34</v>
      </c>
      <c r="P3059" s="2">
        <v>2.013888888888889E-2</v>
      </c>
      <c r="Q3059" s="1" t="s">
        <v>2232</v>
      </c>
      <c r="R3059" s="1">
        <v>0</v>
      </c>
      <c r="S3059" s="1" t="str">
        <f>""</f>
        <v/>
      </c>
      <c r="T3059" s="1" t="s">
        <v>29</v>
      </c>
      <c r="U3059" s="1" t="s">
        <v>30</v>
      </c>
      <c r="V3059" s="1">
        <v>0</v>
      </c>
    </row>
    <row r="3060" spans="2:22" x14ac:dyDescent="0.15">
      <c r="B3060" s="1" t="str">
        <f>"188****7867"</f>
        <v>188****7867</v>
      </c>
      <c r="C3060" s="1" t="s">
        <v>23</v>
      </c>
      <c r="D3060" s="1" t="str">
        <f t="shared" si="297"/>
        <v>89177328</v>
      </c>
      <c r="E3060" s="1" t="s">
        <v>24</v>
      </c>
      <c r="F3060" s="1" t="str">
        <f t="shared" si="298"/>
        <v>0010</v>
      </c>
      <c r="G3060" s="1" t="s">
        <v>24</v>
      </c>
      <c r="H3060" s="1" t="str">
        <f>"0035"</f>
        <v>0035</v>
      </c>
      <c r="I3060" s="1" t="s">
        <v>25</v>
      </c>
      <c r="J3060" s="1" t="str">
        <f>"01043977569"</f>
        <v>01043977569</v>
      </c>
      <c r="K3060" s="1" t="str">
        <f>"2017-04-19 16:09:54"</f>
        <v>2017-04-19 16:09:54</v>
      </c>
      <c r="L3060" s="1" t="str">
        <f>"-"</f>
        <v>-</v>
      </c>
      <c r="M3060" s="2">
        <v>0</v>
      </c>
      <c r="N3060" s="1" t="s">
        <v>33</v>
      </c>
      <c r="O3060" s="1" t="s">
        <v>34</v>
      </c>
      <c r="P3060" s="2">
        <v>6.9444444444444444E-5</v>
      </c>
      <c r="Q3060" s="1" t="str">
        <f>""</f>
        <v/>
      </c>
      <c r="R3060" s="1">
        <v>0</v>
      </c>
      <c r="S3060" s="1" t="str">
        <f>""</f>
        <v/>
      </c>
      <c r="T3060" s="1" t="s">
        <v>29</v>
      </c>
      <c r="U3060" s="1" t="s">
        <v>30</v>
      </c>
      <c r="V3060" s="1">
        <v>0</v>
      </c>
    </row>
    <row r="3061" spans="2:22" x14ac:dyDescent="0.15">
      <c r="B3061" s="1" t="str">
        <f>"136****5011"</f>
        <v>136****5011</v>
      </c>
      <c r="C3061" s="1" t="s">
        <v>23</v>
      </c>
      <c r="D3061" s="1" t="str">
        <f t="shared" si="297"/>
        <v>89177328</v>
      </c>
      <c r="E3061" s="1" t="s">
        <v>24</v>
      </c>
      <c r="F3061" s="1" t="str">
        <f t="shared" si="298"/>
        <v>0010</v>
      </c>
      <c r="G3061" s="1" t="s">
        <v>24</v>
      </c>
      <c r="H3061" s="1" t="str">
        <f>"0033"</f>
        <v>0033</v>
      </c>
      <c r="I3061" s="1" t="s">
        <v>106</v>
      </c>
      <c r="J3061" s="1" t="str">
        <f>"01043977567"</f>
        <v>01043977567</v>
      </c>
      <c r="K3061" s="1" t="str">
        <f>"2017-04-19 15:58:32"</f>
        <v>2017-04-19 15:58:32</v>
      </c>
      <c r="L3061" s="1" t="str">
        <f>"2017-04-19 15:58:43"</f>
        <v>2017-04-19 15:58:43</v>
      </c>
      <c r="M3061" s="2">
        <v>7.6041666666666662E-3</v>
      </c>
      <c r="N3061" s="1" t="s">
        <v>26</v>
      </c>
      <c r="O3061" s="1" t="s">
        <v>27</v>
      </c>
      <c r="P3061" s="2">
        <v>7.7314814814814815E-3</v>
      </c>
      <c r="Q3061" s="1" t="s">
        <v>2233</v>
      </c>
      <c r="R3061" s="1">
        <v>0</v>
      </c>
      <c r="S3061" s="1" t="str">
        <f>""</f>
        <v/>
      </c>
      <c r="T3061" s="1" t="s">
        <v>29</v>
      </c>
      <c r="U3061" s="1" t="s">
        <v>30</v>
      </c>
      <c r="V3061" s="1">
        <v>0</v>
      </c>
    </row>
    <row r="3062" spans="2:22" x14ac:dyDescent="0.15">
      <c r="B3062" s="1" t="str">
        <f>"177****0206"</f>
        <v>177****0206</v>
      </c>
      <c r="C3062" s="1" t="s">
        <v>23</v>
      </c>
      <c r="D3062" s="1" t="str">
        <f t="shared" si="297"/>
        <v>89177328</v>
      </c>
      <c r="E3062" s="1" t="s">
        <v>24</v>
      </c>
      <c r="F3062" s="1" t="str">
        <f t="shared" si="298"/>
        <v>0010</v>
      </c>
      <c r="G3062" s="1" t="s">
        <v>24</v>
      </c>
      <c r="H3062" s="1" t="str">
        <f>""</f>
        <v/>
      </c>
      <c r="I3062" s="1" t="str">
        <f>""</f>
        <v/>
      </c>
      <c r="J3062" s="1" t="str">
        <f>""</f>
        <v/>
      </c>
      <c r="K3062" s="1" t="str">
        <f>"2017-04-19 15:57:06"</f>
        <v>2017-04-19 15:57:06</v>
      </c>
      <c r="L3062" s="1" t="str">
        <f>"-"</f>
        <v>-</v>
      </c>
      <c r="M3062" s="2">
        <v>0</v>
      </c>
      <c r="N3062" s="1" t="s">
        <v>55</v>
      </c>
      <c r="O3062" s="1" t="s">
        <v>27</v>
      </c>
      <c r="P3062" s="2">
        <v>5.7870370370370366E-5</v>
      </c>
      <c r="Q3062" s="1" t="str">
        <f>""</f>
        <v/>
      </c>
      <c r="R3062" s="1">
        <v>0</v>
      </c>
      <c r="S3062" s="1" t="str">
        <f>""</f>
        <v/>
      </c>
      <c r="T3062" s="1" t="s">
        <v>29</v>
      </c>
      <c r="U3062" s="1" t="s">
        <v>30</v>
      </c>
      <c r="V3062" s="1">
        <v>0</v>
      </c>
    </row>
    <row r="3063" spans="2:22" x14ac:dyDescent="0.15">
      <c r="B3063" s="1" t="str">
        <f>"010****7732"</f>
        <v>010****7732</v>
      </c>
      <c r="C3063" s="1" t="s">
        <v>23</v>
      </c>
      <c r="D3063" s="1" t="str">
        <f t="shared" si="297"/>
        <v>89177328</v>
      </c>
      <c r="E3063" s="1" t="s">
        <v>24</v>
      </c>
      <c r="F3063" s="1" t="str">
        <f t="shared" si="298"/>
        <v>0010</v>
      </c>
      <c r="G3063" s="1" t="s">
        <v>24</v>
      </c>
      <c r="H3063" s="1" t="str">
        <f>"0034"</f>
        <v>0034</v>
      </c>
      <c r="I3063" s="1" t="s">
        <v>31</v>
      </c>
      <c r="J3063" s="1" t="str">
        <f>"01043977568"</f>
        <v>01043977568</v>
      </c>
      <c r="K3063" s="1" t="str">
        <f>"2017-04-19 15:56:58"</f>
        <v>2017-04-19 15:56:58</v>
      </c>
      <c r="L3063" s="1" t="str">
        <f>"2017-04-19 15:57:10"</f>
        <v>2017-04-19 15:57:10</v>
      </c>
      <c r="M3063" s="2">
        <v>7.5462962962962966E-3</v>
      </c>
      <c r="N3063" s="1" t="s">
        <v>26</v>
      </c>
      <c r="O3063" s="1" t="s">
        <v>27</v>
      </c>
      <c r="P3063" s="2">
        <v>7.6851851851851847E-3</v>
      </c>
      <c r="Q3063" s="1" t="s">
        <v>2234</v>
      </c>
      <c r="R3063" s="1">
        <v>0</v>
      </c>
      <c r="S3063" s="1" t="str">
        <f>""</f>
        <v/>
      </c>
      <c r="T3063" s="1" t="s">
        <v>29</v>
      </c>
      <c r="U3063" s="1" t="s">
        <v>30</v>
      </c>
      <c r="V3063" s="1">
        <v>0</v>
      </c>
    </row>
    <row r="3064" spans="2:22" x14ac:dyDescent="0.15">
      <c r="B3064" s="1" t="str">
        <f>"133****9597"</f>
        <v>133****9597</v>
      </c>
      <c r="C3064" s="1" t="s">
        <v>23</v>
      </c>
      <c r="D3064" s="1" t="str">
        <f t="shared" si="297"/>
        <v>89177328</v>
      </c>
      <c r="E3064" s="1" t="s">
        <v>24</v>
      </c>
      <c r="F3064" s="1" t="str">
        <f t="shared" si="298"/>
        <v>0010</v>
      </c>
      <c r="G3064" s="1" t="s">
        <v>24</v>
      </c>
      <c r="H3064" s="1" t="str">
        <f>"0034"</f>
        <v>0034</v>
      </c>
      <c r="I3064" s="1" t="s">
        <v>31</v>
      </c>
      <c r="J3064" s="1" t="str">
        <f>"01043977568"</f>
        <v>01043977568</v>
      </c>
      <c r="K3064" s="1" t="str">
        <f>"2017-04-19 15:56:49"</f>
        <v>2017-04-19 15:56:49</v>
      </c>
      <c r="L3064" s="1" t="str">
        <f>"-"</f>
        <v>-</v>
      </c>
      <c r="M3064" s="2">
        <v>0</v>
      </c>
      <c r="N3064" s="1" t="s">
        <v>33</v>
      </c>
      <c r="O3064" s="1" t="s">
        <v>34</v>
      </c>
      <c r="P3064" s="2">
        <v>3.4722222222222222E-5</v>
      </c>
      <c r="Q3064" s="1" t="str">
        <f>""</f>
        <v/>
      </c>
      <c r="R3064" s="1">
        <v>0</v>
      </c>
      <c r="S3064" s="1" t="str">
        <f>""</f>
        <v/>
      </c>
      <c r="T3064" s="1" t="s">
        <v>29</v>
      </c>
      <c r="U3064" s="1" t="s">
        <v>30</v>
      </c>
      <c r="V3064" s="1">
        <v>0</v>
      </c>
    </row>
    <row r="3065" spans="2:22" x14ac:dyDescent="0.15">
      <c r="B3065" s="1" t="str">
        <f>"133****9597"</f>
        <v>133****9597</v>
      </c>
      <c r="C3065" s="1" t="s">
        <v>23</v>
      </c>
      <c r="D3065" s="1" t="str">
        <f t="shared" si="297"/>
        <v>89177328</v>
      </c>
      <c r="E3065" s="1" t="str">
        <f>""</f>
        <v/>
      </c>
      <c r="F3065" s="1" t="str">
        <f>""</f>
        <v/>
      </c>
      <c r="G3065" s="1" t="str">
        <f>""</f>
        <v/>
      </c>
      <c r="H3065" s="1" t="str">
        <f>""</f>
        <v/>
      </c>
      <c r="I3065" s="1" t="str">
        <f>""</f>
        <v/>
      </c>
      <c r="J3065" s="1" t="str">
        <f>""</f>
        <v/>
      </c>
      <c r="K3065" s="1" t="str">
        <f>"2017-04-19 15:54:05"</f>
        <v>2017-04-19 15:54:05</v>
      </c>
      <c r="L3065" s="1" t="str">
        <f>"-"</f>
        <v>-</v>
      </c>
      <c r="M3065" s="2">
        <v>0</v>
      </c>
      <c r="N3065" s="1" t="s">
        <v>393</v>
      </c>
      <c r="O3065" s="1" t="s">
        <v>34</v>
      </c>
      <c r="P3065" s="2">
        <v>1.1574074074074073E-5</v>
      </c>
      <c r="Q3065" s="1" t="str">
        <f>""</f>
        <v/>
      </c>
      <c r="R3065" s="1">
        <v>0</v>
      </c>
      <c r="S3065" s="1" t="str">
        <f>""</f>
        <v/>
      </c>
      <c r="T3065" s="1" t="s">
        <v>29</v>
      </c>
      <c r="U3065" s="1" t="s">
        <v>30</v>
      </c>
      <c r="V3065" s="1">
        <v>0</v>
      </c>
    </row>
    <row r="3066" spans="2:22" x14ac:dyDescent="0.15">
      <c r="B3066" s="1" t="str">
        <f>"183****4280"</f>
        <v>183****4280</v>
      </c>
      <c r="C3066" s="1" t="s">
        <v>23</v>
      </c>
      <c r="D3066" s="1" t="str">
        <f t="shared" si="297"/>
        <v>89177328</v>
      </c>
      <c r="E3066" s="1" t="s">
        <v>24</v>
      </c>
      <c r="F3066" s="1" t="str">
        <f>"0010"</f>
        <v>0010</v>
      </c>
      <c r="G3066" s="1" t="s">
        <v>24</v>
      </c>
      <c r="H3066" s="1" t="str">
        <f>"0034"</f>
        <v>0034</v>
      </c>
      <c r="I3066" s="1" t="s">
        <v>31</v>
      </c>
      <c r="J3066" s="1" t="str">
        <f>"01043977568"</f>
        <v>01043977568</v>
      </c>
      <c r="K3066" s="1" t="str">
        <f>"2017-04-19 15:54:04"</f>
        <v>2017-04-19 15:54:04</v>
      </c>
      <c r="L3066" s="1" t="str">
        <f>"-"</f>
        <v>-</v>
      </c>
      <c r="M3066" s="2">
        <v>0</v>
      </c>
      <c r="N3066" s="1" t="s">
        <v>33</v>
      </c>
      <c r="O3066" s="1" t="s">
        <v>34</v>
      </c>
      <c r="P3066" s="2">
        <v>9.2592592592592588E-5</v>
      </c>
      <c r="Q3066" s="1" t="str">
        <f>""</f>
        <v/>
      </c>
      <c r="R3066" s="1">
        <v>0</v>
      </c>
      <c r="S3066" s="1" t="str">
        <f>""</f>
        <v/>
      </c>
      <c r="T3066" s="1" t="s">
        <v>29</v>
      </c>
      <c r="U3066" s="1" t="s">
        <v>30</v>
      </c>
      <c r="V3066" s="1">
        <v>0</v>
      </c>
    </row>
    <row r="3067" spans="2:22" x14ac:dyDescent="0.15">
      <c r="B3067" s="1" t="str">
        <f>"157****4678"</f>
        <v>157****4678</v>
      </c>
      <c r="C3067" s="1" t="s">
        <v>23</v>
      </c>
      <c r="D3067" s="1" t="str">
        <f t="shared" si="297"/>
        <v>89177328</v>
      </c>
      <c r="E3067" s="1" t="s">
        <v>24</v>
      </c>
      <c r="F3067" s="1" t="str">
        <f>"0010"</f>
        <v>0010</v>
      </c>
      <c r="G3067" s="1" t="s">
        <v>24</v>
      </c>
      <c r="H3067" s="1" t="str">
        <f>"0034"</f>
        <v>0034</v>
      </c>
      <c r="I3067" s="1" t="s">
        <v>31</v>
      </c>
      <c r="J3067" s="1" t="str">
        <f>"01043977568"</f>
        <v>01043977568</v>
      </c>
      <c r="K3067" s="1" t="str">
        <f>"2017-04-19 15:53:56"</f>
        <v>2017-04-19 15:53:56</v>
      </c>
      <c r="L3067" s="1" t="str">
        <f>"-"</f>
        <v>-</v>
      </c>
      <c r="M3067" s="2">
        <v>0</v>
      </c>
      <c r="N3067" s="1" t="s">
        <v>33</v>
      </c>
      <c r="O3067" s="1" t="s">
        <v>34</v>
      </c>
      <c r="P3067" s="2">
        <v>8.1018518518518516E-5</v>
      </c>
      <c r="Q3067" s="1" t="str">
        <f>""</f>
        <v/>
      </c>
      <c r="R3067" s="1">
        <v>0</v>
      </c>
      <c r="S3067" s="1" t="str">
        <f>""</f>
        <v/>
      </c>
      <c r="T3067" s="1" t="s">
        <v>29</v>
      </c>
      <c r="U3067" s="1" t="s">
        <v>30</v>
      </c>
      <c r="V3067" s="1">
        <v>0</v>
      </c>
    </row>
    <row r="3068" spans="2:22" x14ac:dyDescent="0.15">
      <c r="B3068" s="1" t="str">
        <f>"134****4530"</f>
        <v>134****4530</v>
      </c>
      <c r="C3068" s="1" t="s">
        <v>109</v>
      </c>
      <c r="D3068" s="1" t="str">
        <f>"4000108333"</f>
        <v>4000108333</v>
      </c>
      <c r="E3068" s="1" t="s">
        <v>53</v>
      </c>
      <c r="F3068" s="1" t="str">
        <f>"0000"</f>
        <v>0000</v>
      </c>
      <c r="G3068" s="1" t="s">
        <v>53</v>
      </c>
      <c r="H3068" s="1" t="str">
        <f>"1010"</f>
        <v>1010</v>
      </c>
      <c r="I3068" s="1" t="s">
        <v>148</v>
      </c>
      <c r="J3068" s="1" t="str">
        <f>"13718091869"</f>
        <v>13718091869</v>
      </c>
      <c r="K3068" s="1" t="str">
        <f>"2017-04-19 15:53:07"</f>
        <v>2017-04-19 15:53:07</v>
      </c>
      <c r="L3068" s="1" t="str">
        <f>"2017-04-19 15:53:46"</f>
        <v>2017-04-19 15:53:46</v>
      </c>
      <c r="M3068" s="2">
        <v>8.2754629629629619E-3</v>
      </c>
      <c r="N3068" s="1" t="s">
        <v>26</v>
      </c>
      <c r="O3068" s="1" t="s">
        <v>27</v>
      </c>
      <c r="P3068" s="2">
        <v>8.726851851851852E-3</v>
      </c>
      <c r="Q3068" s="1" t="s">
        <v>2235</v>
      </c>
      <c r="R3068" s="1">
        <v>1.56</v>
      </c>
      <c r="S3068" s="1" t="str">
        <f>""</f>
        <v/>
      </c>
      <c r="T3068" s="1" t="s">
        <v>29</v>
      </c>
      <c r="U3068" s="1" t="s">
        <v>30</v>
      </c>
      <c r="V3068" s="1">
        <v>0</v>
      </c>
    </row>
    <row r="3069" spans="2:22" x14ac:dyDescent="0.15">
      <c r="B3069" s="1" t="str">
        <f>"183****4280"</f>
        <v>183****4280</v>
      </c>
      <c r="C3069" s="1" t="s">
        <v>23</v>
      </c>
      <c r="D3069" s="1" t="str">
        <f t="shared" ref="D3069:D3082" si="299">"89177328"</f>
        <v>89177328</v>
      </c>
      <c r="E3069" s="1" t="s">
        <v>24</v>
      </c>
      <c r="F3069" s="1" t="str">
        <f t="shared" ref="F3069:F3082" si="300">"0010"</f>
        <v>0010</v>
      </c>
      <c r="G3069" s="1" t="s">
        <v>24</v>
      </c>
      <c r="H3069" s="1" t="str">
        <f>"0032"</f>
        <v>0032</v>
      </c>
      <c r="I3069" s="1" t="s">
        <v>119</v>
      </c>
      <c r="J3069" s="1" t="str">
        <f>"01043977566"</f>
        <v>01043977566</v>
      </c>
      <c r="K3069" s="1" t="str">
        <f>"2017-04-19 15:52:17"</f>
        <v>2017-04-19 15:52:17</v>
      </c>
      <c r="L3069" s="1" t="str">
        <f t="shared" ref="L3069:L3077" si="301">"-"</f>
        <v>-</v>
      </c>
      <c r="M3069" s="2">
        <v>0</v>
      </c>
      <c r="N3069" s="1" t="s">
        <v>33</v>
      </c>
      <c r="O3069" s="1" t="s">
        <v>34</v>
      </c>
      <c r="P3069" s="2">
        <v>1.0416666666666667E-4</v>
      </c>
      <c r="Q3069" s="1" t="str">
        <f>""</f>
        <v/>
      </c>
      <c r="R3069" s="1">
        <v>0</v>
      </c>
      <c r="S3069" s="1" t="str">
        <f>""</f>
        <v/>
      </c>
      <c r="T3069" s="1" t="s">
        <v>29</v>
      </c>
      <c r="U3069" s="1" t="s">
        <v>30</v>
      </c>
      <c r="V3069" s="1">
        <v>0</v>
      </c>
    </row>
    <row r="3070" spans="2:22" x14ac:dyDescent="0.15">
      <c r="B3070" s="1" t="str">
        <f>"157****4678"</f>
        <v>157****4678</v>
      </c>
      <c r="C3070" s="1" t="s">
        <v>23</v>
      </c>
      <c r="D3070" s="1" t="str">
        <f t="shared" si="299"/>
        <v>89177328</v>
      </c>
      <c r="E3070" s="1" t="s">
        <v>24</v>
      </c>
      <c r="F3070" s="1" t="str">
        <f t="shared" si="300"/>
        <v>0010</v>
      </c>
      <c r="G3070" s="1" t="s">
        <v>24</v>
      </c>
      <c r="H3070" s="1" t="str">
        <f>"0032"</f>
        <v>0032</v>
      </c>
      <c r="I3070" s="1" t="s">
        <v>119</v>
      </c>
      <c r="J3070" s="1" t="str">
        <f>"01043977566"</f>
        <v>01043977566</v>
      </c>
      <c r="K3070" s="1" t="str">
        <f>"2017-04-19 15:51:26"</f>
        <v>2017-04-19 15:51:26</v>
      </c>
      <c r="L3070" s="1" t="str">
        <f t="shared" si="301"/>
        <v>-</v>
      </c>
      <c r="M3070" s="2">
        <v>0</v>
      </c>
      <c r="N3070" s="1" t="s">
        <v>33</v>
      </c>
      <c r="O3070" s="1" t="s">
        <v>34</v>
      </c>
      <c r="P3070" s="2">
        <v>4.6296296296296294E-5</v>
      </c>
      <c r="Q3070" s="1" t="str">
        <f>""</f>
        <v/>
      </c>
      <c r="R3070" s="1">
        <v>0</v>
      </c>
      <c r="S3070" s="1" t="str">
        <f>""</f>
        <v/>
      </c>
      <c r="T3070" s="1" t="s">
        <v>29</v>
      </c>
      <c r="U3070" s="1" t="s">
        <v>30</v>
      </c>
      <c r="V3070" s="1">
        <v>0</v>
      </c>
    </row>
    <row r="3071" spans="2:22" x14ac:dyDescent="0.15">
      <c r="B3071" s="1" t="str">
        <f>"158****4412"</f>
        <v>158****4412</v>
      </c>
      <c r="C3071" s="1" t="s">
        <v>458</v>
      </c>
      <c r="D3071" s="1" t="str">
        <f t="shared" si="299"/>
        <v>89177328</v>
      </c>
      <c r="E3071" s="1" t="s">
        <v>24</v>
      </c>
      <c r="F3071" s="1" t="str">
        <f t="shared" si="300"/>
        <v>0010</v>
      </c>
      <c r="G3071" s="1" t="s">
        <v>24</v>
      </c>
      <c r="H3071" s="1" t="str">
        <f>"0018"</f>
        <v>0018</v>
      </c>
      <c r="I3071" s="1" t="s">
        <v>36</v>
      </c>
      <c r="J3071" s="1" t="str">
        <f>"01043977572"</f>
        <v>01043977572</v>
      </c>
      <c r="K3071" s="1" t="str">
        <f>"2017-04-19 15:50:49"</f>
        <v>2017-04-19 15:50:49</v>
      </c>
      <c r="L3071" s="1" t="str">
        <f t="shared" si="301"/>
        <v>-</v>
      </c>
      <c r="M3071" s="2">
        <v>0</v>
      </c>
      <c r="N3071" s="1" t="s">
        <v>33</v>
      </c>
      <c r="O3071" s="1" t="s">
        <v>34</v>
      </c>
      <c r="P3071" s="2">
        <v>1.1574074074074073E-5</v>
      </c>
      <c r="Q3071" s="1" t="str">
        <f>""</f>
        <v/>
      </c>
      <c r="R3071" s="1">
        <v>0</v>
      </c>
      <c r="S3071" s="1" t="str">
        <f>""</f>
        <v/>
      </c>
      <c r="T3071" s="1" t="s">
        <v>29</v>
      </c>
      <c r="U3071" s="1" t="s">
        <v>30</v>
      </c>
      <c r="V3071" s="1">
        <v>0</v>
      </c>
    </row>
    <row r="3072" spans="2:22" x14ac:dyDescent="0.15">
      <c r="B3072" s="1" t="str">
        <f>"133****9597"</f>
        <v>133****9597</v>
      </c>
      <c r="C3072" s="1" t="s">
        <v>23</v>
      </c>
      <c r="D3072" s="1" t="str">
        <f t="shared" si="299"/>
        <v>89177328</v>
      </c>
      <c r="E3072" s="1" t="s">
        <v>24</v>
      </c>
      <c r="F3072" s="1" t="str">
        <f t="shared" si="300"/>
        <v>0010</v>
      </c>
      <c r="G3072" s="1" t="s">
        <v>24</v>
      </c>
      <c r="H3072" s="1" t="str">
        <f>"0032"</f>
        <v>0032</v>
      </c>
      <c r="I3072" s="1" t="s">
        <v>119</v>
      </c>
      <c r="J3072" s="1" t="str">
        <f>"01043977566"</f>
        <v>01043977566</v>
      </c>
      <c r="K3072" s="1" t="str">
        <f>"2017-04-19 15:50:22"</f>
        <v>2017-04-19 15:50:22</v>
      </c>
      <c r="L3072" s="1" t="str">
        <f t="shared" si="301"/>
        <v>-</v>
      </c>
      <c r="M3072" s="2">
        <v>0</v>
      </c>
      <c r="N3072" s="1" t="s">
        <v>33</v>
      </c>
      <c r="O3072" s="1" t="s">
        <v>34</v>
      </c>
      <c r="P3072" s="2">
        <v>1.1574074074074073E-5</v>
      </c>
      <c r="Q3072" s="1" t="str">
        <f>""</f>
        <v/>
      </c>
      <c r="R3072" s="1">
        <v>0</v>
      </c>
      <c r="S3072" s="1" t="str">
        <f>""</f>
        <v/>
      </c>
      <c r="T3072" s="1" t="s">
        <v>29</v>
      </c>
      <c r="U3072" s="1" t="s">
        <v>30</v>
      </c>
      <c r="V3072" s="1">
        <v>0</v>
      </c>
    </row>
    <row r="3073" spans="2:22" x14ac:dyDescent="0.15">
      <c r="B3073" s="1" t="str">
        <f>"183****4280"</f>
        <v>183****4280</v>
      </c>
      <c r="C3073" s="1" t="s">
        <v>23</v>
      </c>
      <c r="D3073" s="1" t="str">
        <f t="shared" si="299"/>
        <v>89177328</v>
      </c>
      <c r="E3073" s="1" t="s">
        <v>24</v>
      </c>
      <c r="F3073" s="1" t="str">
        <f t="shared" si="300"/>
        <v>0010</v>
      </c>
      <c r="G3073" s="1" t="s">
        <v>24</v>
      </c>
      <c r="H3073" s="1" t="str">
        <f>"0032"</f>
        <v>0032</v>
      </c>
      <c r="I3073" s="1" t="s">
        <v>119</v>
      </c>
      <c r="J3073" s="1" t="str">
        <f>"01043977566"</f>
        <v>01043977566</v>
      </c>
      <c r="K3073" s="1" t="str">
        <f>"2017-04-19 15:49:21"</f>
        <v>2017-04-19 15:49:21</v>
      </c>
      <c r="L3073" s="1" t="str">
        <f t="shared" si="301"/>
        <v>-</v>
      </c>
      <c r="M3073" s="2">
        <v>0</v>
      </c>
      <c r="N3073" s="1" t="s">
        <v>33</v>
      </c>
      <c r="O3073" s="1" t="s">
        <v>34</v>
      </c>
      <c r="P3073" s="2">
        <v>6.9444444444444444E-5</v>
      </c>
      <c r="Q3073" s="1" t="str">
        <f>""</f>
        <v/>
      </c>
      <c r="R3073" s="1">
        <v>0</v>
      </c>
      <c r="S3073" s="1" t="str">
        <f>""</f>
        <v/>
      </c>
      <c r="T3073" s="1" t="s">
        <v>29</v>
      </c>
      <c r="U3073" s="1" t="s">
        <v>30</v>
      </c>
      <c r="V3073" s="1">
        <v>0</v>
      </c>
    </row>
    <row r="3074" spans="2:22" x14ac:dyDescent="0.15">
      <c r="B3074" s="1" t="str">
        <f>"157****4678"</f>
        <v>157****4678</v>
      </c>
      <c r="C3074" s="1" t="s">
        <v>23</v>
      </c>
      <c r="D3074" s="1" t="str">
        <f t="shared" si="299"/>
        <v>89177328</v>
      </c>
      <c r="E3074" s="1" t="s">
        <v>24</v>
      </c>
      <c r="F3074" s="1" t="str">
        <f t="shared" si="300"/>
        <v>0010</v>
      </c>
      <c r="G3074" s="1" t="s">
        <v>24</v>
      </c>
      <c r="H3074" s="1" t="str">
        <f>"0032"</f>
        <v>0032</v>
      </c>
      <c r="I3074" s="1" t="s">
        <v>119</v>
      </c>
      <c r="J3074" s="1" t="str">
        <f>"01043977566"</f>
        <v>01043977566</v>
      </c>
      <c r="K3074" s="1" t="str">
        <f>"2017-04-19 15:48:54"</f>
        <v>2017-04-19 15:48:54</v>
      </c>
      <c r="L3074" s="1" t="str">
        <f t="shared" si="301"/>
        <v>-</v>
      </c>
      <c r="M3074" s="2">
        <v>0</v>
      </c>
      <c r="N3074" s="1" t="s">
        <v>33</v>
      </c>
      <c r="O3074" s="1" t="s">
        <v>34</v>
      </c>
      <c r="P3074" s="2">
        <v>5.7870370370370366E-5</v>
      </c>
      <c r="Q3074" s="1" t="str">
        <f>""</f>
        <v/>
      </c>
      <c r="R3074" s="1">
        <v>0</v>
      </c>
      <c r="S3074" s="1" t="str">
        <f>""</f>
        <v/>
      </c>
      <c r="T3074" s="1" t="s">
        <v>29</v>
      </c>
      <c r="U3074" s="1" t="s">
        <v>30</v>
      </c>
      <c r="V3074" s="1">
        <v>0</v>
      </c>
    </row>
    <row r="3075" spans="2:22" x14ac:dyDescent="0.15">
      <c r="B3075" s="1" t="str">
        <f>"157****4678"</f>
        <v>157****4678</v>
      </c>
      <c r="C3075" s="1" t="s">
        <v>23</v>
      </c>
      <c r="D3075" s="1" t="str">
        <f t="shared" si="299"/>
        <v>89177328</v>
      </c>
      <c r="E3075" s="1" t="s">
        <v>24</v>
      </c>
      <c r="F3075" s="1" t="str">
        <f t="shared" si="300"/>
        <v>0010</v>
      </c>
      <c r="G3075" s="1" t="s">
        <v>24</v>
      </c>
      <c r="H3075" s="1" t="str">
        <f>"0018"</f>
        <v>0018</v>
      </c>
      <c r="I3075" s="1" t="s">
        <v>36</v>
      </c>
      <c r="J3075" s="1" t="str">
        <f>"01043977572"</f>
        <v>01043977572</v>
      </c>
      <c r="K3075" s="1" t="str">
        <f>"2017-04-19 15:45:20"</f>
        <v>2017-04-19 15:45:20</v>
      </c>
      <c r="L3075" s="1" t="str">
        <f t="shared" si="301"/>
        <v>-</v>
      </c>
      <c r="M3075" s="2">
        <v>0</v>
      </c>
      <c r="N3075" s="1" t="s">
        <v>33</v>
      </c>
      <c r="O3075" s="1" t="s">
        <v>34</v>
      </c>
      <c r="P3075" s="2">
        <v>4.6296296296296294E-5</v>
      </c>
      <c r="Q3075" s="1" t="str">
        <f>""</f>
        <v/>
      </c>
      <c r="R3075" s="1">
        <v>0</v>
      </c>
      <c r="S3075" s="1" t="str">
        <f>""</f>
        <v/>
      </c>
      <c r="T3075" s="1" t="s">
        <v>29</v>
      </c>
      <c r="U3075" s="1" t="s">
        <v>30</v>
      </c>
      <c r="V3075" s="1">
        <v>0</v>
      </c>
    </row>
    <row r="3076" spans="2:22" x14ac:dyDescent="0.15">
      <c r="B3076" s="1" t="str">
        <f>"177****0206"</f>
        <v>177****0206</v>
      </c>
      <c r="C3076" s="1" t="s">
        <v>23</v>
      </c>
      <c r="D3076" s="1" t="str">
        <f t="shared" si="299"/>
        <v>89177328</v>
      </c>
      <c r="E3076" s="1" t="s">
        <v>24</v>
      </c>
      <c r="F3076" s="1" t="str">
        <f t="shared" si="300"/>
        <v>0010</v>
      </c>
      <c r="G3076" s="1" t="s">
        <v>24</v>
      </c>
      <c r="H3076" s="1" t="str">
        <f>"0018"</f>
        <v>0018</v>
      </c>
      <c r="I3076" s="1" t="s">
        <v>36</v>
      </c>
      <c r="J3076" s="1" t="str">
        <f>"01043977572"</f>
        <v>01043977572</v>
      </c>
      <c r="K3076" s="1" t="str">
        <f>"2017-04-19 15:44:12"</f>
        <v>2017-04-19 15:44:12</v>
      </c>
      <c r="L3076" s="1" t="str">
        <f t="shared" si="301"/>
        <v>-</v>
      </c>
      <c r="M3076" s="2">
        <v>0</v>
      </c>
      <c r="N3076" s="1" t="s">
        <v>33</v>
      </c>
      <c r="O3076" s="1" t="s">
        <v>34</v>
      </c>
      <c r="P3076" s="2">
        <v>5.7870370370370366E-5</v>
      </c>
      <c r="Q3076" s="1" t="str">
        <f>""</f>
        <v/>
      </c>
      <c r="R3076" s="1">
        <v>0</v>
      </c>
      <c r="S3076" s="1" t="str">
        <f>""</f>
        <v/>
      </c>
      <c r="T3076" s="1" t="s">
        <v>29</v>
      </c>
      <c r="U3076" s="1" t="s">
        <v>30</v>
      </c>
      <c r="V3076" s="1">
        <v>0</v>
      </c>
    </row>
    <row r="3077" spans="2:22" x14ac:dyDescent="0.15">
      <c r="B3077" s="1" t="str">
        <f>"157****4678"</f>
        <v>157****4678</v>
      </c>
      <c r="C3077" s="1" t="s">
        <v>23</v>
      </c>
      <c r="D3077" s="1" t="str">
        <f t="shared" si="299"/>
        <v>89177328</v>
      </c>
      <c r="E3077" s="1" t="s">
        <v>24</v>
      </c>
      <c r="F3077" s="1" t="str">
        <f t="shared" si="300"/>
        <v>0010</v>
      </c>
      <c r="G3077" s="1" t="s">
        <v>24</v>
      </c>
      <c r="H3077" s="1" t="str">
        <f>"0018"</f>
        <v>0018</v>
      </c>
      <c r="I3077" s="1" t="s">
        <v>36</v>
      </c>
      <c r="J3077" s="1" t="str">
        <f>"01043977572"</f>
        <v>01043977572</v>
      </c>
      <c r="K3077" s="1" t="str">
        <f>"2017-04-19 15:43:15"</f>
        <v>2017-04-19 15:43:15</v>
      </c>
      <c r="L3077" s="1" t="str">
        <f t="shared" si="301"/>
        <v>-</v>
      </c>
      <c r="M3077" s="2">
        <v>0</v>
      </c>
      <c r="N3077" s="1" t="s">
        <v>33</v>
      </c>
      <c r="O3077" s="1" t="s">
        <v>34</v>
      </c>
      <c r="P3077" s="2">
        <v>6.9444444444444444E-5</v>
      </c>
      <c r="Q3077" s="1" t="str">
        <f>""</f>
        <v/>
      </c>
      <c r="R3077" s="1">
        <v>0</v>
      </c>
      <c r="S3077" s="1" t="str">
        <f>""</f>
        <v/>
      </c>
      <c r="T3077" s="1" t="s">
        <v>29</v>
      </c>
      <c r="U3077" s="1" t="s">
        <v>30</v>
      </c>
      <c r="V3077" s="1">
        <v>0</v>
      </c>
    </row>
    <row r="3078" spans="2:22" x14ac:dyDescent="0.15">
      <c r="B3078" s="1" t="str">
        <f>"137****5052"</f>
        <v>137****5052</v>
      </c>
      <c r="C3078" s="1" t="s">
        <v>109</v>
      </c>
      <c r="D3078" s="1" t="str">
        <f t="shared" si="299"/>
        <v>89177328</v>
      </c>
      <c r="E3078" s="1" t="s">
        <v>24</v>
      </c>
      <c r="F3078" s="1" t="str">
        <f t="shared" si="300"/>
        <v>0010</v>
      </c>
      <c r="G3078" s="1" t="s">
        <v>24</v>
      </c>
      <c r="H3078" s="1" t="str">
        <f>"0034"</f>
        <v>0034</v>
      </c>
      <c r="I3078" s="1" t="s">
        <v>31</v>
      </c>
      <c r="J3078" s="1" t="str">
        <f>"01043977568"</f>
        <v>01043977568</v>
      </c>
      <c r="K3078" s="1" t="str">
        <f>"2017-04-19 15:41:56"</f>
        <v>2017-04-19 15:41:56</v>
      </c>
      <c r="L3078" s="1" t="str">
        <f>"2017-04-19 15:42:13"</f>
        <v>2017-04-19 15:42:13</v>
      </c>
      <c r="M3078" s="2">
        <v>7.3726851851851861E-3</v>
      </c>
      <c r="N3078" s="1" t="s">
        <v>26</v>
      </c>
      <c r="O3078" s="1" t="s">
        <v>34</v>
      </c>
      <c r="P3078" s="2">
        <v>7.5694444444444446E-3</v>
      </c>
      <c r="Q3078" s="1" t="s">
        <v>2236</v>
      </c>
      <c r="R3078" s="1">
        <v>0</v>
      </c>
      <c r="S3078" s="1" t="str">
        <f>""</f>
        <v/>
      </c>
      <c r="T3078" s="1" t="s">
        <v>29</v>
      </c>
      <c r="U3078" s="1" t="s">
        <v>30</v>
      </c>
      <c r="V3078" s="1">
        <v>0</v>
      </c>
    </row>
    <row r="3079" spans="2:22" x14ac:dyDescent="0.15">
      <c r="B3079" s="1" t="str">
        <f>"177****0206"</f>
        <v>177****0206</v>
      </c>
      <c r="C3079" s="1" t="s">
        <v>23</v>
      </c>
      <c r="D3079" s="1" t="str">
        <f t="shared" si="299"/>
        <v>89177328</v>
      </c>
      <c r="E3079" s="1" t="s">
        <v>24</v>
      </c>
      <c r="F3079" s="1" t="str">
        <f t="shared" si="300"/>
        <v>0010</v>
      </c>
      <c r="G3079" s="1" t="s">
        <v>24</v>
      </c>
      <c r="H3079" s="1" t="str">
        <f>"0034"</f>
        <v>0034</v>
      </c>
      <c r="I3079" s="1" t="s">
        <v>31</v>
      </c>
      <c r="J3079" s="1" t="str">
        <f>"01043977568"</f>
        <v>01043977568</v>
      </c>
      <c r="K3079" s="1" t="str">
        <f>"2017-04-19 15:41:16"</f>
        <v>2017-04-19 15:41:16</v>
      </c>
      <c r="L3079" s="1" t="str">
        <f>"-"</f>
        <v>-</v>
      </c>
      <c r="M3079" s="2">
        <v>0</v>
      </c>
      <c r="N3079" s="1" t="s">
        <v>33</v>
      </c>
      <c r="O3079" s="1" t="s">
        <v>34</v>
      </c>
      <c r="P3079" s="2">
        <v>5.7870370370370366E-5</v>
      </c>
      <c r="Q3079" s="1" t="str">
        <f>""</f>
        <v/>
      </c>
      <c r="R3079" s="1">
        <v>0</v>
      </c>
      <c r="S3079" s="1" t="str">
        <f>""</f>
        <v/>
      </c>
      <c r="T3079" s="1" t="s">
        <v>29</v>
      </c>
      <c r="U3079" s="1" t="s">
        <v>30</v>
      </c>
      <c r="V3079" s="1">
        <v>0</v>
      </c>
    </row>
    <row r="3080" spans="2:22" x14ac:dyDescent="0.15">
      <c r="B3080" s="1" t="str">
        <f>"136****7006"</f>
        <v>136****7006</v>
      </c>
      <c r="C3080" s="1" t="s">
        <v>23</v>
      </c>
      <c r="D3080" s="1" t="str">
        <f t="shared" si="299"/>
        <v>89177328</v>
      </c>
      <c r="E3080" s="1" t="s">
        <v>24</v>
      </c>
      <c r="F3080" s="1" t="str">
        <f t="shared" si="300"/>
        <v>0010</v>
      </c>
      <c r="G3080" s="1" t="s">
        <v>24</v>
      </c>
      <c r="H3080" s="1" t="str">
        <f>"0035"</f>
        <v>0035</v>
      </c>
      <c r="I3080" s="1" t="s">
        <v>25</v>
      </c>
      <c r="J3080" s="1" t="str">
        <f>"01043977569"</f>
        <v>01043977569</v>
      </c>
      <c r="K3080" s="1" t="str">
        <f>"2017-04-19 15:39:35"</f>
        <v>2017-04-19 15:39:35</v>
      </c>
      <c r="L3080" s="1" t="str">
        <f>"2017-04-19 15:39:41"</f>
        <v>2017-04-19 15:39:41</v>
      </c>
      <c r="M3080" s="2">
        <v>1.5208333333333332E-2</v>
      </c>
      <c r="N3080" s="1" t="s">
        <v>26</v>
      </c>
      <c r="O3080" s="1" t="s">
        <v>27</v>
      </c>
      <c r="P3080" s="2">
        <v>1.5277777777777777E-2</v>
      </c>
      <c r="Q3080" s="1" t="s">
        <v>2237</v>
      </c>
      <c r="R3080" s="1">
        <v>0</v>
      </c>
      <c r="S3080" s="1" t="str">
        <f>""</f>
        <v/>
      </c>
      <c r="T3080" s="1" t="s">
        <v>29</v>
      </c>
      <c r="U3080" s="1" t="s">
        <v>30</v>
      </c>
      <c r="V3080" s="1">
        <v>0</v>
      </c>
    </row>
    <row r="3081" spans="2:22" x14ac:dyDescent="0.15">
      <c r="B3081" s="1" t="str">
        <f>"182****7465"</f>
        <v>182****7465</v>
      </c>
      <c r="C3081" s="1" t="s">
        <v>23</v>
      </c>
      <c r="D3081" s="1" t="str">
        <f t="shared" si="299"/>
        <v>89177328</v>
      </c>
      <c r="E3081" s="1" t="s">
        <v>24</v>
      </c>
      <c r="F3081" s="1" t="str">
        <f t="shared" si="300"/>
        <v>0010</v>
      </c>
      <c r="G3081" s="1" t="s">
        <v>24</v>
      </c>
      <c r="H3081" s="1" t="str">
        <f>"0032"</f>
        <v>0032</v>
      </c>
      <c r="I3081" s="1" t="s">
        <v>119</v>
      </c>
      <c r="J3081" s="1" t="str">
        <f>"01043977566"</f>
        <v>01043977566</v>
      </c>
      <c r="K3081" s="1" t="str">
        <f>"2017-04-19 15:32:23"</f>
        <v>2017-04-19 15:32:23</v>
      </c>
      <c r="L3081" s="1" t="str">
        <f>"2017-04-19 15:32:39"</f>
        <v>2017-04-19 15:32:39</v>
      </c>
      <c r="M3081" s="2">
        <v>1.261574074074074E-3</v>
      </c>
      <c r="N3081" s="1" t="s">
        <v>26</v>
      </c>
      <c r="O3081" s="1" t="s">
        <v>34</v>
      </c>
      <c r="P3081" s="2">
        <v>1.4467592592592594E-3</v>
      </c>
      <c r="Q3081" s="1" t="s">
        <v>2238</v>
      </c>
      <c r="R3081" s="1">
        <v>0</v>
      </c>
      <c r="S3081" s="1" t="str">
        <f>""</f>
        <v/>
      </c>
      <c r="T3081" s="1" t="s">
        <v>29</v>
      </c>
      <c r="U3081" s="1" t="s">
        <v>30</v>
      </c>
      <c r="V3081" s="1">
        <v>0</v>
      </c>
    </row>
    <row r="3082" spans="2:22" x14ac:dyDescent="0.15">
      <c r="B3082" s="1" t="str">
        <f>"130****7023"</f>
        <v>130****7023</v>
      </c>
      <c r="C3082" s="1" t="s">
        <v>1210</v>
      </c>
      <c r="D3082" s="1" t="str">
        <f t="shared" si="299"/>
        <v>89177328</v>
      </c>
      <c r="E3082" s="1" t="s">
        <v>24</v>
      </c>
      <c r="F3082" s="1" t="str">
        <f t="shared" si="300"/>
        <v>0010</v>
      </c>
      <c r="G3082" s="1" t="s">
        <v>24</v>
      </c>
      <c r="H3082" s="1" t="str">
        <f>"0033"</f>
        <v>0033</v>
      </c>
      <c r="I3082" s="1" t="s">
        <v>106</v>
      </c>
      <c r="J3082" s="1" t="str">
        <f>"01043977567"</f>
        <v>01043977567</v>
      </c>
      <c r="K3082" s="1" t="str">
        <f>"2017-04-19 15:29:48"</f>
        <v>2017-04-19 15:29:48</v>
      </c>
      <c r="L3082" s="1" t="str">
        <f>"2017-04-19 15:29:58"</f>
        <v>2017-04-19 15:29:58</v>
      </c>
      <c r="M3082" s="2">
        <v>1.300925925925926E-2</v>
      </c>
      <c r="N3082" s="1" t="s">
        <v>26</v>
      </c>
      <c r="O3082" s="1" t="s">
        <v>27</v>
      </c>
      <c r="P3082" s="2">
        <v>1.3125E-2</v>
      </c>
      <c r="Q3082" s="1" t="s">
        <v>2239</v>
      </c>
      <c r="R3082" s="1">
        <v>0</v>
      </c>
      <c r="S3082" s="1" t="str">
        <f>""</f>
        <v/>
      </c>
      <c r="T3082" s="1" t="s">
        <v>29</v>
      </c>
      <c r="U3082" s="1" t="s">
        <v>30</v>
      </c>
      <c r="V3082" s="1">
        <v>0</v>
      </c>
    </row>
    <row r="3083" spans="2:22" x14ac:dyDescent="0.15">
      <c r="B3083" s="1" t="str">
        <f>"188****2285"</f>
        <v>188****2285</v>
      </c>
      <c r="C3083" s="1" t="s">
        <v>193</v>
      </c>
      <c r="D3083" s="1" t="str">
        <f>"4000108333"</f>
        <v>4000108333</v>
      </c>
      <c r="E3083" s="1" t="s">
        <v>53</v>
      </c>
      <c r="F3083" s="1" t="str">
        <f>"0000"</f>
        <v>0000</v>
      </c>
      <c r="G3083" s="1" t="s">
        <v>53</v>
      </c>
      <c r="H3083" s="1" t="str">
        <f>"1010"</f>
        <v>1010</v>
      </c>
      <c r="I3083" s="1" t="s">
        <v>148</v>
      </c>
      <c r="J3083" s="1" t="str">
        <f>"13718091869"</f>
        <v>13718091869</v>
      </c>
      <c r="K3083" s="1" t="str">
        <f>"2017-04-19 15:22:16"</f>
        <v>2017-04-19 15:22:16</v>
      </c>
      <c r="L3083" s="1" t="str">
        <f>"2017-04-19 15:22:53"</f>
        <v>2017-04-19 15:22:53</v>
      </c>
      <c r="M3083" s="2">
        <v>1.4976851851851852E-2</v>
      </c>
      <c r="N3083" s="1" t="s">
        <v>26</v>
      </c>
      <c r="O3083" s="1" t="s">
        <v>27</v>
      </c>
      <c r="P3083" s="2">
        <v>1.5405092592592593E-2</v>
      </c>
      <c r="Q3083" s="1" t="s">
        <v>2240</v>
      </c>
      <c r="R3083" s="1">
        <v>2.76</v>
      </c>
      <c r="S3083" s="1" t="str">
        <f>""</f>
        <v/>
      </c>
      <c r="T3083" s="1" t="s">
        <v>29</v>
      </c>
      <c r="U3083" s="1" t="s">
        <v>30</v>
      </c>
      <c r="V3083" s="1">
        <v>0</v>
      </c>
    </row>
    <row r="3084" spans="2:22" x14ac:dyDescent="0.15">
      <c r="B3084" s="1" t="str">
        <f>"130****5656"</f>
        <v>130****5656</v>
      </c>
      <c r="C3084" s="1" t="s">
        <v>112</v>
      </c>
      <c r="D3084" s="1" t="str">
        <f t="shared" ref="D3084:D3097" si="302">"89177328"</f>
        <v>89177328</v>
      </c>
      <c r="E3084" s="1" t="s">
        <v>24</v>
      </c>
      <c r="F3084" s="1" t="str">
        <f t="shared" ref="F3084:F3097" si="303">"0010"</f>
        <v>0010</v>
      </c>
      <c r="G3084" s="1" t="s">
        <v>24</v>
      </c>
      <c r="H3084" s="1" t="str">
        <f>"0032"</f>
        <v>0032</v>
      </c>
      <c r="I3084" s="1" t="s">
        <v>119</v>
      </c>
      <c r="J3084" s="1" t="str">
        <f>"01043977566"</f>
        <v>01043977566</v>
      </c>
      <c r="K3084" s="1" t="str">
        <f>"2017-04-19 15:15:59"</f>
        <v>2017-04-19 15:15:59</v>
      </c>
      <c r="L3084" s="1" t="str">
        <f>"-"</f>
        <v>-</v>
      </c>
      <c r="M3084" s="2">
        <v>0</v>
      </c>
      <c r="N3084" s="1" t="s">
        <v>33</v>
      </c>
      <c r="O3084" s="1" t="s">
        <v>34</v>
      </c>
      <c r="P3084" s="2">
        <v>6.9444444444444444E-5</v>
      </c>
      <c r="Q3084" s="1" t="str">
        <f>""</f>
        <v/>
      </c>
      <c r="R3084" s="1">
        <v>0</v>
      </c>
      <c r="S3084" s="1" t="str">
        <f>""</f>
        <v/>
      </c>
      <c r="T3084" s="1" t="s">
        <v>29</v>
      </c>
      <c r="U3084" s="1" t="s">
        <v>30</v>
      </c>
      <c r="V3084" s="1">
        <v>0</v>
      </c>
    </row>
    <row r="3085" spans="2:22" x14ac:dyDescent="0.15">
      <c r="B3085" s="1" t="str">
        <f>"186****0604"</f>
        <v>186****0604</v>
      </c>
      <c r="C3085" s="1" t="s">
        <v>23</v>
      </c>
      <c r="D3085" s="1" t="str">
        <f t="shared" si="302"/>
        <v>89177328</v>
      </c>
      <c r="E3085" s="1" t="s">
        <v>24</v>
      </c>
      <c r="F3085" s="1" t="str">
        <f t="shared" si="303"/>
        <v>0010</v>
      </c>
      <c r="G3085" s="1" t="s">
        <v>24</v>
      </c>
      <c r="H3085" s="1" t="str">
        <f>"0032"</f>
        <v>0032</v>
      </c>
      <c r="I3085" s="1" t="s">
        <v>119</v>
      </c>
      <c r="J3085" s="1" t="str">
        <f>"01043977566"</f>
        <v>01043977566</v>
      </c>
      <c r="K3085" s="1" t="str">
        <f>"2017-04-19 15:15:07"</f>
        <v>2017-04-19 15:15:07</v>
      </c>
      <c r="L3085" s="1" t="str">
        <f>"-"</f>
        <v>-</v>
      </c>
      <c r="M3085" s="2">
        <v>0</v>
      </c>
      <c r="N3085" s="1" t="s">
        <v>33</v>
      </c>
      <c r="O3085" s="1" t="s">
        <v>34</v>
      </c>
      <c r="P3085" s="2">
        <v>5.7870370370370366E-5</v>
      </c>
      <c r="Q3085" s="1" t="str">
        <f>""</f>
        <v/>
      </c>
      <c r="R3085" s="1">
        <v>0</v>
      </c>
      <c r="S3085" s="1" t="str">
        <f>""</f>
        <v/>
      </c>
      <c r="T3085" s="1" t="s">
        <v>29</v>
      </c>
      <c r="U3085" s="1" t="s">
        <v>30</v>
      </c>
      <c r="V3085" s="1">
        <v>0</v>
      </c>
    </row>
    <row r="3086" spans="2:22" x14ac:dyDescent="0.15">
      <c r="B3086" s="1" t="str">
        <f>"188****9789"</f>
        <v>188****9789</v>
      </c>
      <c r="C3086" s="1" t="s">
        <v>105</v>
      </c>
      <c r="D3086" s="1" t="str">
        <f t="shared" si="302"/>
        <v>89177328</v>
      </c>
      <c r="E3086" s="1" t="s">
        <v>24</v>
      </c>
      <c r="F3086" s="1" t="str">
        <f t="shared" si="303"/>
        <v>0010</v>
      </c>
      <c r="G3086" s="1" t="s">
        <v>24</v>
      </c>
      <c r="H3086" s="1" t="str">
        <f>"0018"</f>
        <v>0018</v>
      </c>
      <c r="I3086" s="1" t="s">
        <v>36</v>
      </c>
      <c r="J3086" s="1" t="str">
        <f>"01043977572"</f>
        <v>01043977572</v>
      </c>
      <c r="K3086" s="1" t="str">
        <f>"2017-04-19 15:14:04"</f>
        <v>2017-04-19 15:14:04</v>
      </c>
      <c r="L3086" s="1" t="str">
        <f>"2017-04-19 15:14:15"</f>
        <v>2017-04-19 15:14:15</v>
      </c>
      <c r="M3086" s="2">
        <v>2.4421296296296296E-3</v>
      </c>
      <c r="N3086" s="1" t="s">
        <v>26</v>
      </c>
      <c r="O3086" s="1" t="s">
        <v>34</v>
      </c>
      <c r="P3086" s="2">
        <v>2.5694444444444445E-3</v>
      </c>
      <c r="Q3086" s="1" t="s">
        <v>2241</v>
      </c>
      <c r="R3086" s="1">
        <v>0</v>
      </c>
      <c r="S3086" s="1" t="str">
        <f>""</f>
        <v/>
      </c>
      <c r="T3086" s="1" t="s">
        <v>29</v>
      </c>
      <c r="U3086" s="1" t="s">
        <v>30</v>
      </c>
      <c r="V3086" s="1">
        <v>0</v>
      </c>
    </row>
    <row r="3087" spans="2:22" x14ac:dyDescent="0.15">
      <c r="B3087" s="1" t="str">
        <f>"130****5656"</f>
        <v>130****5656</v>
      </c>
      <c r="C3087" s="1" t="s">
        <v>112</v>
      </c>
      <c r="D3087" s="1" t="str">
        <f t="shared" si="302"/>
        <v>89177328</v>
      </c>
      <c r="E3087" s="1" t="s">
        <v>24</v>
      </c>
      <c r="F3087" s="1" t="str">
        <f t="shared" si="303"/>
        <v>0010</v>
      </c>
      <c r="G3087" s="1" t="s">
        <v>24</v>
      </c>
      <c r="H3087" s="1" t="str">
        <f>"0018"</f>
        <v>0018</v>
      </c>
      <c r="I3087" s="1" t="s">
        <v>36</v>
      </c>
      <c r="J3087" s="1" t="str">
        <f>"01043977572"</f>
        <v>01043977572</v>
      </c>
      <c r="K3087" s="1" t="str">
        <f>"2017-04-19 15:13:16"</f>
        <v>2017-04-19 15:13:16</v>
      </c>
      <c r="L3087" s="1" t="str">
        <f>"-"</f>
        <v>-</v>
      </c>
      <c r="M3087" s="2">
        <v>0</v>
      </c>
      <c r="N3087" s="1" t="s">
        <v>33</v>
      </c>
      <c r="O3087" s="1" t="s">
        <v>34</v>
      </c>
      <c r="P3087" s="2">
        <v>4.6296296296296294E-5</v>
      </c>
      <c r="Q3087" s="1" t="str">
        <f>""</f>
        <v/>
      </c>
      <c r="R3087" s="1">
        <v>0</v>
      </c>
      <c r="S3087" s="1" t="str">
        <f>""</f>
        <v/>
      </c>
      <c r="T3087" s="1" t="s">
        <v>29</v>
      </c>
      <c r="U3087" s="1" t="s">
        <v>30</v>
      </c>
      <c r="V3087" s="1">
        <v>0</v>
      </c>
    </row>
    <row r="3088" spans="2:22" x14ac:dyDescent="0.15">
      <c r="B3088" s="1" t="str">
        <f>"130****5656"</f>
        <v>130****5656</v>
      </c>
      <c r="C3088" s="1" t="s">
        <v>112</v>
      </c>
      <c r="D3088" s="1" t="str">
        <f t="shared" si="302"/>
        <v>89177328</v>
      </c>
      <c r="E3088" s="1" t="s">
        <v>24</v>
      </c>
      <c r="F3088" s="1" t="str">
        <f t="shared" si="303"/>
        <v>0010</v>
      </c>
      <c r="G3088" s="1" t="s">
        <v>24</v>
      </c>
      <c r="H3088" s="1" t="str">
        <f>"0018"</f>
        <v>0018</v>
      </c>
      <c r="I3088" s="1" t="s">
        <v>36</v>
      </c>
      <c r="J3088" s="1" t="str">
        <f>"01043977572"</f>
        <v>01043977572</v>
      </c>
      <c r="K3088" s="1" t="str">
        <f>"2017-04-19 15:10:06"</f>
        <v>2017-04-19 15:10:06</v>
      </c>
      <c r="L3088" s="1" t="str">
        <f>"-"</f>
        <v>-</v>
      </c>
      <c r="M3088" s="2">
        <v>0</v>
      </c>
      <c r="N3088" s="1" t="s">
        <v>33</v>
      </c>
      <c r="O3088" s="1" t="s">
        <v>34</v>
      </c>
      <c r="P3088" s="2">
        <v>5.7870370370370366E-5</v>
      </c>
      <c r="Q3088" s="1" t="str">
        <f>""</f>
        <v/>
      </c>
      <c r="R3088" s="1">
        <v>0</v>
      </c>
      <c r="S3088" s="1" t="str">
        <f>""</f>
        <v/>
      </c>
      <c r="T3088" s="1" t="s">
        <v>29</v>
      </c>
      <c r="U3088" s="1" t="s">
        <v>30</v>
      </c>
      <c r="V3088" s="1">
        <v>0</v>
      </c>
    </row>
    <row r="3089" spans="2:22" x14ac:dyDescent="0.15">
      <c r="B3089" s="1" t="str">
        <f>"186****0604"</f>
        <v>186****0604</v>
      </c>
      <c r="C3089" s="1" t="s">
        <v>23</v>
      </c>
      <c r="D3089" s="1" t="str">
        <f t="shared" si="302"/>
        <v>89177328</v>
      </c>
      <c r="E3089" s="1" t="s">
        <v>24</v>
      </c>
      <c r="F3089" s="1" t="str">
        <f t="shared" si="303"/>
        <v>0010</v>
      </c>
      <c r="G3089" s="1" t="s">
        <v>24</v>
      </c>
      <c r="H3089" s="1" t="str">
        <f>"0018"</f>
        <v>0018</v>
      </c>
      <c r="I3089" s="1" t="s">
        <v>36</v>
      </c>
      <c r="J3089" s="1" t="str">
        <f>"01043977572"</f>
        <v>01043977572</v>
      </c>
      <c r="K3089" s="1" t="str">
        <f>"2017-04-19 15:09:37"</f>
        <v>2017-04-19 15:09:37</v>
      </c>
      <c r="L3089" s="1" t="str">
        <f>"-"</f>
        <v>-</v>
      </c>
      <c r="M3089" s="2">
        <v>0</v>
      </c>
      <c r="N3089" s="1" t="s">
        <v>33</v>
      </c>
      <c r="O3089" s="1" t="s">
        <v>34</v>
      </c>
      <c r="P3089" s="2">
        <v>8.1018518518518516E-5</v>
      </c>
      <c r="Q3089" s="1" t="str">
        <f>""</f>
        <v/>
      </c>
      <c r="R3089" s="1">
        <v>0</v>
      </c>
      <c r="S3089" s="1" t="str">
        <f>""</f>
        <v/>
      </c>
      <c r="T3089" s="1" t="s">
        <v>29</v>
      </c>
      <c r="U3089" s="1" t="s">
        <v>30</v>
      </c>
      <c r="V3089" s="1">
        <v>0</v>
      </c>
    </row>
    <row r="3090" spans="2:22" x14ac:dyDescent="0.15">
      <c r="B3090" s="1" t="str">
        <f>"130****5656"</f>
        <v>130****5656</v>
      </c>
      <c r="C3090" s="1" t="s">
        <v>112</v>
      </c>
      <c r="D3090" s="1" t="str">
        <f t="shared" si="302"/>
        <v>89177328</v>
      </c>
      <c r="E3090" s="1" t="s">
        <v>24</v>
      </c>
      <c r="F3090" s="1" t="str">
        <f t="shared" si="303"/>
        <v>0010</v>
      </c>
      <c r="G3090" s="1" t="s">
        <v>24</v>
      </c>
      <c r="H3090" s="1" t="str">
        <f>"0017"</f>
        <v>0017</v>
      </c>
      <c r="I3090" s="1" t="s">
        <v>135</v>
      </c>
      <c r="J3090" s="1" t="str">
        <f>"01043989717"</f>
        <v>01043989717</v>
      </c>
      <c r="K3090" s="1" t="str">
        <f>"2017-04-19 15:08:30"</f>
        <v>2017-04-19 15:08:30</v>
      </c>
      <c r="L3090" s="1" t="str">
        <f>"-"</f>
        <v>-</v>
      </c>
      <c r="M3090" s="2">
        <v>0</v>
      </c>
      <c r="N3090" s="1" t="s">
        <v>33</v>
      </c>
      <c r="O3090" s="1" t="s">
        <v>34</v>
      </c>
      <c r="P3090" s="2">
        <v>3.4722222222222222E-5</v>
      </c>
      <c r="Q3090" s="1" t="str">
        <f>""</f>
        <v/>
      </c>
      <c r="R3090" s="1">
        <v>0</v>
      </c>
      <c r="S3090" s="1" t="str">
        <f>""</f>
        <v/>
      </c>
      <c r="T3090" s="1" t="s">
        <v>29</v>
      </c>
      <c r="U3090" s="1" t="s">
        <v>30</v>
      </c>
      <c r="V3090" s="1">
        <v>0</v>
      </c>
    </row>
    <row r="3091" spans="2:22" x14ac:dyDescent="0.15">
      <c r="B3091" s="1" t="str">
        <f>"136****2655"</f>
        <v>136****2655</v>
      </c>
      <c r="C3091" s="1" t="s">
        <v>23</v>
      </c>
      <c r="D3091" s="1" t="str">
        <f t="shared" si="302"/>
        <v>89177328</v>
      </c>
      <c r="E3091" s="1" t="s">
        <v>24</v>
      </c>
      <c r="F3091" s="1" t="str">
        <f t="shared" si="303"/>
        <v>0010</v>
      </c>
      <c r="G3091" s="1" t="s">
        <v>24</v>
      </c>
      <c r="H3091" s="1" t="str">
        <f>"0034"</f>
        <v>0034</v>
      </c>
      <c r="I3091" s="1" t="s">
        <v>31</v>
      </c>
      <c r="J3091" s="1" t="str">
        <f>"01043977568"</f>
        <v>01043977568</v>
      </c>
      <c r="K3091" s="1" t="str">
        <f>"2017-04-19 15:07:43"</f>
        <v>2017-04-19 15:07:43</v>
      </c>
      <c r="L3091" s="1" t="str">
        <f>"2017-04-19 15:07:55"</f>
        <v>2017-04-19 15:07:55</v>
      </c>
      <c r="M3091" s="2">
        <v>6.5972222222222213E-4</v>
      </c>
      <c r="N3091" s="1" t="s">
        <v>26</v>
      </c>
      <c r="O3091" s="1" t="s">
        <v>27</v>
      </c>
      <c r="P3091" s="2">
        <v>7.9861111111111105E-4</v>
      </c>
      <c r="Q3091" s="1" t="s">
        <v>2242</v>
      </c>
      <c r="R3091" s="1">
        <v>0</v>
      </c>
      <c r="S3091" s="1" t="str">
        <f>""</f>
        <v/>
      </c>
      <c r="T3091" s="1" t="s">
        <v>29</v>
      </c>
      <c r="U3091" s="1" t="s">
        <v>30</v>
      </c>
      <c r="V3091" s="1">
        <v>0</v>
      </c>
    </row>
    <row r="3092" spans="2:22" x14ac:dyDescent="0.15">
      <c r="B3092" s="1" t="str">
        <f>"010****7581"</f>
        <v>010****7581</v>
      </c>
      <c r="C3092" s="1" t="s">
        <v>23</v>
      </c>
      <c r="D3092" s="1" t="str">
        <f t="shared" si="302"/>
        <v>89177328</v>
      </c>
      <c r="E3092" s="1" t="s">
        <v>24</v>
      </c>
      <c r="F3092" s="1" t="str">
        <f t="shared" si="303"/>
        <v>0010</v>
      </c>
      <c r="G3092" s="1" t="s">
        <v>24</v>
      </c>
      <c r="H3092" s="1" t="str">
        <f>"0034"</f>
        <v>0034</v>
      </c>
      <c r="I3092" s="1" t="s">
        <v>31</v>
      </c>
      <c r="J3092" s="1" t="str">
        <f>"01043977568"</f>
        <v>01043977568</v>
      </c>
      <c r="K3092" s="1" t="str">
        <f>"2017-04-19 15:01:04"</f>
        <v>2017-04-19 15:01:04</v>
      </c>
      <c r="L3092" s="1" t="str">
        <f>"2017-04-19 15:01:19"</f>
        <v>2017-04-19 15:01:19</v>
      </c>
      <c r="M3092" s="2">
        <v>4.9768518518518521E-4</v>
      </c>
      <c r="N3092" s="1" t="s">
        <v>26</v>
      </c>
      <c r="O3092" s="1" t="s">
        <v>27</v>
      </c>
      <c r="P3092" s="2">
        <v>6.7129629629629625E-4</v>
      </c>
      <c r="Q3092" s="1" t="s">
        <v>2243</v>
      </c>
      <c r="R3092" s="1">
        <v>0</v>
      </c>
      <c r="S3092" s="1" t="str">
        <f>""</f>
        <v/>
      </c>
      <c r="T3092" s="1" t="s">
        <v>29</v>
      </c>
      <c r="U3092" s="1" t="s">
        <v>30</v>
      </c>
      <c r="V3092" s="1">
        <v>0</v>
      </c>
    </row>
    <row r="3093" spans="2:22" x14ac:dyDescent="0.15">
      <c r="B3093" s="1" t="str">
        <f>"159****3595"</f>
        <v>159****3595</v>
      </c>
      <c r="C3093" s="1" t="s">
        <v>23</v>
      </c>
      <c r="D3093" s="1" t="str">
        <f t="shared" si="302"/>
        <v>89177328</v>
      </c>
      <c r="E3093" s="1" t="s">
        <v>24</v>
      </c>
      <c r="F3093" s="1" t="str">
        <f t="shared" si="303"/>
        <v>0010</v>
      </c>
      <c r="G3093" s="1" t="s">
        <v>24</v>
      </c>
      <c r="H3093" s="1" t="str">
        <f>"0018"</f>
        <v>0018</v>
      </c>
      <c r="I3093" s="1" t="s">
        <v>36</v>
      </c>
      <c r="J3093" s="1" t="str">
        <f>"01043977572"</f>
        <v>01043977572</v>
      </c>
      <c r="K3093" s="1" t="str">
        <f>"2017-04-19 14:51:57"</f>
        <v>2017-04-19 14:51:57</v>
      </c>
      <c r="L3093" s="1" t="str">
        <f>"2017-04-19 14:52:05"</f>
        <v>2017-04-19 14:52:05</v>
      </c>
      <c r="M3093" s="2">
        <v>8.0208333333333329E-3</v>
      </c>
      <c r="N3093" s="1" t="s">
        <v>26</v>
      </c>
      <c r="O3093" s="1" t="s">
        <v>34</v>
      </c>
      <c r="P3093" s="2">
        <v>8.113425925925925E-3</v>
      </c>
      <c r="Q3093" s="1" t="s">
        <v>2244</v>
      </c>
      <c r="R3093" s="1">
        <v>0</v>
      </c>
      <c r="S3093" s="1" t="str">
        <f>""</f>
        <v/>
      </c>
      <c r="T3093" s="1" t="s">
        <v>29</v>
      </c>
      <c r="U3093" s="1" t="s">
        <v>30</v>
      </c>
      <c r="V3093" s="1">
        <v>0</v>
      </c>
    </row>
    <row r="3094" spans="2:22" x14ac:dyDescent="0.15">
      <c r="B3094" s="1" t="str">
        <f>"188****2285"</f>
        <v>188****2285</v>
      </c>
      <c r="C3094" s="1" t="s">
        <v>193</v>
      </c>
      <c r="D3094" s="1" t="str">
        <f t="shared" si="302"/>
        <v>89177328</v>
      </c>
      <c r="E3094" s="1" t="s">
        <v>24</v>
      </c>
      <c r="F3094" s="1" t="str">
        <f t="shared" si="303"/>
        <v>0010</v>
      </c>
      <c r="G3094" s="1" t="s">
        <v>24</v>
      </c>
      <c r="H3094" s="1" t="str">
        <f>"0032"</f>
        <v>0032</v>
      </c>
      <c r="I3094" s="1" t="s">
        <v>119</v>
      </c>
      <c r="J3094" s="1" t="str">
        <f>"01043977566"</f>
        <v>01043977566</v>
      </c>
      <c r="K3094" s="1" t="str">
        <f>"2017-04-19 14:45:03"</f>
        <v>2017-04-19 14:45:03</v>
      </c>
      <c r="L3094" s="1" t="str">
        <f>"2017-04-19 14:45:18"</f>
        <v>2017-04-19 14:45:18</v>
      </c>
      <c r="M3094" s="2">
        <v>1.042824074074074E-2</v>
      </c>
      <c r="N3094" s="1" t="s">
        <v>26</v>
      </c>
      <c r="O3094" s="1" t="s">
        <v>34</v>
      </c>
      <c r="P3094" s="2">
        <v>1.0601851851851854E-2</v>
      </c>
      <c r="Q3094" s="1" t="s">
        <v>2245</v>
      </c>
      <c r="R3094" s="1">
        <v>0</v>
      </c>
      <c r="S3094" s="1" t="str">
        <f>""</f>
        <v/>
      </c>
      <c r="T3094" s="1" t="s">
        <v>29</v>
      </c>
      <c r="U3094" s="1" t="s">
        <v>30</v>
      </c>
      <c r="V3094" s="1">
        <v>0</v>
      </c>
    </row>
    <row r="3095" spans="2:22" x14ac:dyDescent="0.15">
      <c r="B3095" s="1" t="str">
        <f>"010****8011"</f>
        <v>010****8011</v>
      </c>
      <c r="C3095" s="1" t="s">
        <v>23</v>
      </c>
      <c r="D3095" s="1" t="str">
        <f t="shared" si="302"/>
        <v>89177328</v>
      </c>
      <c r="E3095" s="1" t="s">
        <v>24</v>
      </c>
      <c r="F3095" s="1" t="str">
        <f t="shared" si="303"/>
        <v>0010</v>
      </c>
      <c r="G3095" s="1" t="s">
        <v>24</v>
      </c>
      <c r="H3095" s="1" t="str">
        <f>"0034"</f>
        <v>0034</v>
      </c>
      <c r="I3095" s="1" t="s">
        <v>31</v>
      </c>
      <c r="J3095" s="1" t="str">
        <f>"01043977568"</f>
        <v>01043977568</v>
      </c>
      <c r="K3095" s="1" t="str">
        <f>"2017-04-19 14:42:22"</f>
        <v>2017-04-19 14:42:22</v>
      </c>
      <c r="L3095" s="1" t="str">
        <f>"2017-04-19 14:42:33"</f>
        <v>2017-04-19 14:42:33</v>
      </c>
      <c r="M3095" s="2">
        <v>1.2222222222222223E-2</v>
      </c>
      <c r="N3095" s="1" t="s">
        <v>26</v>
      </c>
      <c r="O3095" s="1" t="s">
        <v>34</v>
      </c>
      <c r="P3095" s="2">
        <v>1.2349537037037039E-2</v>
      </c>
      <c r="Q3095" s="1" t="s">
        <v>2246</v>
      </c>
      <c r="R3095" s="1">
        <v>0</v>
      </c>
      <c r="S3095" s="1" t="str">
        <f>""</f>
        <v/>
      </c>
      <c r="T3095" s="1" t="s">
        <v>29</v>
      </c>
      <c r="U3095" s="1" t="s">
        <v>30</v>
      </c>
      <c r="V3095" s="1">
        <v>0</v>
      </c>
    </row>
    <row r="3096" spans="2:22" x14ac:dyDescent="0.15">
      <c r="B3096" s="1" t="str">
        <f>"010****5006"</f>
        <v>010****5006</v>
      </c>
      <c r="C3096" s="1" t="s">
        <v>23</v>
      </c>
      <c r="D3096" s="1" t="str">
        <f t="shared" si="302"/>
        <v>89177328</v>
      </c>
      <c r="E3096" s="1" t="s">
        <v>24</v>
      </c>
      <c r="F3096" s="1" t="str">
        <f t="shared" si="303"/>
        <v>0010</v>
      </c>
      <c r="G3096" s="1" t="s">
        <v>24</v>
      </c>
      <c r="H3096" s="1" t="str">
        <f>"0033"</f>
        <v>0033</v>
      </c>
      <c r="I3096" s="1" t="s">
        <v>106</v>
      </c>
      <c r="J3096" s="1" t="str">
        <f>"01043977567"</f>
        <v>01043977567</v>
      </c>
      <c r="K3096" s="1" t="str">
        <f>"2017-04-19 14:41:09"</f>
        <v>2017-04-19 14:41:09</v>
      </c>
      <c r="L3096" s="1" t="str">
        <f>"2017-04-19 14:41:17"</f>
        <v>2017-04-19 14:41:17</v>
      </c>
      <c r="M3096" s="2">
        <v>8.1597222222222227E-3</v>
      </c>
      <c r="N3096" s="1" t="s">
        <v>26</v>
      </c>
      <c r="O3096" s="1" t="s">
        <v>27</v>
      </c>
      <c r="P3096" s="2">
        <v>8.2523148148148148E-3</v>
      </c>
      <c r="Q3096" s="1" t="s">
        <v>2247</v>
      </c>
      <c r="R3096" s="1">
        <v>0</v>
      </c>
      <c r="S3096" s="1" t="str">
        <f>""</f>
        <v/>
      </c>
      <c r="T3096" s="1" t="s">
        <v>29</v>
      </c>
      <c r="U3096" s="1" t="s">
        <v>30</v>
      </c>
      <c r="V3096" s="1">
        <v>0</v>
      </c>
    </row>
    <row r="3097" spans="2:22" x14ac:dyDescent="0.15">
      <c r="B3097" s="1" t="str">
        <f>"131****7581"</f>
        <v>131****7581</v>
      </c>
      <c r="C3097" s="1" t="s">
        <v>205</v>
      </c>
      <c r="D3097" s="1" t="str">
        <f t="shared" si="302"/>
        <v>89177328</v>
      </c>
      <c r="E3097" s="1" t="s">
        <v>24</v>
      </c>
      <c r="F3097" s="1" t="str">
        <f t="shared" si="303"/>
        <v>0010</v>
      </c>
      <c r="G3097" s="1" t="s">
        <v>24</v>
      </c>
      <c r="H3097" s="1" t="str">
        <f>"0018"</f>
        <v>0018</v>
      </c>
      <c r="I3097" s="1" t="s">
        <v>36</v>
      </c>
      <c r="J3097" s="1" t="str">
        <f>"01043977572"</f>
        <v>01043977572</v>
      </c>
      <c r="K3097" s="1" t="str">
        <f>"2017-04-19 14:34:35"</f>
        <v>2017-04-19 14:34:35</v>
      </c>
      <c r="L3097" s="1" t="str">
        <f>"2017-04-19 14:34:44"</f>
        <v>2017-04-19 14:34:44</v>
      </c>
      <c r="M3097" s="2">
        <v>1.1006944444444444E-2</v>
      </c>
      <c r="N3097" s="1" t="s">
        <v>26</v>
      </c>
      <c r="O3097" s="1" t="s">
        <v>34</v>
      </c>
      <c r="P3097" s="2">
        <v>1.1111111111111112E-2</v>
      </c>
      <c r="Q3097" s="1" t="s">
        <v>2248</v>
      </c>
      <c r="R3097" s="1">
        <v>0</v>
      </c>
      <c r="S3097" s="1" t="str">
        <f>""</f>
        <v/>
      </c>
      <c r="T3097" s="1" t="s">
        <v>29</v>
      </c>
      <c r="U3097" s="1" t="s">
        <v>30</v>
      </c>
      <c r="V3097" s="1">
        <v>0</v>
      </c>
    </row>
    <row r="3098" spans="2:22" x14ac:dyDescent="0.15">
      <c r="B3098" s="1" t="str">
        <f>"135****0680"</f>
        <v>135****0680</v>
      </c>
      <c r="C3098" s="1" t="s">
        <v>730</v>
      </c>
      <c r="D3098" s="1" t="str">
        <f>"4000108333"</f>
        <v>4000108333</v>
      </c>
      <c r="E3098" s="1" t="s">
        <v>53</v>
      </c>
      <c r="F3098" s="1" t="str">
        <f>"0001"</f>
        <v>0001</v>
      </c>
      <c r="G3098" s="1" t="s">
        <v>2249</v>
      </c>
      <c r="H3098" s="1" t="str">
        <f>"0001"</f>
        <v>0001</v>
      </c>
      <c r="I3098" s="1" t="s">
        <v>129</v>
      </c>
      <c r="J3098" s="1" t="str">
        <f>"13699138136"</f>
        <v>13699138136</v>
      </c>
      <c r="K3098" s="1" t="str">
        <f>"2017-04-19 14:28:05"</f>
        <v>2017-04-19 14:28:05</v>
      </c>
      <c r="L3098" s="1" t="str">
        <f>"2017-04-19 14:30:47"</f>
        <v>2017-04-19 14:30:47</v>
      </c>
      <c r="M3098" s="2">
        <v>9.3749999999999997E-3</v>
      </c>
      <c r="N3098" s="1" t="s">
        <v>26</v>
      </c>
      <c r="O3098" s="1" t="s">
        <v>34</v>
      </c>
      <c r="P3098" s="2">
        <v>1.1249999999999998E-2</v>
      </c>
      <c r="Q3098" s="1" t="s">
        <v>2250</v>
      </c>
      <c r="R3098" s="1">
        <v>2.04</v>
      </c>
      <c r="S3098" s="1" t="str">
        <f>""</f>
        <v/>
      </c>
      <c r="T3098" s="1" t="s">
        <v>29</v>
      </c>
      <c r="U3098" s="1" t="s">
        <v>30</v>
      </c>
      <c r="V3098" s="1">
        <v>0</v>
      </c>
    </row>
    <row r="3099" spans="2:22" x14ac:dyDescent="0.15">
      <c r="B3099" s="1" t="str">
        <f>"136****7872"</f>
        <v>136****7872</v>
      </c>
      <c r="C3099" s="1" t="s">
        <v>23</v>
      </c>
      <c r="D3099" s="1" t="str">
        <f t="shared" ref="D3099:D3107" si="304">"89177328"</f>
        <v>89177328</v>
      </c>
      <c r="E3099" s="1" t="s">
        <v>24</v>
      </c>
      <c r="F3099" s="1" t="str">
        <f t="shared" ref="F3099:F3107" si="305">"0010"</f>
        <v>0010</v>
      </c>
      <c r="G3099" s="1" t="s">
        <v>24</v>
      </c>
      <c r="H3099" s="1" t="str">
        <f>"0032"</f>
        <v>0032</v>
      </c>
      <c r="I3099" s="1" t="s">
        <v>119</v>
      </c>
      <c r="J3099" s="1" t="str">
        <f>"01043977566"</f>
        <v>01043977566</v>
      </c>
      <c r="K3099" s="1" t="str">
        <f>"2017-04-19 14:15:04"</f>
        <v>2017-04-19 14:15:04</v>
      </c>
      <c r="L3099" s="1" t="str">
        <f>"2017-04-19 14:15:18"</f>
        <v>2017-04-19 14:15:18</v>
      </c>
      <c r="M3099" s="2">
        <v>1.9490740740740743E-2</v>
      </c>
      <c r="N3099" s="1" t="s">
        <v>26</v>
      </c>
      <c r="O3099" s="1" t="s">
        <v>27</v>
      </c>
      <c r="P3099" s="2">
        <v>1.9652777777777779E-2</v>
      </c>
      <c r="Q3099" s="1" t="s">
        <v>2251</v>
      </c>
      <c r="R3099" s="1">
        <v>0</v>
      </c>
      <c r="S3099" s="1" t="str">
        <f>""</f>
        <v/>
      </c>
      <c r="T3099" s="1" t="s">
        <v>2252</v>
      </c>
      <c r="U3099" s="1" t="s">
        <v>30</v>
      </c>
      <c r="V3099" s="1">
        <v>0</v>
      </c>
    </row>
    <row r="3100" spans="2:22" x14ac:dyDescent="0.15">
      <c r="B3100" s="1" t="str">
        <f>"180****3868"</f>
        <v>180****3868</v>
      </c>
      <c r="C3100" s="1" t="s">
        <v>23</v>
      </c>
      <c r="D3100" s="1" t="str">
        <f t="shared" si="304"/>
        <v>89177328</v>
      </c>
      <c r="E3100" s="1" t="s">
        <v>24</v>
      </c>
      <c r="F3100" s="1" t="str">
        <f t="shared" si="305"/>
        <v>0010</v>
      </c>
      <c r="G3100" s="1" t="s">
        <v>24</v>
      </c>
      <c r="H3100" s="1" t="str">
        <f>"0033"</f>
        <v>0033</v>
      </c>
      <c r="I3100" s="1" t="s">
        <v>106</v>
      </c>
      <c r="J3100" s="1" t="str">
        <f>"01043977567"</f>
        <v>01043977567</v>
      </c>
      <c r="K3100" s="1" t="str">
        <f>"2017-04-19 14:14:23"</f>
        <v>2017-04-19 14:14:23</v>
      </c>
      <c r="L3100" s="1" t="str">
        <f>"2017-04-19 14:14:34"</f>
        <v>2017-04-19 14:14:34</v>
      </c>
      <c r="M3100" s="2">
        <v>4.6296296296296302E-3</v>
      </c>
      <c r="N3100" s="1" t="s">
        <v>26</v>
      </c>
      <c r="O3100" s="1" t="s">
        <v>27</v>
      </c>
      <c r="P3100" s="2">
        <v>4.7569444444444447E-3</v>
      </c>
      <c r="Q3100" s="1" t="s">
        <v>2253</v>
      </c>
      <c r="R3100" s="1">
        <v>0</v>
      </c>
      <c r="S3100" s="1" t="str">
        <f>""</f>
        <v/>
      </c>
      <c r="T3100" s="1" t="s">
        <v>2254</v>
      </c>
      <c r="U3100" s="1" t="s">
        <v>30</v>
      </c>
      <c r="V3100" s="1">
        <v>0</v>
      </c>
    </row>
    <row r="3101" spans="2:22" x14ac:dyDescent="0.15">
      <c r="B3101" s="1" t="str">
        <f>"180****3868"</f>
        <v>180****3868</v>
      </c>
      <c r="C3101" s="1" t="s">
        <v>23</v>
      </c>
      <c r="D3101" s="1" t="str">
        <f t="shared" si="304"/>
        <v>89177328</v>
      </c>
      <c r="E3101" s="1" t="s">
        <v>24</v>
      </c>
      <c r="F3101" s="1" t="str">
        <f t="shared" si="305"/>
        <v>0010</v>
      </c>
      <c r="G3101" s="1" t="s">
        <v>24</v>
      </c>
      <c r="H3101" s="1" t="str">
        <f>"0035"</f>
        <v>0035</v>
      </c>
      <c r="I3101" s="1" t="s">
        <v>25</v>
      </c>
      <c r="J3101" s="1" t="str">
        <f>"01043977569"</f>
        <v>01043977569</v>
      </c>
      <c r="K3101" s="1" t="str">
        <f>"2017-04-19 14:10:08"</f>
        <v>2017-04-19 14:10:08</v>
      </c>
      <c r="L3101" s="1" t="str">
        <f>"2017-04-19 14:10:16"</f>
        <v>2017-04-19 14:10:16</v>
      </c>
      <c r="M3101" s="2">
        <v>1.3078703703703705E-3</v>
      </c>
      <c r="N3101" s="1" t="s">
        <v>26</v>
      </c>
      <c r="O3101" s="1" t="s">
        <v>34</v>
      </c>
      <c r="P3101" s="2">
        <v>1.4004629629629629E-3</v>
      </c>
      <c r="Q3101" s="1" t="s">
        <v>2255</v>
      </c>
      <c r="R3101" s="1">
        <v>0</v>
      </c>
      <c r="S3101" s="1" t="str">
        <f>""</f>
        <v/>
      </c>
      <c r="T3101" s="1" t="s">
        <v>29</v>
      </c>
      <c r="U3101" s="1" t="s">
        <v>30</v>
      </c>
      <c r="V3101" s="1">
        <v>0</v>
      </c>
    </row>
    <row r="3102" spans="2:22" x14ac:dyDescent="0.15">
      <c r="B3102" s="1" t="str">
        <f>"187****9169"</f>
        <v>187****9169</v>
      </c>
      <c r="C3102" s="1" t="s">
        <v>23</v>
      </c>
      <c r="D3102" s="1" t="str">
        <f t="shared" si="304"/>
        <v>89177328</v>
      </c>
      <c r="E3102" s="1" t="s">
        <v>24</v>
      </c>
      <c r="F3102" s="1" t="str">
        <f t="shared" si="305"/>
        <v>0010</v>
      </c>
      <c r="G3102" s="1" t="s">
        <v>24</v>
      </c>
      <c r="H3102" s="1" t="str">
        <f>"0017"</f>
        <v>0017</v>
      </c>
      <c r="I3102" s="1" t="s">
        <v>135</v>
      </c>
      <c r="J3102" s="1" t="str">
        <f>"01043989717"</f>
        <v>01043989717</v>
      </c>
      <c r="K3102" s="1" t="str">
        <f>"2017-04-19 14:06:39"</f>
        <v>2017-04-19 14:06:39</v>
      </c>
      <c r="L3102" s="1" t="str">
        <f>"2017-04-19 14:06:48"</f>
        <v>2017-04-19 14:06:48</v>
      </c>
      <c r="M3102" s="2">
        <v>1.1064814814814814E-2</v>
      </c>
      <c r="N3102" s="1" t="s">
        <v>26</v>
      </c>
      <c r="O3102" s="1" t="s">
        <v>27</v>
      </c>
      <c r="P3102" s="2">
        <v>1.1168981481481481E-2</v>
      </c>
      <c r="Q3102" s="1" t="s">
        <v>2256</v>
      </c>
      <c r="R3102" s="1">
        <v>0</v>
      </c>
      <c r="S3102" s="1" t="str">
        <f>""</f>
        <v/>
      </c>
      <c r="T3102" s="1" t="s">
        <v>29</v>
      </c>
      <c r="U3102" s="1" t="s">
        <v>30</v>
      </c>
      <c r="V3102" s="1">
        <v>0</v>
      </c>
    </row>
    <row r="3103" spans="2:22" x14ac:dyDescent="0.15">
      <c r="B3103" s="1" t="str">
        <f>"135****0680"</f>
        <v>135****0680</v>
      </c>
      <c r="C3103" s="1" t="s">
        <v>730</v>
      </c>
      <c r="D3103" s="1" t="str">
        <f t="shared" si="304"/>
        <v>89177328</v>
      </c>
      <c r="E3103" s="1" t="s">
        <v>24</v>
      </c>
      <c r="F3103" s="1" t="str">
        <f t="shared" si="305"/>
        <v>0010</v>
      </c>
      <c r="G3103" s="1" t="s">
        <v>24</v>
      </c>
      <c r="H3103" s="1" t="str">
        <f>"0018"</f>
        <v>0018</v>
      </c>
      <c r="I3103" s="1" t="s">
        <v>36</v>
      </c>
      <c r="J3103" s="1" t="str">
        <f>"01043977572"</f>
        <v>01043977572</v>
      </c>
      <c r="K3103" s="1" t="str">
        <f>"2017-04-19 13:55:14"</f>
        <v>2017-04-19 13:55:14</v>
      </c>
      <c r="L3103" s="1" t="str">
        <f>"2017-04-19 13:55:24"</f>
        <v>2017-04-19 13:55:24</v>
      </c>
      <c r="M3103" s="2">
        <v>1.8113425925925925E-2</v>
      </c>
      <c r="N3103" s="1" t="s">
        <v>26</v>
      </c>
      <c r="O3103" s="1" t="s">
        <v>34</v>
      </c>
      <c r="P3103" s="2">
        <v>1.8229166666666668E-2</v>
      </c>
      <c r="Q3103" s="1" t="s">
        <v>2257</v>
      </c>
      <c r="R3103" s="1">
        <v>0</v>
      </c>
      <c r="S3103" s="1" t="str">
        <f>""</f>
        <v/>
      </c>
      <c r="T3103" s="1" t="s">
        <v>29</v>
      </c>
      <c r="U3103" s="1" t="s">
        <v>30</v>
      </c>
      <c r="V3103" s="1">
        <v>0</v>
      </c>
    </row>
    <row r="3104" spans="2:22" x14ac:dyDescent="0.15">
      <c r="B3104" s="1" t="str">
        <f>"155****5490"</f>
        <v>155****5490</v>
      </c>
      <c r="C3104" s="1" t="s">
        <v>81</v>
      </c>
      <c r="D3104" s="1" t="str">
        <f t="shared" si="304"/>
        <v>89177328</v>
      </c>
      <c r="E3104" s="1" t="s">
        <v>24</v>
      </c>
      <c r="F3104" s="1" t="str">
        <f t="shared" si="305"/>
        <v>0010</v>
      </c>
      <c r="G3104" s="1" t="s">
        <v>24</v>
      </c>
      <c r="H3104" s="1" t="str">
        <f>"0018"</f>
        <v>0018</v>
      </c>
      <c r="I3104" s="1" t="s">
        <v>36</v>
      </c>
      <c r="J3104" s="1" t="str">
        <f>"01043977572"</f>
        <v>01043977572</v>
      </c>
      <c r="K3104" s="1" t="str">
        <f>"2017-04-19 13:26:59"</f>
        <v>2017-04-19 13:26:59</v>
      </c>
      <c r="L3104" s="1" t="str">
        <f>"2017-04-19 13:27:08"</f>
        <v>2017-04-19 13:27:08</v>
      </c>
      <c r="M3104" s="2">
        <v>5.7870370370370366E-5</v>
      </c>
      <c r="N3104" s="1" t="s">
        <v>26</v>
      </c>
      <c r="O3104" s="1" t="s">
        <v>34</v>
      </c>
      <c r="P3104" s="2">
        <v>1.6203703703703703E-4</v>
      </c>
      <c r="Q3104" s="1" t="str">
        <f>""</f>
        <v/>
      </c>
      <c r="R3104" s="1">
        <v>0</v>
      </c>
      <c r="S3104" s="1" t="str">
        <f>""</f>
        <v/>
      </c>
      <c r="T3104" s="1" t="s">
        <v>29</v>
      </c>
      <c r="U3104" s="1" t="s">
        <v>30</v>
      </c>
      <c r="V3104" s="1">
        <v>0</v>
      </c>
    </row>
    <row r="3105" spans="2:22" x14ac:dyDescent="0.15">
      <c r="B3105" s="1" t="str">
        <f>"183****0757"</f>
        <v>183****0757</v>
      </c>
      <c r="C3105" s="1" t="s">
        <v>23</v>
      </c>
      <c r="D3105" s="1" t="str">
        <f t="shared" si="304"/>
        <v>89177328</v>
      </c>
      <c r="E3105" s="1" t="s">
        <v>24</v>
      </c>
      <c r="F3105" s="1" t="str">
        <f t="shared" si="305"/>
        <v>0010</v>
      </c>
      <c r="G3105" s="1" t="s">
        <v>24</v>
      </c>
      <c r="H3105" s="1" t="str">
        <f>"0017"</f>
        <v>0017</v>
      </c>
      <c r="I3105" s="1" t="s">
        <v>135</v>
      </c>
      <c r="J3105" s="1" t="str">
        <f>"01043989717"</f>
        <v>01043989717</v>
      </c>
      <c r="K3105" s="1" t="str">
        <f>"2017-04-19 13:19:19"</f>
        <v>2017-04-19 13:19:19</v>
      </c>
      <c r="L3105" s="1" t="str">
        <f>"2017-04-19 13:19:27"</f>
        <v>2017-04-19 13:19:27</v>
      </c>
      <c r="M3105" s="2">
        <v>2.7777777777777778E-4</v>
      </c>
      <c r="N3105" s="1" t="s">
        <v>26</v>
      </c>
      <c r="O3105" s="1" t="s">
        <v>27</v>
      </c>
      <c r="P3105" s="2">
        <v>3.7037037037037035E-4</v>
      </c>
      <c r="Q3105" s="1" t="s">
        <v>2258</v>
      </c>
      <c r="R3105" s="1">
        <v>0</v>
      </c>
      <c r="S3105" s="1" t="str">
        <f>""</f>
        <v/>
      </c>
      <c r="T3105" s="1" t="s">
        <v>29</v>
      </c>
      <c r="U3105" s="1" t="s">
        <v>30</v>
      </c>
      <c r="V3105" s="1">
        <v>0</v>
      </c>
    </row>
    <row r="3106" spans="2:22" x14ac:dyDescent="0.15">
      <c r="B3106" s="1" t="str">
        <f>"136****3903"</f>
        <v>136****3903</v>
      </c>
      <c r="C3106" s="1" t="s">
        <v>23</v>
      </c>
      <c r="D3106" s="1" t="str">
        <f t="shared" si="304"/>
        <v>89177328</v>
      </c>
      <c r="E3106" s="1" t="s">
        <v>24</v>
      </c>
      <c r="F3106" s="1" t="str">
        <f t="shared" si="305"/>
        <v>0010</v>
      </c>
      <c r="G3106" s="1" t="s">
        <v>24</v>
      </c>
      <c r="H3106" s="1" t="str">
        <f>"0018"</f>
        <v>0018</v>
      </c>
      <c r="I3106" s="1" t="s">
        <v>36</v>
      </c>
      <c r="J3106" s="1" t="str">
        <f>"01043977572"</f>
        <v>01043977572</v>
      </c>
      <c r="K3106" s="1" t="str">
        <f>"2017-04-19 13:11:30"</f>
        <v>2017-04-19 13:11:30</v>
      </c>
      <c r="L3106" s="1" t="str">
        <f>"-"</f>
        <v>-</v>
      </c>
      <c r="M3106" s="2">
        <v>0</v>
      </c>
      <c r="N3106" s="1" t="s">
        <v>33</v>
      </c>
      <c r="O3106" s="1" t="s">
        <v>34</v>
      </c>
      <c r="P3106" s="2">
        <v>2.3148148148148147E-5</v>
      </c>
      <c r="Q3106" s="1" t="str">
        <f>""</f>
        <v/>
      </c>
      <c r="R3106" s="1">
        <v>0</v>
      </c>
      <c r="S3106" s="1" t="str">
        <f>""</f>
        <v/>
      </c>
      <c r="T3106" s="1" t="s">
        <v>29</v>
      </c>
      <c r="U3106" s="1" t="s">
        <v>30</v>
      </c>
      <c r="V3106" s="1">
        <v>0</v>
      </c>
    </row>
    <row r="3107" spans="2:22" x14ac:dyDescent="0.15">
      <c r="B3107" s="1" t="str">
        <f>"186****2714"</f>
        <v>186****2714</v>
      </c>
      <c r="C3107" s="1" t="s">
        <v>113</v>
      </c>
      <c r="D3107" s="1" t="str">
        <f t="shared" si="304"/>
        <v>89177328</v>
      </c>
      <c r="E3107" s="1" t="s">
        <v>24</v>
      </c>
      <c r="F3107" s="1" t="str">
        <f t="shared" si="305"/>
        <v>0010</v>
      </c>
      <c r="G3107" s="1" t="s">
        <v>24</v>
      </c>
      <c r="H3107" s="1" t="str">
        <f>"0017"</f>
        <v>0017</v>
      </c>
      <c r="I3107" s="1" t="s">
        <v>135</v>
      </c>
      <c r="J3107" s="1" t="str">
        <f>"01043989717"</f>
        <v>01043989717</v>
      </c>
      <c r="K3107" s="1" t="str">
        <f>"2017-04-19 12:46:59"</f>
        <v>2017-04-19 12:46:59</v>
      </c>
      <c r="L3107" s="1" t="str">
        <f>"-"</f>
        <v>-</v>
      </c>
      <c r="M3107" s="2">
        <v>0</v>
      </c>
      <c r="N3107" s="1" t="s">
        <v>33</v>
      </c>
      <c r="O3107" s="1" t="s">
        <v>34</v>
      </c>
      <c r="P3107" s="2">
        <v>2.3148148148148147E-5</v>
      </c>
      <c r="Q3107" s="1" t="str">
        <f>""</f>
        <v/>
      </c>
      <c r="R3107" s="1">
        <v>0</v>
      </c>
      <c r="S3107" s="1" t="str">
        <f>""</f>
        <v/>
      </c>
      <c r="T3107" s="1" t="s">
        <v>29</v>
      </c>
      <c r="U3107" s="1" t="s">
        <v>30</v>
      </c>
      <c r="V3107" s="1">
        <v>0</v>
      </c>
    </row>
    <row r="3108" spans="2:22" x14ac:dyDescent="0.15">
      <c r="B3108" s="1" t="str">
        <f>"136****3337"</f>
        <v>136****3337</v>
      </c>
      <c r="C3108" s="1" t="s">
        <v>94</v>
      </c>
      <c r="D3108" s="1" t="str">
        <f>"4000108333"</f>
        <v>4000108333</v>
      </c>
      <c r="E3108" s="1" t="s">
        <v>53</v>
      </c>
      <c r="F3108" s="1" t="str">
        <f>"0000"</f>
        <v>0000</v>
      </c>
      <c r="G3108" s="1" t="s">
        <v>53</v>
      </c>
      <c r="H3108" s="1" t="str">
        <f>"1012"</f>
        <v>1012</v>
      </c>
      <c r="I3108" s="1" t="s">
        <v>54</v>
      </c>
      <c r="J3108" s="1" t="str">
        <f>"13611040764"</f>
        <v>13611040764</v>
      </c>
      <c r="K3108" s="1" t="str">
        <f>"2017-04-19 12:43:15"</f>
        <v>2017-04-19 12:43:15</v>
      </c>
      <c r="L3108" s="1" t="str">
        <f>"-"</f>
        <v>-</v>
      </c>
      <c r="M3108" s="2">
        <v>0</v>
      </c>
      <c r="N3108" s="1" t="s">
        <v>33</v>
      </c>
      <c r="O3108" s="1" t="s">
        <v>34</v>
      </c>
      <c r="P3108" s="2">
        <v>7.8703703703703705E-4</v>
      </c>
      <c r="Q3108" s="1" t="str">
        <f>""</f>
        <v/>
      </c>
      <c r="R3108" s="1">
        <v>0.24</v>
      </c>
      <c r="S3108" s="1" t="str">
        <f>""</f>
        <v/>
      </c>
      <c r="T3108" s="1" t="s">
        <v>29</v>
      </c>
      <c r="U3108" s="1" t="s">
        <v>30</v>
      </c>
      <c r="V3108" s="1">
        <v>0</v>
      </c>
    </row>
    <row r="3109" spans="2:22" x14ac:dyDescent="0.15">
      <c r="B3109" s="1" t="str">
        <f>"182****0983"</f>
        <v>182****0983</v>
      </c>
      <c r="C3109" s="1" t="s">
        <v>269</v>
      </c>
      <c r="D3109" s="1" t="str">
        <f t="shared" ref="D3109:D3129" si="306">"89177328"</f>
        <v>89177328</v>
      </c>
      <c r="E3109" s="1" t="s">
        <v>24</v>
      </c>
      <c r="F3109" s="1" t="str">
        <f>"0010"</f>
        <v>0010</v>
      </c>
      <c r="G3109" s="1" t="s">
        <v>24</v>
      </c>
      <c r="H3109" s="1" t="str">
        <f>"0034"</f>
        <v>0034</v>
      </c>
      <c r="I3109" s="1" t="s">
        <v>31</v>
      </c>
      <c r="J3109" s="1" t="str">
        <f>"01043977568"</f>
        <v>01043977568</v>
      </c>
      <c r="K3109" s="1" t="str">
        <f>"2017-04-19 11:59:38"</f>
        <v>2017-04-19 11:59:38</v>
      </c>
      <c r="L3109" s="1" t="str">
        <f>"2017-04-19 11:59:50"</f>
        <v>2017-04-19 11:59:50</v>
      </c>
      <c r="M3109" s="2">
        <v>3.483796296296296E-3</v>
      </c>
      <c r="N3109" s="1" t="s">
        <v>26</v>
      </c>
      <c r="O3109" s="1" t="s">
        <v>27</v>
      </c>
      <c r="P3109" s="2">
        <v>3.6226851851851854E-3</v>
      </c>
      <c r="Q3109" s="1" t="s">
        <v>2259</v>
      </c>
      <c r="R3109" s="1">
        <v>0</v>
      </c>
      <c r="S3109" s="1" t="str">
        <f>""</f>
        <v/>
      </c>
      <c r="T3109" s="1" t="s">
        <v>29</v>
      </c>
      <c r="U3109" s="1" t="s">
        <v>30</v>
      </c>
      <c r="V3109" s="1">
        <v>0</v>
      </c>
    </row>
    <row r="3110" spans="2:22" x14ac:dyDescent="0.15">
      <c r="B3110" s="1" t="str">
        <f>"188****2578"</f>
        <v>188****2578</v>
      </c>
      <c r="C3110" s="1" t="s">
        <v>23</v>
      </c>
      <c r="D3110" s="1" t="str">
        <f t="shared" si="306"/>
        <v>89177328</v>
      </c>
      <c r="E3110" s="1" t="s">
        <v>24</v>
      </c>
      <c r="F3110" s="1" t="str">
        <f>"0010"</f>
        <v>0010</v>
      </c>
      <c r="G3110" s="1" t="s">
        <v>24</v>
      </c>
      <c r="H3110" s="1" t="str">
        <f>"0034"</f>
        <v>0034</v>
      </c>
      <c r="I3110" s="1" t="s">
        <v>31</v>
      </c>
      <c r="J3110" s="1" t="str">
        <f>"01043977568"</f>
        <v>01043977568</v>
      </c>
      <c r="K3110" s="1" t="str">
        <f>"2017-04-19 11:40:39"</f>
        <v>2017-04-19 11:40:39</v>
      </c>
      <c r="L3110" s="1" t="str">
        <f>"2017-04-19 11:40:49"</f>
        <v>2017-04-19 11:40:49</v>
      </c>
      <c r="M3110" s="2">
        <v>3.9583333333333337E-3</v>
      </c>
      <c r="N3110" s="1" t="s">
        <v>26</v>
      </c>
      <c r="O3110" s="1" t="s">
        <v>34</v>
      </c>
      <c r="P3110" s="2">
        <v>4.0740740740740746E-3</v>
      </c>
      <c r="Q3110" s="1" t="s">
        <v>2260</v>
      </c>
      <c r="R3110" s="1">
        <v>0</v>
      </c>
      <c r="S3110" s="1" t="str">
        <f>""</f>
        <v/>
      </c>
      <c r="T3110" s="1" t="s">
        <v>29</v>
      </c>
      <c r="U3110" s="1" t="s">
        <v>30</v>
      </c>
      <c r="V3110" s="1">
        <v>0</v>
      </c>
    </row>
    <row r="3111" spans="2:22" x14ac:dyDescent="0.15">
      <c r="B3111" s="1" t="str">
        <f>"189****8537"</f>
        <v>189****8537</v>
      </c>
      <c r="C3111" s="1" t="s">
        <v>170</v>
      </c>
      <c r="D3111" s="1" t="str">
        <f t="shared" si="306"/>
        <v>89177328</v>
      </c>
      <c r="E3111" s="1" t="s">
        <v>24</v>
      </c>
      <c r="F3111" s="1" t="str">
        <f>"0010"</f>
        <v>0010</v>
      </c>
      <c r="G3111" s="1" t="s">
        <v>24</v>
      </c>
      <c r="H3111" s="1" t="str">
        <f>"0033"</f>
        <v>0033</v>
      </c>
      <c r="I3111" s="1" t="s">
        <v>106</v>
      </c>
      <c r="J3111" s="1" t="str">
        <f>"01043977567"</f>
        <v>01043977567</v>
      </c>
      <c r="K3111" s="1" t="str">
        <f>"2017-04-19 11:28:13"</f>
        <v>2017-04-19 11:28:13</v>
      </c>
      <c r="L3111" s="1" t="str">
        <f>"2017-04-19 11:28:23"</f>
        <v>2017-04-19 11:28:23</v>
      </c>
      <c r="M3111" s="2">
        <v>1.4756944444444446E-2</v>
      </c>
      <c r="N3111" s="1" t="s">
        <v>26</v>
      </c>
      <c r="O3111" s="1" t="s">
        <v>27</v>
      </c>
      <c r="P3111" s="2">
        <v>1.4872685185185185E-2</v>
      </c>
      <c r="Q3111" s="1" t="s">
        <v>2261</v>
      </c>
      <c r="R3111" s="1">
        <v>0</v>
      </c>
      <c r="S3111" s="1" t="str">
        <f>""</f>
        <v/>
      </c>
      <c r="T3111" s="1" t="s">
        <v>29</v>
      </c>
      <c r="U3111" s="1" t="s">
        <v>30</v>
      </c>
      <c r="V3111" s="1">
        <v>0</v>
      </c>
    </row>
    <row r="3112" spans="2:22" x14ac:dyDescent="0.15">
      <c r="B3112" s="1" t="str">
        <f>"186****6972"</f>
        <v>186****6972</v>
      </c>
      <c r="C3112" s="1" t="s">
        <v>69</v>
      </c>
      <c r="D3112" s="1" t="str">
        <f t="shared" si="306"/>
        <v>89177328</v>
      </c>
      <c r="E3112" s="1" t="s">
        <v>24</v>
      </c>
      <c r="F3112" s="1" t="str">
        <f>"0010"</f>
        <v>0010</v>
      </c>
      <c r="G3112" s="1" t="s">
        <v>24</v>
      </c>
      <c r="H3112" s="1" t="str">
        <f>"0032"</f>
        <v>0032</v>
      </c>
      <c r="I3112" s="1" t="s">
        <v>119</v>
      </c>
      <c r="J3112" s="1" t="str">
        <f>"01043977566"</f>
        <v>01043977566</v>
      </c>
      <c r="K3112" s="1" t="str">
        <f>"2017-04-19 11:13:04"</f>
        <v>2017-04-19 11:13:04</v>
      </c>
      <c r="L3112" s="1" t="str">
        <f>"2017-04-19 11:13:19"</f>
        <v>2017-04-19 11:13:19</v>
      </c>
      <c r="M3112" s="2">
        <v>2.0752314814814814E-2</v>
      </c>
      <c r="N3112" s="1" t="s">
        <v>26</v>
      </c>
      <c r="O3112" s="1" t="s">
        <v>34</v>
      </c>
      <c r="P3112" s="2">
        <v>2.0925925925925928E-2</v>
      </c>
      <c r="Q3112" s="1" t="s">
        <v>2262</v>
      </c>
      <c r="R3112" s="1">
        <v>0</v>
      </c>
      <c r="S3112" s="1" t="str">
        <f>""</f>
        <v/>
      </c>
      <c r="T3112" s="1" t="s">
        <v>29</v>
      </c>
      <c r="U3112" s="1" t="s">
        <v>30</v>
      </c>
      <c r="V3112" s="1">
        <v>0</v>
      </c>
    </row>
    <row r="3113" spans="2:22" x14ac:dyDescent="0.15">
      <c r="B3113" s="1" t="str">
        <f>"010****1932"</f>
        <v>010****1932</v>
      </c>
      <c r="C3113" s="1" t="s">
        <v>23</v>
      </c>
      <c r="D3113" s="1" t="str">
        <f t="shared" si="306"/>
        <v>89177328</v>
      </c>
      <c r="E3113" s="1" t="s">
        <v>24</v>
      </c>
      <c r="F3113" s="1" t="str">
        <f>"0010"</f>
        <v>0010</v>
      </c>
      <c r="G3113" s="1" t="s">
        <v>24</v>
      </c>
      <c r="H3113" s="1" t="str">
        <f>"0018"</f>
        <v>0018</v>
      </c>
      <c r="I3113" s="1" t="s">
        <v>36</v>
      </c>
      <c r="J3113" s="1" t="str">
        <f>"01043977572"</f>
        <v>01043977572</v>
      </c>
      <c r="K3113" s="1" t="str">
        <f>"2017-04-19 11:11:40"</f>
        <v>2017-04-19 11:11:40</v>
      </c>
      <c r="L3113" s="1" t="str">
        <f>"2017-04-19 11:11:50"</f>
        <v>2017-04-19 11:11:50</v>
      </c>
      <c r="M3113" s="2">
        <v>6.0185185185185177E-3</v>
      </c>
      <c r="N3113" s="1" t="s">
        <v>26</v>
      </c>
      <c r="O3113" s="1" t="s">
        <v>34</v>
      </c>
      <c r="P3113" s="2">
        <v>6.1342592592592594E-3</v>
      </c>
      <c r="Q3113" s="1" t="s">
        <v>2263</v>
      </c>
      <c r="R3113" s="1">
        <v>0</v>
      </c>
      <c r="S3113" s="1" t="str">
        <f>""</f>
        <v/>
      </c>
      <c r="T3113" s="1" t="s">
        <v>29</v>
      </c>
      <c r="U3113" s="1" t="s">
        <v>30</v>
      </c>
      <c r="V3113" s="1">
        <v>0</v>
      </c>
    </row>
    <row r="3114" spans="2:22" x14ac:dyDescent="0.15">
      <c r="B3114" s="1" t="str">
        <f>"139****8727"</f>
        <v>139****8727</v>
      </c>
      <c r="C3114" s="1" t="s">
        <v>23</v>
      </c>
      <c r="D3114" s="1" t="str">
        <f t="shared" si="306"/>
        <v>89177328</v>
      </c>
      <c r="E3114" s="1" t="s">
        <v>24</v>
      </c>
      <c r="F3114" s="1" t="str">
        <f>"0011"</f>
        <v>0011</v>
      </c>
      <c r="G3114" s="1" t="s">
        <v>301</v>
      </c>
      <c r="H3114" s="1" t="str">
        <f>"0010"</f>
        <v>0010</v>
      </c>
      <c r="I3114" s="1" t="s">
        <v>71</v>
      </c>
      <c r="J3114" s="1" t="str">
        <f>"01043977571"</f>
        <v>01043977571</v>
      </c>
      <c r="K3114" s="1" t="str">
        <f>"2017-04-19 10:58:24"</f>
        <v>2017-04-19 10:58:24</v>
      </c>
      <c r="L3114" s="1" t="str">
        <f>"2017-04-19 10:58:33"</f>
        <v>2017-04-19 10:58:33</v>
      </c>
      <c r="M3114" s="2">
        <v>2.238425925925926E-2</v>
      </c>
      <c r="N3114" s="1" t="s">
        <v>26</v>
      </c>
      <c r="O3114" s="1" t="s">
        <v>27</v>
      </c>
      <c r="P3114" s="2">
        <v>2.2488425925925926E-2</v>
      </c>
      <c r="Q3114" s="1" t="s">
        <v>2264</v>
      </c>
      <c r="R3114" s="1">
        <v>0</v>
      </c>
      <c r="S3114" s="1" t="str">
        <f>""</f>
        <v/>
      </c>
      <c r="T3114" s="1" t="s">
        <v>337</v>
      </c>
      <c r="U3114" s="1" t="s">
        <v>30</v>
      </c>
      <c r="V3114" s="1">
        <v>0</v>
      </c>
    </row>
    <row r="3115" spans="2:22" x14ac:dyDescent="0.15">
      <c r="B3115" s="1" t="str">
        <f>"138****2913"</f>
        <v>138****2913</v>
      </c>
      <c r="C3115" s="1" t="s">
        <v>23</v>
      </c>
      <c r="D3115" s="1" t="str">
        <f t="shared" si="306"/>
        <v>89177328</v>
      </c>
      <c r="E3115" s="1" t="s">
        <v>24</v>
      </c>
      <c r="F3115" s="1" t="str">
        <f t="shared" ref="F3115:F3129" si="307">"0010"</f>
        <v>0010</v>
      </c>
      <c r="G3115" s="1" t="s">
        <v>24</v>
      </c>
      <c r="H3115" s="1" t="str">
        <f>"0032"</f>
        <v>0032</v>
      </c>
      <c r="I3115" s="1" t="s">
        <v>119</v>
      </c>
      <c r="J3115" s="1" t="str">
        <f>"01043977566"</f>
        <v>01043977566</v>
      </c>
      <c r="K3115" s="1" t="str">
        <f>"2017-04-19 10:58:15"</f>
        <v>2017-04-19 10:58:15</v>
      </c>
      <c r="L3115" s="1" t="str">
        <f>"2017-04-19 10:58:28"</f>
        <v>2017-04-19 10:58:28</v>
      </c>
      <c r="M3115" s="2">
        <v>2.4652777777777776E-3</v>
      </c>
      <c r="N3115" s="1" t="s">
        <v>26</v>
      </c>
      <c r="O3115" s="1" t="s">
        <v>27</v>
      </c>
      <c r="P3115" s="2">
        <v>2.615740740740741E-3</v>
      </c>
      <c r="Q3115" s="1" t="s">
        <v>2265</v>
      </c>
      <c r="R3115" s="1">
        <v>0</v>
      </c>
      <c r="S3115" s="1" t="str">
        <f>""</f>
        <v/>
      </c>
      <c r="T3115" s="1" t="s">
        <v>29</v>
      </c>
      <c r="U3115" s="1" t="s">
        <v>30</v>
      </c>
      <c r="V3115" s="1">
        <v>0</v>
      </c>
    </row>
    <row r="3116" spans="2:22" x14ac:dyDescent="0.15">
      <c r="B3116" s="1" t="str">
        <f>"010****0997"</f>
        <v>010****0997</v>
      </c>
      <c r="C3116" s="1" t="s">
        <v>23</v>
      </c>
      <c r="D3116" s="1" t="str">
        <f t="shared" si="306"/>
        <v>89177328</v>
      </c>
      <c r="E3116" s="1" t="s">
        <v>24</v>
      </c>
      <c r="F3116" s="1" t="str">
        <f t="shared" si="307"/>
        <v>0010</v>
      </c>
      <c r="G3116" s="1" t="s">
        <v>24</v>
      </c>
      <c r="H3116" s="1" t="str">
        <f>"0034"</f>
        <v>0034</v>
      </c>
      <c r="I3116" s="1" t="s">
        <v>31</v>
      </c>
      <c r="J3116" s="1" t="str">
        <f>"01043977568"</f>
        <v>01043977568</v>
      </c>
      <c r="K3116" s="1" t="str">
        <f>"2017-04-19 10:54:31"</f>
        <v>2017-04-19 10:54:31</v>
      </c>
      <c r="L3116" s="1" t="str">
        <f>"2017-04-19 10:54:39"</f>
        <v>2017-04-19 10:54:39</v>
      </c>
      <c r="M3116" s="2">
        <v>2.8587962962962963E-3</v>
      </c>
      <c r="N3116" s="1" t="s">
        <v>26</v>
      </c>
      <c r="O3116" s="1" t="s">
        <v>27</v>
      </c>
      <c r="P3116" s="2">
        <v>2.9513888888888888E-3</v>
      </c>
      <c r="Q3116" s="1" t="s">
        <v>2266</v>
      </c>
      <c r="R3116" s="1">
        <v>0</v>
      </c>
      <c r="S3116" s="1" t="str">
        <f>""</f>
        <v/>
      </c>
      <c r="T3116" s="1" t="s">
        <v>29</v>
      </c>
      <c r="U3116" s="1" t="s">
        <v>30</v>
      </c>
      <c r="V3116" s="1">
        <v>0</v>
      </c>
    </row>
    <row r="3117" spans="2:22" x14ac:dyDescent="0.15">
      <c r="B3117" s="1" t="str">
        <f>"138****3437"</f>
        <v>138****3437</v>
      </c>
      <c r="C3117" s="1" t="s">
        <v>2229</v>
      </c>
      <c r="D3117" s="1" t="str">
        <f t="shared" si="306"/>
        <v>89177328</v>
      </c>
      <c r="E3117" s="1" t="s">
        <v>24</v>
      </c>
      <c r="F3117" s="1" t="str">
        <f t="shared" si="307"/>
        <v>0010</v>
      </c>
      <c r="G3117" s="1" t="s">
        <v>24</v>
      </c>
      <c r="H3117" s="1" t="str">
        <f>"0032"</f>
        <v>0032</v>
      </c>
      <c r="I3117" s="1" t="s">
        <v>119</v>
      </c>
      <c r="J3117" s="1" t="str">
        <f>"01043977566"</f>
        <v>01043977566</v>
      </c>
      <c r="K3117" s="1" t="str">
        <f>"2017-04-19 10:51:15"</f>
        <v>2017-04-19 10:51:15</v>
      </c>
      <c r="L3117" s="1" t="str">
        <f>"2017-04-19 10:51:27"</f>
        <v>2017-04-19 10:51:27</v>
      </c>
      <c r="M3117" s="2">
        <v>1.2962962962962963E-3</v>
      </c>
      <c r="N3117" s="1" t="s">
        <v>26</v>
      </c>
      <c r="O3117" s="1" t="s">
        <v>34</v>
      </c>
      <c r="P3117" s="2">
        <v>1.4351851851851854E-3</v>
      </c>
      <c r="Q3117" s="1" t="s">
        <v>2267</v>
      </c>
      <c r="R3117" s="1">
        <v>0</v>
      </c>
      <c r="S3117" s="1" t="str">
        <f>""</f>
        <v/>
      </c>
      <c r="T3117" s="1" t="s">
        <v>29</v>
      </c>
      <c r="U3117" s="1" t="s">
        <v>30</v>
      </c>
      <c r="V3117" s="1">
        <v>0</v>
      </c>
    </row>
    <row r="3118" spans="2:22" x14ac:dyDescent="0.15">
      <c r="B3118" s="1" t="str">
        <f>"139****5999"</f>
        <v>139****5999</v>
      </c>
      <c r="C3118" s="1" t="s">
        <v>51</v>
      </c>
      <c r="D3118" s="1" t="str">
        <f t="shared" si="306"/>
        <v>89177328</v>
      </c>
      <c r="E3118" s="1" t="s">
        <v>24</v>
      </c>
      <c r="F3118" s="1" t="str">
        <f t="shared" si="307"/>
        <v>0010</v>
      </c>
      <c r="G3118" s="1" t="s">
        <v>24</v>
      </c>
      <c r="H3118" s="1" t="str">
        <f>"0018"</f>
        <v>0018</v>
      </c>
      <c r="I3118" s="1" t="s">
        <v>36</v>
      </c>
      <c r="J3118" s="1" t="str">
        <f>"01043977572"</f>
        <v>01043977572</v>
      </c>
      <c r="K3118" s="1" t="str">
        <f>"2017-04-19 10:46:16"</f>
        <v>2017-04-19 10:46:16</v>
      </c>
      <c r="L3118" s="1" t="str">
        <f>"2017-04-19 10:46:26"</f>
        <v>2017-04-19 10:46:26</v>
      </c>
      <c r="M3118" s="2">
        <v>1.0798611111111111E-2</v>
      </c>
      <c r="N3118" s="1" t="s">
        <v>26</v>
      </c>
      <c r="O3118" s="1" t="s">
        <v>34</v>
      </c>
      <c r="P3118" s="2">
        <v>1.091435185185185E-2</v>
      </c>
      <c r="Q3118" s="1" t="s">
        <v>2268</v>
      </c>
      <c r="R3118" s="1">
        <v>0</v>
      </c>
      <c r="S3118" s="1" t="str">
        <f>""</f>
        <v/>
      </c>
      <c r="T3118" s="1" t="s">
        <v>29</v>
      </c>
      <c r="U3118" s="1" t="s">
        <v>30</v>
      </c>
      <c r="V3118" s="1">
        <v>0</v>
      </c>
    </row>
    <row r="3119" spans="2:22" x14ac:dyDescent="0.15">
      <c r="B3119" s="1" t="str">
        <f>"010****4099"</f>
        <v>010****4099</v>
      </c>
      <c r="C3119" s="1" t="s">
        <v>23</v>
      </c>
      <c r="D3119" s="1" t="str">
        <f t="shared" si="306"/>
        <v>89177328</v>
      </c>
      <c r="E3119" s="1" t="s">
        <v>24</v>
      </c>
      <c r="F3119" s="1" t="str">
        <f t="shared" si="307"/>
        <v>0010</v>
      </c>
      <c r="G3119" s="1" t="s">
        <v>24</v>
      </c>
      <c r="H3119" s="1" t="str">
        <f>"0032"</f>
        <v>0032</v>
      </c>
      <c r="I3119" s="1" t="s">
        <v>119</v>
      </c>
      <c r="J3119" s="1" t="str">
        <f>"01043977566"</f>
        <v>01043977566</v>
      </c>
      <c r="K3119" s="1" t="str">
        <f>"2017-04-19 10:24:32"</f>
        <v>2017-04-19 10:24:32</v>
      </c>
      <c r="L3119" s="1" t="str">
        <f>"2017-04-19 10:24:42"</f>
        <v>2017-04-19 10:24:42</v>
      </c>
      <c r="M3119" s="2">
        <v>1.4467592592592594E-3</v>
      </c>
      <c r="N3119" s="1" t="s">
        <v>26</v>
      </c>
      <c r="O3119" s="1" t="s">
        <v>34</v>
      </c>
      <c r="P3119" s="2">
        <v>1.5624999999999999E-3</v>
      </c>
      <c r="Q3119" s="1" t="s">
        <v>2269</v>
      </c>
      <c r="R3119" s="1">
        <v>0</v>
      </c>
      <c r="S3119" s="1" t="str">
        <f>""</f>
        <v/>
      </c>
      <c r="T3119" s="1" t="s">
        <v>29</v>
      </c>
      <c r="U3119" s="1" t="s">
        <v>30</v>
      </c>
      <c r="V3119" s="1">
        <v>0</v>
      </c>
    </row>
    <row r="3120" spans="2:22" x14ac:dyDescent="0.15">
      <c r="B3120" s="1" t="str">
        <f>"010****1231"</f>
        <v>010****1231</v>
      </c>
      <c r="C3120" s="1" t="s">
        <v>23</v>
      </c>
      <c r="D3120" s="1" t="str">
        <f t="shared" si="306"/>
        <v>89177328</v>
      </c>
      <c r="E3120" s="1" t="s">
        <v>24</v>
      </c>
      <c r="F3120" s="1" t="str">
        <f t="shared" si="307"/>
        <v>0010</v>
      </c>
      <c r="G3120" s="1" t="s">
        <v>24</v>
      </c>
      <c r="H3120" s="1" t="str">
        <f>"0036"</f>
        <v>0036</v>
      </c>
      <c r="I3120" s="1" t="s">
        <v>143</v>
      </c>
      <c r="J3120" s="1" t="str">
        <f>"01043977573"</f>
        <v>01043977573</v>
      </c>
      <c r="K3120" s="1" t="str">
        <f>"2017-04-19 10:23:22"</f>
        <v>2017-04-19 10:23:22</v>
      </c>
      <c r="L3120" s="1" t="str">
        <f>"2017-04-19 10:23:28"</f>
        <v>2017-04-19 10:23:28</v>
      </c>
      <c r="M3120" s="2">
        <v>1.3599537037037037E-2</v>
      </c>
      <c r="N3120" s="1" t="s">
        <v>26</v>
      </c>
      <c r="O3120" s="1" t="s">
        <v>34</v>
      </c>
      <c r="P3120" s="2">
        <v>1.3668981481481482E-2</v>
      </c>
      <c r="Q3120" s="1" t="s">
        <v>2270</v>
      </c>
      <c r="R3120" s="1">
        <v>0</v>
      </c>
      <c r="S3120" s="1" t="str">
        <f>""</f>
        <v/>
      </c>
      <c r="T3120" s="1" t="s">
        <v>29</v>
      </c>
      <c r="U3120" s="1" t="s">
        <v>30</v>
      </c>
      <c r="V3120" s="1">
        <v>0</v>
      </c>
    </row>
    <row r="3121" spans="2:22" x14ac:dyDescent="0.15">
      <c r="B3121" s="1" t="str">
        <f>"157****4678"</f>
        <v>157****4678</v>
      </c>
      <c r="C3121" s="1" t="s">
        <v>23</v>
      </c>
      <c r="D3121" s="1" t="str">
        <f t="shared" si="306"/>
        <v>89177328</v>
      </c>
      <c r="E3121" s="1" t="s">
        <v>24</v>
      </c>
      <c r="F3121" s="1" t="str">
        <f t="shared" si="307"/>
        <v>0010</v>
      </c>
      <c r="G3121" s="1" t="s">
        <v>24</v>
      </c>
      <c r="H3121" s="1" t="str">
        <f>"0032"</f>
        <v>0032</v>
      </c>
      <c r="I3121" s="1" t="s">
        <v>119</v>
      </c>
      <c r="J3121" s="1" t="str">
        <f>"01043977566"</f>
        <v>01043977566</v>
      </c>
      <c r="K3121" s="1" t="str">
        <f>"2017-04-19 10:22:01"</f>
        <v>2017-04-19 10:22:01</v>
      </c>
      <c r="L3121" s="1" t="str">
        <f>"2017-04-19 10:22:05"</f>
        <v>2017-04-19 10:22:05</v>
      </c>
      <c r="M3121" s="2">
        <v>1.5046296296296297E-4</v>
      </c>
      <c r="N3121" s="1" t="s">
        <v>26</v>
      </c>
      <c r="O3121" s="1" t="s">
        <v>34</v>
      </c>
      <c r="P3121" s="2">
        <v>1.9675925925925926E-4</v>
      </c>
      <c r="Q3121" s="1" t="s">
        <v>2271</v>
      </c>
      <c r="R3121" s="1">
        <v>0</v>
      </c>
      <c r="S3121" s="1" t="str">
        <f>""</f>
        <v/>
      </c>
      <c r="T3121" s="1" t="s">
        <v>29</v>
      </c>
      <c r="U3121" s="1" t="s">
        <v>30</v>
      </c>
      <c r="V3121" s="1">
        <v>0</v>
      </c>
    </row>
    <row r="3122" spans="2:22" x14ac:dyDescent="0.15">
      <c r="B3122" s="1" t="str">
        <f>"180****2926"</f>
        <v>180****2926</v>
      </c>
      <c r="C3122" s="1" t="s">
        <v>105</v>
      </c>
      <c r="D3122" s="1" t="str">
        <f t="shared" si="306"/>
        <v>89177328</v>
      </c>
      <c r="E3122" s="1" t="s">
        <v>24</v>
      </c>
      <c r="F3122" s="1" t="str">
        <f t="shared" si="307"/>
        <v>0010</v>
      </c>
      <c r="G3122" s="1" t="s">
        <v>24</v>
      </c>
      <c r="H3122" s="1" t="str">
        <f>"0034"</f>
        <v>0034</v>
      </c>
      <c r="I3122" s="1" t="s">
        <v>31</v>
      </c>
      <c r="J3122" s="1" t="str">
        <f>"01043977568"</f>
        <v>01043977568</v>
      </c>
      <c r="K3122" s="1" t="str">
        <f>"2017-04-19 10:13:02"</f>
        <v>2017-04-19 10:13:02</v>
      </c>
      <c r="L3122" s="1" t="str">
        <f>"2017-04-19 10:13:14"</f>
        <v>2017-04-19 10:13:14</v>
      </c>
      <c r="M3122" s="2">
        <v>4.6759259259259263E-3</v>
      </c>
      <c r="N3122" s="1" t="s">
        <v>26</v>
      </c>
      <c r="O3122" s="1" t="s">
        <v>27</v>
      </c>
      <c r="P3122" s="2">
        <v>4.8148148148148152E-3</v>
      </c>
      <c r="Q3122" s="1" t="s">
        <v>2272</v>
      </c>
      <c r="R3122" s="1">
        <v>0</v>
      </c>
      <c r="S3122" s="1" t="str">
        <f>""</f>
        <v/>
      </c>
      <c r="T3122" s="1" t="s">
        <v>29</v>
      </c>
      <c r="U3122" s="1" t="s">
        <v>30</v>
      </c>
      <c r="V3122" s="1">
        <v>0</v>
      </c>
    </row>
    <row r="3123" spans="2:22" x14ac:dyDescent="0.15">
      <c r="B3123" s="1" t="str">
        <f>"151****8729"</f>
        <v>151****8729</v>
      </c>
      <c r="C3123" s="1" t="s">
        <v>23</v>
      </c>
      <c r="D3123" s="1" t="str">
        <f t="shared" si="306"/>
        <v>89177328</v>
      </c>
      <c r="E3123" s="1" t="s">
        <v>24</v>
      </c>
      <c r="F3123" s="1" t="str">
        <f t="shared" si="307"/>
        <v>0010</v>
      </c>
      <c r="G3123" s="1" t="s">
        <v>24</v>
      </c>
      <c r="H3123" s="1" t="str">
        <f>"0032"</f>
        <v>0032</v>
      </c>
      <c r="I3123" s="1" t="s">
        <v>119</v>
      </c>
      <c r="J3123" s="1" t="str">
        <f>"01043977566"</f>
        <v>01043977566</v>
      </c>
      <c r="K3123" s="1" t="str">
        <f>"2017-04-19 10:10:51"</f>
        <v>2017-04-19 10:10:51</v>
      </c>
      <c r="L3123" s="1" t="str">
        <f>"2017-04-19 10:11:02"</f>
        <v>2017-04-19 10:11:02</v>
      </c>
      <c r="M3123" s="2">
        <v>3.2407407407407406E-4</v>
      </c>
      <c r="N3123" s="1" t="s">
        <v>26</v>
      </c>
      <c r="O3123" s="1" t="s">
        <v>27</v>
      </c>
      <c r="P3123" s="2">
        <v>4.5138888888888892E-4</v>
      </c>
      <c r="Q3123" s="1" t="s">
        <v>2273</v>
      </c>
      <c r="R3123" s="1">
        <v>0</v>
      </c>
      <c r="S3123" s="1" t="str">
        <f>""</f>
        <v/>
      </c>
      <c r="T3123" s="1" t="s">
        <v>29</v>
      </c>
      <c r="U3123" s="1" t="s">
        <v>30</v>
      </c>
      <c r="V3123" s="1">
        <v>0</v>
      </c>
    </row>
    <row r="3124" spans="2:22" x14ac:dyDescent="0.15">
      <c r="B3124" s="1" t="str">
        <f>"137****3166"</f>
        <v>137****3166</v>
      </c>
      <c r="C3124" s="1" t="s">
        <v>23</v>
      </c>
      <c r="D3124" s="1" t="str">
        <f t="shared" si="306"/>
        <v>89177328</v>
      </c>
      <c r="E3124" s="1" t="s">
        <v>24</v>
      </c>
      <c r="F3124" s="1" t="str">
        <f t="shared" si="307"/>
        <v>0010</v>
      </c>
      <c r="G3124" s="1" t="s">
        <v>24</v>
      </c>
      <c r="H3124" s="1" t="str">
        <f>"0034"</f>
        <v>0034</v>
      </c>
      <c r="I3124" s="1" t="s">
        <v>31</v>
      </c>
      <c r="J3124" s="1" t="str">
        <f>"01043977568"</f>
        <v>01043977568</v>
      </c>
      <c r="K3124" s="1" t="str">
        <f>"2017-04-19 09:57:57"</f>
        <v>2017-04-19 09:57:57</v>
      </c>
      <c r="L3124" s="1" t="str">
        <f>"2017-04-19 09:58:05"</f>
        <v>2017-04-19 09:58:05</v>
      </c>
      <c r="M3124" s="2">
        <v>9.4560185185185181E-3</v>
      </c>
      <c r="N3124" s="1" t="s">
        <v>26</v>
      </c>
      <c r="O3124" s="1" t="s">
        <v>34</v>
      </c>
      <c r="P3124" s="2">
        <v>9.5486111111111101E-3</v>
      </c>
      <c r="Q3124" s="1" t="s">
        <v>2274</v>
      </c>
      <c r="R3124" s="1">
        <v>0</v>
      </c>
      <c r="S3124" s="1" t="str">
        <f>""</f>
        <v/>
      </c>
      <c r="T3124" s="1" t="s">
        <v>29</v>
      </c>
      <c r="U3124" s="1" t="s">
        <v>30</v>
      </c>
      <c r="V3124" s="1">
        <v>0</v>
      </c>
    </row>
    <row r="3125" spans="2:22" x14ac:dyDescent="0.15">
      <c r="B3125" s="1" t="str">
        <f>"0316180****4602"</f>
        <v>0316180****4602</v>
      </c>
      <c r="C3125" s="1" t="s">
        <v>51</v>
      </c>
      <c r="D3125" s="1" t="str">
        <f t="shared" si="306"/>
        <v>89177328</v>
      </c>
      <c r="E3125" s="1" t="s">
        <v>24</v>
      </c>
      <c r="F3125" s="1" t="str">
        <f t="shared" si="307"/>
        <v>0010</v>
      </c>
      <c r="G3125" s="1" t="s">
        <v>24</v>
      </c>
      <c r="H3125" s="1" t="str">
        <f>"0031"</f>
        <v>0031</v>
      </c>
      <c r="I3125" s="1" t="s">
        <v>95</v>
      </c>
      <c r="J3125" s="1" t="str">
        <f>"01043977565"</f>
        <v>01043977565</v>
      </c>
      <c r="K3125" s="1" t="str">
        <f>"2017-04-19 09:55:06"</f>
        <v>2017-04-19 09:55:06</v>
      </c>
      <c r="L3125" s="1" t="str">
        <f>"2017-04-19 09:55:15"</f>
        <v>2017-04-19 09:55:15</v>
      </c>
      <c r="M3125" s="2">
        <v>2.2905092592592591E-2</v>
      </c>
      <c r="N3125" s="1" t="s">
        <v>26</v>
      </c>
      <c r="O3125" s="1" t="s">
        <v>27</v>
      </c>
      <c r="P3125" s="2">
        <v>2.3009259259259257E-2</v>
      </c>
      <c r="Q3125" s="1" t="s">
        <v>2275</v>
      </c>
      <c r="R3125" s="1">
        <v>0</v>
      </c>
      <c r="S3125" s="1" t="str">
        <f>""</f>
        <v/>
      </c>
      <c r="T3125" s="1" t="s">
        <v>29</v>
      </c>
      <c r="U3125" s="1" t="s">
        <v>30</v>
      </c>
      <c r="V3125" s="1">
        <v>0</v>
      </c>
    </row>
    <row r="3126" spans="2:22" x14ac:dyDescent="0.15">
      <c r="B3126" s="1" t="str">
        <f>"136****3616"</f>
        <v>136****3616</v>
      </c>
      <c r="C3126" s="1" t="s">
        <v>51</v>
      </c>
      <c r="D3126" s="1" t="str">
        <f t="shared" si="306"/>
        <v>89177328</v>
      </c>
      <c r="E3126" s="1" t="s">
        <v>24</v>
      </c>
      <c r="F3126" s="1" t="str">
        <f t="shared" si="307"/>
        <v>0010</v>
      </c>
      <c r="G3126" s="1" t="s">
        <v>24</v>
      </c>
      <c r="H3126" s="1" t="str">
        <f>"0034"</f>
        <v>0034</v>
      </c>
      <c r="I3126" s="1" t="s">
        <v>31</v>
      </c>
      <c r="J3126" s="1" t="str">
        <f>"01043977568"</f>
        <v>01043977568</v>
      </c>
      <c r="K3126" s="1" t="str">
        <f>"2017-04-19 09:53:18"</f>
        <v>2017-04-19 09:53:18</v>
      </c>
      <c r="L3126" s="1" t="str">
        <f>"2017-04-19 09:53:30"</f>
        <v>2017-04-19 09:53:30</v>
      </c>
      <c r="M3126" s="2">
        <v>2.1759259259259258E-3</v>
      </c>
      <c r="N3126" s="1" t="s">
        <v>26</v>
      </c>
      <c r="O3126" s="1" t="s">
        <v>34</v>
      </c>
      <c r="P3126" s="2">
        <v>2.3148148148148151E-3</v>
      </c>
      <c r="Q3126" s="1" t="s">
        <v>2276</v>
      </c>
      <c r="R3126" s="1">
        <v>0</v>
      </c>
      <c r="S3126" s="1" t="str">
        <f>""</f>
        <v/>
      </c>
      <c r="T3126" s="1" t="s">
        <v>29</v>
      </c>
      <c r="U3126" s="1" t="s">
        <v>30</v>
      </c>
      <c r="V3126" s="1">
        <v>0</v>
      </c>
    </row>
    <row r="3127" spans="2:22" x14ac:dyDescent="0.15">
      <c r="B3127" s="1" t="str">
        <f>"135****7793"</f>
        <v>135****7793</v>
      </c>
      <c r="C3127" s="1" t="s">
        <v>23</v>
      </c>
      <c r="D3127" s="1" t="str">
        <f t="shared" si="306"/>
        <v>89177328</v>
      </c>
      <c r="E3127" s="1" t="s">
        <v>24</v>
      </c>
      <c r="F3127" s="1" t="str">
        <f t="shared" si="307"/>
        <v>0010</v>
      </c>
      <c r="G3127" s="1" t="s">
        <v>24</v>
      </c>
      <c r="H3127" s="1" t="str">
        <f>""</f>
        <v/>
      </c>
      <c r="I3127" s="1" t="str">
        <f>""</f>
        <v/>
      </c>
      <c r="J3127" s="1" t="str">
        <f>""</f>
        <v/>
      </c>
      <c r="K3127" s="1" t="str">
        <f>"2017-04-19 09:42:55"</f>
        <v>2017-04-19 09:42:55</v>
      </c>
      <c r="L3127" s="1" t="str">
        <f>"-"</f>
        <v>-</v>
      </c>
      <c r="M3127" s="2">
        <v>0</v>
      </c>
      <c r="N3127" s="1" t="s">
        <v>55</v>
      </c>
      <c r="O3127" s="1" t="s">
        <v>27</v>
      </c>
      <c r="P3127" s="2">
        <v>4.6296296296296294E-5</v>
      </c>
      <c r="Q3127" s="1" t="str">
        <f>""</f>
        <v/>
      </c>
      <c r="R3127" s="1">
        <v>0</v>
      </c>
      <c r="S3127" s="1" t="str">
        <f>""</f>
        <v/>
      </c>
      <c r="T3127" s="1" t="s">
        <v>29</v>
      </c>
      <c r="U3127" s="1" t="s">
        <v>30</v>
      </c>
      <c r="V3127" s="1">
        <v>0</v>
      </c>
    </row>
    <row r="3128" spans="2:22" x14ac:dyDescent="0.15">
      <c r="B3128" s="1" t="str">
        <f>"139****9990"</f>
        <v>139****9990</v>
      </c>
      <c r="C3128" s="1" t="s">
        <v>237</v>
      </c>
      <c r="D3128" s="1" t="str">
        <f t="shared" si="306"/>
        <v>89177328</v>
      </c>
      <c r="E3128" s="1" t="s">
        <v>24</v>
      </c>
      <c r="F3128" s="1" t="str">
        <f t="shared" si="307"/>
        <v>0010</v>
      </c>
      <c r="G3128" s="1" t="s">
        <v>24</v>
      </c>
      <c r="H3128" s="1" t="str">
        <f>"0034"</f>
        <v>0034</v>
      </c>
      <c r="I3128" s="1" t="s">
        <v>31</v>
      </c>
      <c r="J3128" s="1" t="str">
        <f>"01043977568"</f>
        <v>01043977568</v>
      </c>
      <c r="K3128" s="1" t="str">
        <f>"2017-04-19 09:40:36"</f>
        <v>2017-04-19 09:40:36</v>
      </c>
      <c r="L3128" s="1" t="str">
        <f>"2017-04-19 09:40:47"</f>
        <v>2017-04-19 09:40:47</v>
      </c>
      <c r="M3128" s="2">
        <v>1.5624999999999999E-3</v>
      </c>
      <c r="N3128" s="1" t="s">
        <v>26</v>
      </c>
      <c r="O3128" s="1" t="s">
        <v>34</v>
      </c>
      <c r="P3128" s="2">
        <v>1.689814814814815E-3</v>
      </c>
      <c r="Q3128" s="1" t="s">
        <v>2277</v>
      </c>
      <c r="R3128" s="1">
        <v>0</v>
      </c>
      <c r="S3128" s="1" t="str">
        <f>""</f>
        <v/>
      </c>
      <c r="T3128" s="1" t="s">
        <v>29</v>
      </c>
      <c r="U3128" s="1" t="s">
        <v>30</v>
      </c>
      <c r="V3128" s="1">
        <v>0</v>
      </c>
    </row>
    <row r="3129" spans="2:22" x14ac:dyDescent="0.15">
      <c r="B3129" s="1" t="str">
        <f>"136****2605"</f>
        <v>136****2605</v>
      </c>
      <c r="C3129" s="1" t="s">
        <v>23</v>
      </c>
      <c r="D3129" s="1" t="str">
        <f t="shared" si="306"/>
        <v>89177328</v>
      </c>
      <c r="E3129" s="1" t="s">
        <v>24</v>
      </c>
      <c r="F3129" s="1" t="str">
        <f t="shared" si="307"/>
        <v>0010</v>
      </c>
      <c r="G3129" s="1" t="s">
        <v>24</v>
      </c>
      <c r="H3129" s="1" t="str">
        <f>"0031"</f>
        <v>0031</v>
      </c>
      <c r="I3129" s="1" t="s">
        <v>95</v>
      </c>
      <c r="J3129" s="1" t="str">
        <f>"01043977565"</f>
        <v>01043977565</v>
      </c>
      <c r="K3129" s="1" t="str">
        <f>"2017-04-19 09:29:49"</f>
        <v>2017-04-19 09:29:49</v>
      </c>
      <c r="L3129" s="1" t="str">
        <f>"2017-04-19 09:29:56"</f>
        <v>2017-04-19 09:29:56</v>
      </c>
      <c r="M3129" s="2">
        <v>1.1550925925925925E-2</v>
      </c>
      <c r="N3129" s="1" t="s">
        <v>26</v>
      </c>
      <c r="O3129" s="1" t="s">
        <v>27</v>
      </c>
      <c r="P3129" s="2">
        <v>1.1631944444444445E-2</v>
      </c>
      <c r="Q3129" s="1" t="s">
        <v>2278</v>
      </c>
      <c r="R3129" s="1">
        <v>0</v>
      </c>
      <c r="S3129" s="1" t="str">
        <f>""</f>
        <v/>
      </c>
      <c r="T3129" s="1" t="s">
        <v>29</v>
      </c>
      <c r="U3129" s="1" t="s">
        <v>30</v>
      </c>
      <c r="V3129" s="1">
        <v>0</v>
      </c>
    </row>
    <row r="3130" spans="2:22" x14ac:dyDescent="0.15">
      <c r="B3130" s="1" t="str">
        <f>"137****1869"</f>
        <v>137****1869</v>
      </c>
      <c r="C3130" s="1" t="s">
        <v>23</v>
      </c>
      <c r="D3130" s="1" t="str">
        <f>"89175359"</f>
        <v>89175359</v>
      </c>
      <c r="E3130" s="1" t="s">
        <v>297</v>
      </c>
      <c r="F3130" s="1" t="str">
        <f>"0012"</f>
        <v>0012</v>
      </c>
      <c r="G3130" s="1" t="s">
        <v>297</v>
      </c>
      <c r="H3130" s="1" t="str">
        <f>"0005"</f>
        <v>0005</v>
      </c>
      <c r="I3130" s="1" t="s">
        <v>298</v>
      </c>
      <c r="J3130" s="1" t="str">
        <f>"18600169000"</f>
        <v>18600169000</v>
      </c>
      <c r="K3130" s="1" t="str">
        <f>"2017-04-19 09:28:23"</f>
        <v>2017-04-19 09:28:23</v>
      </c>
      <c r="L3130" s="1" t="str">
        <f>"2017-04-19 09:28:38"</f>
        <v>2017-04-19 09:28:38</v>
      </c>
      <c r="M3130" s="2">
        <v>1.1226851851851851E-3</v>
      </c>
      <c r="N3130" s="1" t="s">
        <v>26</v>
      </c>
      <c r="O3130" s="1" t="s">
        <v>34</v>
      </c>
      <c r="P3130" s="2">
        <v>1.2962962962962963E-3</v>
      </c>
      <c r="Q3130" s="1" t="s">
        <v>2279</v>
      </c>
      <c r="R3130" s="1">
        <v>0.06</v>
      </c>
      <c r="S3130" s="1" t="str">
        <f>""</f>
        <v/>
      </c>
      <c r="T3130" s="1" t="s">
        <v>337</v>
      </c>
      <c r="U3130" s="1" t="s">
        <v>30</v>
      </c>
      <c r="V3130" s="1">
        <v>0</v>
      </c>
    </row>
    <row r="3131" spans="2:22" x14ac:dyDescent="0.15">
      <c r="B3131" s="1" t="str">
        <f>"137****1869"</f>
        <v>137****1869</v>
      </c>
      <c r="C3131" s="1" t="s">
        <v>23</v>
      </c>
      <c r="D3131" s="1" t="str">
        <f>"89175359"</f>
        <v>89175359</v>
      </c>
      <c r="E3131" s="1" t="s">
        <v>297</v>
      </c>
      <c r="F3131" s="1" t="str">
        <f>"0012"</f>
        <v>0012</v>
      </c>
      <c r="G3131" s="1" t="s">
        <v>297</v>
      </c>
      <c r="H3131" s="1" t="str">
        <f>"0005"</f>
        <v>0005</v>
      </c>
      <c r="I3131" s="1" t="s">
        <v>298</v>
      </c>
      <c r="J3131" s="1" t="str">
        <f>"18600169000"</f>
        <v>18600169000</v>
      </c>
      <c r="K3131" s="1" t="str">
        <f>"2017-04-19 09:24:43"</f>
        <v>2017-04-19 09:24:43</v>
      </c>
      <c r="L3131" s="1" t="str">
        <f>"2017-04-19 09:24:58"</f>
        <v>2017-04-19 09:24:58</v>
      </c>
      <c r="M3131" s="2">
        <v>6.5972222222222213E-4</v>
      </c>
      <c r="N3131" s="1" t="s">
        <v>26</v>
      </c>
      <c r="O3131" s="1" t="s">
        <v>27</v>
      </c>
      <c r="P3131" s="2">
        <v>8.3333333333333339E-4</v>
      </c>
      <c r="Q3131" s="1" t="s">
        <v>2280</v>
      </c>
      <c r="R3131" s="1">
        <v>0.06</v>
      </c>
      <c r="S3131" s="1" t="str">
        <f>""</f>
        <v/>
      </c>
      <c r="T3131" s="1" t="s">
        <v>2252</v>
      </c>
      <c r="U3131" s="1" t="s">
        <v>30</v>
      </c>
      <c r="V3131" s="1">
        <v>0</v>
      </c>
    </row>
    <row r="3132" spans="2:22" x14ac:dyDescent="0.15">
      <c r="B3132" s="1" t="str">
        <f>"137****1869"</f>
        <v>137****1869</v>
      </c>
      <c r="C3132" s="1" t="s">
        <v>23</v>
      </c>
      <c r="D3132" s="1" t="str">
        <f>"89175359"</f>
        <v>89175359</v>
      </c>
      <c r="E3132" s="1" t="s">
        <v>297</v>
      </c>
      <c r="F3132" s="1" t="str">
        <f>"0012"</f>
        <v>0012</v>
      </c>
      <c r="G3132" s="1" t="s">
        <v>297</v>
      </c>
      <c r="H3132" s="1" t="str">
        <f>"0005"</f>
        <v>0005</v>
      </c>
      <c r="I3132" s="1" t="s">
        <v>298</v>
      </c>
      <c r="J3132" s="1" t="str">
        <f>"18600169000"</f>
        <v>18600169000</v>
      </c>
      <c r="K3132" s="1" t="str">
        <f>"2017-04-19 09:23:25"</f>
        <v>2017-04-19 09:23:25</v>
      </c>
      <c r="L3132" s="1" t="str">
        <f>"2017-04-19 09:23:37"</f>
        <v>2017-04-19 09:23:37</v>
      </c>
      <c r="M3132" s="2">
        <v>6.018518518518519E-4</v>
      </c>
      <c r="N3132" s="1" t="s">
        <v>26</v>
      </c>
      <c r="O3132" s="1" t="s">
        <v>27</v>
      </c>
      <c r="P3132" s="2">
        <v>7.407407407407407E-4</v>
      </c>
      <c r="Q3132" s="1" t="s">
        <v>2281</v>
      </c>
      <c r="R3132" s="1">
        <v>0.06</v>
      </c>
      <c r="S3132" s="1" t="str">
        <f>""</f>
        <v/>
      </c>
      <c r="T3132" s="1" t="s">
        <v>337</v>
      </c>
      <c r="U3132" s="1" t="s">
        <v>30</v>
      </c>
      <c r="V3132" s="1">
        <v>0</v>
      </c>
    </row>
    <row r="3133" spans="2:22" x14ac:dyDescent="0.15">
      <c r="B3133" s="1" t="str">
        <f>"139****4996"</f>
        <v>139****4996</v>
      </c>
      <c r="C3133" s="1" t="s">
        <v>102</v>
      </c>
      <c r="D3133" s="1" t="str">
        <f>"89177328"</f>
        <v>89177328</v>
      </c>
      <c r="E3133" s="1" t="s">
        <v>24</v>
      </c>
      <c r="F3133" s="1" t="str">
        <f>"0010"</f>
        <v>0010</v>
      </c>
      <c r="G3133" s="1" t="s">
        <v>24</v>
      </c>
      <c r="H3133" s="1" t="str">
        <f>"0036"</f>
        <v>0036</v>
      </c>
      <c r="I3133" s="1" t="s">
        <v>143</v>
      </c>
      <c r="J3133" s="1" t="str">
        <f>"01043977573"</f>
        <v>01043977573</v>
      </c>
      <c r="K3133" s="1" t="str">
        <f>"2017-04-19 09:21:47"</f>
        <v>2017-04-19 09:21:47</v>
      </c>
      <c r="L3133" s="1" t="str">
        <f>"2017-04-19 09:21:54"</f>
        <v>2017-04-19 09:21:54</v>
      </c>
      <c r="M3133" s="2">
        <v>1.0381944444444444E-2</v>
      </c>
      <c r="N3133" s="1" t="s">
        <v>26</v>
      </c>
      <c r="O3133" s="1" t="s">
        <v>34</v>
      </c>
      <c r="P3133" s="2">
        <v>1.0462962962962964E-2</v>
      </c>
      <c r="Q3133" s="1" t="s">
        <v>2282</v>
      </c>
      <c r="R3133" s="1">
        <v>0</v>
      </c>
      <c r="S3133" s="1" t="str">
        <f>""</f>
        <v/>
      </c>
      <c r="T3133" s="1" t="s">
        <v>29</v>
      </c>
      <c r="U3133" s="1" t="s">
        <v>30</v>
      </c>
      <c r="V3133" s="1">
        <v>0</v>
      </c>
    </row>
    <row r="3134" spans="2:22" x14ac:dyDescent="0.15">
      <c r="B3134" s="1" t="str">
        <f>"135****0680"</f>
        <v>135****0680</v>
      </c>
      <c r="C3134" s="1" t="s">
        <v>730</v>
      </c>
      <c r="D3134" s="1" t="str">
        <f>"89177328"</f>
        <v>89177328</v>
      </c>
      <c r="E3134" s="1" t="s">
        <v>24</v>
      </c>
      <c r="F3134" s="1" t="str">
        <f>"0010"</f>
        <v>0010</v>
      </c>
      <c r="G3134" s="1" t="s">
        <v>24</v>
      </c>
      <c r="H3134" s="1" t="str">
        <f>"0034"</f>
        <v>0034</v>
      </c>
      <c r="I3134" s="1" t="s">
        <v>31</v>
      </c>
      <c r="J3134" s="1" t="str">
        <f>"01043977568"</f>
        <v>01043977568</v>
      </c>
      <c r="K3134" s="1" t="str">
        <f>"2017-04-19 09:21:29"</f>
        <v>2017-04-19 09:21:29</v>
      </c>
      <c r="L3134" s="1" t="str">
        <f>"2017-04-19 09:21:39"</f>
        <v>2017-04-19 09:21:39</v>
      </c>
      <c r="M3134" s="2">
        <v>1.1527777777777777E-2</v>
      </c>
      <c r="N3134" s="1" t="s">
        <v>26</v>
      </c>
      <c r="O3134" s="1" t="s">
        <v>34</v>
      </c>
      <c r="P3134" s="2">
        <v>1.1643518518518518E-2</v>
      </c>
      <c r="Q3134" s="1" t="s">
        <v>2283</v>
      </c>
      <c r="R3134" s="1">
        <v>0</v>
      </c>
      <c r="S3134" s="1" t="str">
        <f>""</f>
        <v/>
      </c>
      <c r="T3134" s="1" t="s">
        <v>29</v>
      </c>
      <c r="U3134" s="1" t="s">
        <v>30</v>
      </c>
      <c r="V3134" s="1">
        <v>0</v>
      </c>
    </row>
    <row r="3135" spans="2:22" x14ac:dyDescent="0.15">
      <c r="B3135" s="1" t="str">
        <f>"137****1869"</f>
        <v>137****1869</v>
      </c>
      <c r="C3135" s="1" t="s">
        <v>23</v>
      </c>
      <c r="D3135" s="1" t="str">
        <f>"89175359"</f>
        <v>89175359</v>
      </c>
      <c r="E3135" s="1" t="s">
        <v>297</v>
      </c>
      <c r="F3135" s="1" t="str">
        <f>"0012"</f>
        <v>0012</v>
      </c>
      <c r="G3135" s="1" t="s">
        <v>297</v>
      </c>
      <c r="H3135" s="1" t="str">
        <f>"0005"</f>
        <v>0005</v>
      </c>
      <c r="I3135" s="1" t="s">
        <v>298</v>
      </c>
      <c r="J3135" s="1" t="str">
        <f>"18600169000"</f>
        <v>18600169000</v>
      </c>
      <c r="K3135" s="1" t="str">
        <f>"2017-04-19 09:19:29"</f>
        <v>2017-04-19 09:19:29</v>
      </c>
      <c r="L3135" s="1" t="str">
        <f>"2017-04-19 09:19:46"</f>
        <v>2017-04-19 09:19:46</v>
      </c>
      <c r="M3135" s="2">
        <v>2.4074074074074076E-3</v>
      </c>
      <c r="N3135" s="1" t="s">
        <v>26</v>
      </c>
      <c r="O3135" s="1" t="s">
        <v>34</v>
      </c>
      <c r="P3135" s="2">
        <v>2.6041666666666665E-3</v>
      </c>
      <c r="Q3135" s="1" t="s">
        <v>2284</v>
      </c>
      <c r="R3135" s="1">
        <v>0.24</v>
      </c>
      <c r="S3135" s="1" t="str">
        <f>""</f>
        <v/>
      </c>
      <c r="T3135" s="1" t="s">
        <v>29</v>
      </c>
      <c r="U3135" s="1" t="s">
        <v>30</v>
      </c>
      <c r="V3135" s="1">
        <v>0</v>
      </c>
    </row>
    <row r="3136" spans="2:22" x14ac:dyDescent="0.15">
      <c r="B3136" s="1" t="str">
        <f>"137****2953"</f>
        <v>137****2953</v>
      </c>
      <c r="C3136" s="1" t="s">
        <v>23</v>
      </c>
      <c r="D3136" s="1" t="str">
        <f t="shared" ref="D3136:D3165" si="308">"89177328"</f>
        <v>89177328</v>
      </c>
      <c r="E3136" s="1" t="s">
        <v>24</v>
      </c>
      <c r="F3136" s="1" t="str">
        <f t="shared" ref="F3136:F3165" si="309">"0010"</f>
        <v>0010</v>
      </c>
      <c r="G3136" s="1" t="s">
        <v>24</v>
      </c>
      <c r="H3136" s="1" t="str">
        <f>"0034"</f>
        <v>0034</v>
      </c>
      <c r="I3136" s="1" t="s">
        <v>31</v>
      </c>
      <c r="J3136" s="1" t="str">
        <f>"01043977568"</f>
        <v>01043977568</v>
      </c>
      <c r="K3136" s="1" t="str">
        <f>"2017-04-19 09:14:16"</f>
        <v>2017-04-19 09:14:16</v>
      </c>
      <c r="L3136" s="1" t="str">
        <f>"2017-04-19 09:14:27"</f>
        <v>2017-04-19 09:14:27</v>
      </c>
      <c r="M3136" s="2">
        <v>6.9444444444444447E-4</v>
      </c>
      <c r="N3136" s="1" t="s">
        <v>26</v>
      </c>
      <c r="O3136" s="1" t="s">
        <v>27</v>
      </c>
      <c r="P3136" s="2">
        <v>8.2175925925925917E-4</v>
      </c>
      <c r="Q3136" s="1" t="s">
        <v>2285</v>
      </c>
      <c r="R3136" s="1">
        <v>0</v>
      </c>
      <c r="S3136" s="1" t="str">
        <f>""</f>
        <v/>
      </c>
      <c r="T3136" s="1" t="s">
        <v>29</v>
      </c>
      <c r="U3136" s="1" t="s">
        <v>30</v>
      </c>
      <c r="V3136" s="1">
        <v>0</v>
      </c>
    </row>
    <row r="3137" spans="2:22" x14ac:dyDescent="0.15">
      <c r="B3137" s="1" t="str">
        <f>"136****1470"</f>
        <v>136****1470</v>
      </c>
      <c r="C3137" s="1" t="s">
        <v>23</v>
      </c>
      <c r="D3137" s="1" t="str">
        <f t="shared" si="308"/>
        <v>89177328</v>
      </c>
      <c r="E3137" s="1" t="s">
        <v>24</v>
      </c>
      <c r="F3137" s="1" t="str">
        <f t="shared" si="309"/>
        <v>0010</v>
      </c>
      <c r="G3137" s="1" t="s">
        <v>24</v>
      </c>
      <c r="H3137" s="1" t="str">
        <f>"0036"</f>
        <v>0036</v>
      </c>
      <c r="I3137" s="1" t="s">
        <v>143</v>
      </c>
      <c r="J3137" s="1" t="str">
        <f>"01043977573"</f>
        <v>01043977573</v>
      </c>
      <c r="K3137" s="1" t="str">
        <f>"2017-04-19 08:56:53"</f>
        <v>2017-04-19 08:56:53</v>
      </c>
      <c r="L3137" s="1" t="str">
        <f>"2017-04-19 08:57:02"</f>
        <v>2017-04-19 08:57:02</v>
      </c>
      <c r="M3137" s="2">
        <v>9.6064814814814815E-3</v>
      </c>
      <c r="N3137" s="1" t="s">
        <v>26</v>
      </c>
      <c r="O3137" s="1" t="s">
        <v>27</v>
      </c>
      <c r="P3137" s="2">
        <v>9.7106481481481471E-3</v>
      </c>
      <c r="Q3137" s="1" t="s">
        <v>2286</v>
      </c>
      <c r="R3137" s="1">
        <v>0</v>
      </c>
      <c r="S3137" s="1" t="str">
        <f>""</f>
        <v/>
      </c>
      <c r="T3137" s="1" t="s">
        <v>29</v>
      </c>
      <c r="U3137" s="1" t="s">
        <v>30</v>
      </c>
      <c r="V3137" s="1">
        <v>0</v>
      </c>
    </row>
    <row r="3138" spans="2:22" x14ac:dyDescent="0.15">
      <c r="B3138" s="1" t="str">
        <f>"159****2030"</f>
        <v>159****2030</v>
      </c>
      <c r="C3138" s="1" t="s">
        <v>23</v>
      </c>
      <c r="D3138" s="1" t="str">
        <f t="shared" si="308"/>
        <v>89177328</v>
      </c>
      <c r="E3138" s="1" t="s">
        <v>24</v>
      </c>
      <c r="F3138" s="1" t="str">
        <f t="shared" si="309"/>
        <v>0010</v>
      </c>
      <c r="G3138" s="1" t="s">
        <v>24</v>
      </c>
      <c r="H3138" s="1" t="str">
        <f>"0036"</f>
        <v>0036</v>
      </c>
      <c r="I3138" s="1" t="s">
        <v>143</v>
      </c>
      <c r="J3138" s="1" t="str">
        <f>"01043977573"</f>
        <v>01043977573</v>
      </c>
      <c r="K3138" s="1" t="str">
        <f>"2017-04-19 08:39:30"</f>
        <v>2017-04-19 08:39:30</v>
      </c>
      <c r="L3138" s="1" t="str">
        <f>"2017-04-19 08:39:40"</f>
        <v>2017-04-19 08:39:40</v>
      </c>
      <c r="M3138" s="2">
        <v>3.0092592592592588E-3</v>
      </c>
      <c r="N3138" s="1" t="s">
        <v>26</v>
      </c>
      <c r="O3138" s="1" t="s">
        <v>34</v>
      </c>
      <c r="P3138" s="2">
        <v>3.1249999999999997E-3</v>
      </c>
      <c r="Q3138" s="1" t="s">
        <v>2287</v>
      </c>
      <c r="R3138" s="1">
        <v>0</v>
      </c>
      <c r="S3138" s="1" t="str">
        <f>""</f>
        <v/>
      </c>
      <c r="T3138" s="1" t="s">
        <v>29</v>
      </c>
      <c r="U3138" s="1" t="s">
        <v>30</v>
      </c>
      <c r="V3138" s="1">
        <v>0</v>
      </c>
    </row>
    <row r="3139" spans="2:22" x14ac:dyDescent="0.15">
      <c r="B3139" s="1" t="str">
        <f>"157****4135"</f>
        <v>157****4135</v>
      </c>
      <c r="C3139" s="1" t="s">
        <v>99</v>
      </c>
      <c r="D3139" s="1" t="str">
        <f t="shared" si="308"/>
        <v>89177328</v>
      </c>
      <c r="E3139" s="1" t="s">
        <v>24</v>
      </c>
      <c r="F3139" s="1" t="str">
        <f t="shared" si="309"/>
        <v>0010</v>
      </c>
      <c r="G3139" s="1" t="s">
        <v>24</v>
      </c>
      <c r="H3139" s="1" t="str">
        <f>"0036"</f>
        <v>0036</v>
      </c>
      <c r="I3139" s="1" t="s">
        <v>143</v>
      </c>
      <c r="J3139" s="1" t="str">
        <f>"01043977573"</f>
        <v>01043977573</v>
      </c>
      <c r="K3139" s="1" t="str">
        <f>"2017-04-19 08:35:57"</f>
        <v>2017-04-19 08:35:57</v>
      </c>
      <c r="L3139" s="1" t="str">
        <f>"2017-04-19 08:36:08"</f>
        <v>2017-04-19 08:36:08</v>
      </c>
      <c r="M3139" s="2">
        <v>8.2175925925925917E-4</v>
      </c>
      <c r="N3139" s="1" t="s">
        <v>26</v>
      </c>
      <c r="O3139" s="1" t="s">
        <v>27</v>
      </c>
      <c r="P3139" s="2">
        <v>9.4907407407407408E-4</v>
      </c>
      <c r="Q3139" s="1" t="s">
        <v>2288</v>
      </c>
      <c r="R3139" s="1">
        <v>0</v>
      </c>
      <c r="S3139" s="1" t="str">
        <f>""</f>
        <v/>
      </c>
      <c r="T3139" s="1" t="s">
        <v>29</v>
      </c>
      <c r="U3139" s="1" t="s">
        <v>30</v>
      </c>
      <c r="V3139" s="1">
        <v>0</v>
      </c>
    </row>
    <row r="3140" spans="2:22" x14ac:dyDescent="0.15">
      <c r="B3140" s="1" t="str">
        <f>"135****5385"</f>
        <v>135****5385</v>
      </c>
      <c r="C3140" s="1" t="s">
        <v>51</v>
      </c>
      <c r="D3140" s="1" t="str">
        <f t="shared" si="308"/>
        <v>89177328</v>
      </c>
      <c r="E3140" s="1" t="s">
        <v>24</v>
      </c>
      <c r="F3140" s="1" t="str">
        <f t="shared" si="309"/>
        <v>0010</v>
      </c>
      <c r="G3140" s="1" t="s">
        <v>24</v>
      </c>
      <c r="H3140" s="1" t="str">
        <f>"0034"</f>
        <v>0034</v>
      </c>
      <c r="I3140" s="1" t="s">
        <v>31</v>
      </c>
      <c r="J3140" s="1" t="str">
        <f>"01043977568"</f>
        <v>01043977568</v>
      </c>
      <c r="K3140" s="1" t="str">
        <f>"2017-04-19 08:29:54"</f>
        <v>2017-04-19 08:29:54</v>
      </c>
      <c r="L3140" s="1" t="str">
        <f>"2017-04-19 08:30:05"</f>
        <v>2017-04-19 08:30:05</v>
      </c>
      <c r="M3140" s="2">
        <v>2.2106481481481478E-3</v>
      </c>
      <c r="N3140" s="1" t="s">
        <v>26</v>
      </c>
      <c r="O3140" s="1" t="s">
        <v>27</v>
      </c>
      <c r="P3140" s="2">
        <v>2.3379629629629631E-3</v>
      </c>
      <c r="Q3140" s="1" t="s">
        <v>2289</v>
      </c>
      <c r="R3140" s="1">
        <v>0</v>
      </c>
      <c r="S3140" s="1" t="str">
        <f>""</f>
        <v/>
      </c>
      <c r="T3140" s="1" t="s">
        <v>29</v>
      </c>
      <c r="U3140" s="1" t="s">
        <v>30</v>
      </c>
      <c r="V3140" s="1">
        <v>0</v>
      </c>
    </row>
    <row r="3141" spans="2:22" x14ac:dyDescent="0.15">
      <c r="B3141" s="1" t="str">
        <f>"137****0518"</f>
        <v>137****0518</v>
      </c>
      <c r="C3141" s="1" t="s">
        <v>23</v>
      </c>
      <c r="D3141" s="1" t="str">
        <f t="shared" si="308"/>
        <v>89177328</v>
      </c>
      <c r="E3141" s="1" t="s">
        <v>24</v>
      </c>
      <c r="F3141" s="1" t="str">
        <f t="shared" si="309"/>
        <v>0010</v>
      </c>
      <c r="G3141" s="1" t="s">
        <v>24</v>
      </c>
      <c r="H3141" s="1" t="str">
        <f>"0018"</f>
        <v>0018</v>
      </c>
      <c r="I3141" s="1" t="s">
        <v>36</v>
      </c>
      <c r="J3141" s="1" t="str">
        <f>"01043977572"</f>
        <v>01043977572</v>
      </c>
      <c r="K3141" s="1" t="str">
        <f>"2017-04-18 20:34:39"</f>
        <v>2017-04-18 20:34:39</v>
      </c>
      <c r="L3141" s="1" t="str">
        <f>"2017-04-18 20:34:47"</f>
        <v>2017-04-18 20:34:47</v>
      </c>
      <c r="M3141" s="2">
        <v>3.2060185185185191E-3</v>
      </c>
      <c r="N3141" s="1" t="s">
        <v>26</v>
      </c>
      <c r="O3141" s="1" t="s">
        <v>34</v>
      </c>
      <c r="P3141" s="2">
        <v>3.2986111111111111E-3</v>
      </c>
      <c r="Q3141" s="1" t="s">
        <v>2290</v>
      </c>
      <c r="R3141" s="1">
        <v>0</v>
      </c>
      <c r="S3141" s="1" t="str">
        <f>""</f>
        <v/>
      </c>
      <c r="T3141" s="1" t="s">
        <v>29</v>
      </c>
      <c r="U3141" s="1" t="s">
        <v>30</v>
      </c>
      <c r="V3141" s="1">
        <v>0</v>
      </c>
    </row>
    <row r="3142" spans="2:22" x14ac:dyDescent="0.15">
      <c r="B3142" s="1" t="str">
        <f>"153****4166"</f>
        <v>153****4166</v>
      </c>
      <c r="C3142" s="1" t="s">
        <v>132</v>
      </c>
      <c r="D3142" s="1" t="str">
        <f t="shared" si="308"/>
        <v>89177328</v>
      </c>
      <c r="E3142" s="1" t="s">
        <v>24</v>
      </c>
      <c r="F3142" s="1" t="str">
        <f t="shared" si="309"/>
        <v>0010</v>
      </c>
      <c r="G3142" s="1" t="s">
        <v>24</v>
      </c>
      <c r="H3142" s="1" t="str">
        <f>"0035"</f>
        <v>0035</v>
      </c>
      <c r="I3142" s="1" t="s">
        <v>25</v>
      </c>
      <c r="J3142" s="1" t="str">
        <f>"01043977569"</f>
        <v>01043977569</v>
      </c>
      <c r="K3142" s="1" t="str">
        <f>"2017-04-18 20:32:51"</f>
        <v>2017-04-18 20:32:51</v>
      </c>
      <c r="L3142" s="1" t="str">
        <f>"2017-04-18 20:33:02"</f>
        <v>2017-04-18 20:33:02</v>
      </c>
      <c r="M3142" s="2">
        <v>9.5833333333333343E-3</v>
      </c>
      <c r="N3142" s="1" t="s">
        <v>26</v>
      </c>
      <c r="O3142" s="1" t="s">
        <v>27</v>
      </c>
      <c r="P3142" s="2">
        <v>9.7106481481481471E-3</v>
      </c>
      <c r="Q3142" s="1" t="s">
        <v>2291</v>
      </c>
      <c r="R3142" s="1">
        <v>0</v>
      </c>
      <c r="S3142" s="1" t="str">
        <f>""</f>
        <v/>
      </c>
      <c r="T3142" s="1" t="s">
        <v>29</v>
      </c>
      <c r="U3142" s="1" t="s">
        <v>30</v>
      </c>
      <c r="V3142" s="1">
        <v>0</v>
      </c>
    </row>
    <row r="3143" spans="2:22" x14ac:dyDescent="0.15">
      <c r="B3143" s="1" t="str">
        <f>"0316153****5108"</f>
        <v>0316153****5108</v>
      </c>
      <c r="C3143" s="1" t="s">
        <v>51</v>
      </c>
      <c r="D3143" s="1" t="str">
        <f t="shared" si="308"/>
        <v>89177328</v>
      </c>
      <c r="E3143" s="1" t="s">
        <v>24</v>
      </c>
      <c r="F3143" s="1" t="str">
        <f t="shared" si="309"/>
        <v>0010</v>
      </c>
      <c r="G3143" s="1" t="s">
        <v>24</v>
      </c>
      <c r="H3143" s="1" t="str">
        <f>"0035"</f>
        <v>0035</v>
      </c>
      <c r="I3143" s="1" t="s">
        <v>25</v>
      </c>
      <c r="J3143" s="1" t="str">
        <f>"01043977569"</f>
        <v>01043977569</v>
      </c>
      <c r="K3143" s="1" t="str">
        <f>"2017-04-18 20:19:27"</f>
        <v>2017-04-18 20:19:27</v>
      </c>
      <c r="L3143" s="1" t="str">
        <f>"2017-04-18 20:19:39"</f>
        <v>2017-04-18 20:19:39</v>
      </c>
      <c r="M3143" s="2">
        <v>1.8171296296296297E-3</v>
      </c>
      <c r="N3143" s="1" t="s">
        <v>26</v>
      </c>
      <c r="O3143" s="1" t="s">
        <v>27</v>
      </c>
      <c r="P3143" s="2">
        <v>1.9560185185185184E-3</v>
      </c>
      <c r="Q3143" s="1" t="s">
        <v>2292</v>
      </c>
      <c r="R3143" s="1">
        <v>0</v>
      </c>
      <c r="S3143" s="1" t="str">
        <f>""</f>
        <v/>
      </c>
      <c r="T3143" s="1" t="s">
        <v>29</v>
      </c>
      <c r="U3143" s="1" t="s">
        <v>30</v>
      </c>
      <c r="V3143" s="1">
        <v>0</v>
      </c>
    </row>
    <row r="3144" spans="2:22" x14ac:dyDescent="0.15">
      <c r="B3144" s="1" t="str">
        <f>"130****8518"</f>
        <v>130****8518</v>
      </c>
      <c r="C3144" s="1" t="s">
        <v>23</v>
      </c>
      <c r="D3144" s="1" t="str">
        <f t="shared" si="308"/>
        <v>89177328</v>
      </c>
      <c r="E3144" s="1" t="s">
        <v>24</v>
      </c>
      <c r="F3144" s="1" t="str">
        <f t="shared" si="309"/>
        <v>0010</v>
      </c>
      <c r="G3144" s="1" t="s">
        <v>24</v>
      </c>
      <c r="H3144" s="1" t="str">
        <f>"0018"</f>
        <v>0018</v>
      </c>
      <c r="I3144" s="1" t="s">
        <v>36</v>
      </c>
      <c r="J3144" s="1" t="str">
        <f>"01043977572"</f>
        <v>01043977572</v>
      </c>
      <c r="K3144" s="1" t="str">
        <f>"2017-04-18 20:07:00"</f>
        <v>2017-04-18 20:07:00</v>
      </c>
      <c r="L3144" s="1" t="str">
        <f>"-"</f>
        <v>-</v>
      </c>
      <c r="M3144" s="2">
        <v>0</v>
      </c>
      <c r="N3144" s="1" t="s">
        <v>33</v>
      </c>
      <c r="O3144" s="1" t="s">
        <v>34</v>
      </c>
      <c r="P3144" s="2">
        <v>2.3148148148148147E-5</v>
      </c>
      <c r="Q3144" s="1" t="str">
        <f>""</f>
        <v/>
      </c>
      <c r="R3144" s="1">
        <v>0</v>
      </c>
      <c r="S3144" s="1" t="str">
        <f>""</f>
        <v/>
      </c>
      <c r="T3144" s="1" t="s">
        <v>29</v>
      </c>
      <c r="U3144" s="1" t="s">
        <v>30</v>
      </c>
      <c r="V3144" s="1">
        <v>0</v>
      </c>
    </row>
    <row r="3145" spans="2:22" x14ac:dyDescent="0.15">
      <c r="B3145" s="1" t="str">
        <f>"137****3297"</f>
        <v>137****3297</v>
      </c>
      <c r="C3145" s="1" t="s">
        <v>23</v>
      </c>
      <c r="D3145" s="1" t="str">
        <f t="shared" si="308"/>
        <v>89177328</v>
      </c>
      <c r="E3145" s="1" t="s">
        <v>24</v>
      </c>
      <c r="F3145" s="1" t="str">
        <f t="shared" si="309"/>
        <v>0010</v>
      </c>
      <c r="G3145" s="1" t="s">
        <v>24</v>
      </c>
      <c r="H3145" s="1" t="str">
        <f>"0033"</f>
        <v>0033</v>
      </c>
      <c r="I3145" s="1" t="s">
        <v>106</v>
      </c>
      <c r="J3145" s="1" t="str">
        <f>"01043977567"</f>
        <v>01043977567</v>
      </c>
      <c r="K3145" s="1" t="str">
        <f>"2017-04-18 19:50:18"</f>
        <v>2017-04-18 19:50:18</v>
      </c>
      <c r="L3145" s="1" t="str">
        <f>"2017-04-18 19:50:28"</f>
        <v>2017-04-18 19:50:28</v>
      </c>
      <c r="M3145" s="2">
        <v>7.6388888888888893E-4</v>
      </c>
      <c r="N3145" s="1" t="s">
        <v>26</v>
      </c>
      <c r="O3145" s="1" t="s">
        <v>27</v>
      </c>
      <c r="P3145" s="2">
        <v>8.7962962962962962E-4</v>
      </c>
      <c r="Q3145" s="1" t="s">
        <v>2293</v>
      </c>
      <c r="R3145" s="1">
        <v>0</v>
      </c>
      <c r="S3145" s="1" t="str">
        <f>""</f>
        <v/>
      </c>
      <c r="T3145" s="1" t="s">
        <v>29</v>
      </c>
      <c r="U3145" s="1" t="s">
        <v>30</v>
      </c>
      <c r="V3145" s="1">
        <v>0</v>
      </c>
    </row>
    <row r="3146" spans="2:22" x14ac:dyDescent="0.15">
      <c r="B3146" s="1" t="str">
        <f>"135****6355"</f>
        <v>135****6355</v>
      </c>
      <c r="C3146" s="1" t="s">
        <v>23</v>
      </c>
      <c r="D3146" s="1" t="str">
        <f t="shared" si="308"/>
        <v>89177328</v>
      </c>
      <c r="E3146" s="1" t="s">
        <v>24</v>
      </c>
      <c r="F3146" s="1" t="str">
        <f t="shared" si="309"/>
        <v>0010</v>
      </c>
      <c r="G3146" s="1" t="s">
        <v>24</v>
      </c>
      <c r="H3146" s="1" t="str">
        <f>"0033"</f>
        <v>0033</v>
      </c>
      <c r="I3146" s="1" t="s">
        <v>106</v>
      </c>
      <c r="J3146" s="1" t="str">
        <f>"01043977567"</f>
        <v>01043977567</v>
      </c>
      <c r="K3146" s="1" t="str">
        <f>"2017-04-18 19:44:08"</f>
        <v>2017-04-18 19:44:08</v>
      </c>
      <c r="L3146" s="1" t="str">
        <f>"2017-04-18 19:44:17"</f>
        <v>2017-04-18 19:44:17</v>
      </c>
      <c r="M3146" s="2">
        <v>3.0902777777777782E-3</v>
      </c>
      <c r="N3146" s="1" t="s">
        <v>26</v>
      </c>
      <c r="O3146" s="1" t="s">
        <v>27</v>
      </c>
      <c r="P3146" s="2">
        <v>3.1944444444444442E-3</v>
      </c>
      <c r="Q3146" s="1" t="s">
        <v>2294</v>
      </c>
      <c r="R3146" s="1">
        <v>0</v>
      </c>
      <c r="S3146" s="1" t="str">
        <f>""</f>
        <v/>
      </c>
      <c r="T3146" s="1" t="s">
        <v>29</v>
      </c>
      <c r="U3146" s="1" t="s">
        <v>30</v>
      </c>
      <c r="V3146" s="1">
        <v>0</v>
      </c>
    </row>
    <row r="3147" spans="2:22" x14ac:dyDescent="0.15">
      <c r="B3147" s="1" t="str">
        <f>"131****7322"</f>
        <v>131****7322</v>
      </c>
      <c r="C3147" s="1" t="s">
        <v>23</v>
      </c>
      <c r="D3147" s="1" t="str">
        <f t="shared" si="308"/>
        <v>89177328</v>
      </c>
      <c r="E3147" s="1" t="s">
        <v>24</v>
      </c>
      <c r="F3147" s="1" t="str">
        <f t="shared" si="309"/>
        <v>0010</v>
      </c>
      <c r="G3147" s="1" t="s">
        <v>24</v>
      </c>
      <c r="H3147" s="1" t="str">
        <f>"0018"</f>
        <v>0018</v>
      </c>
      <c r="I3147" s="1" t="s">
        <v>36</v>
      </c>
      <c r="J3147" s="1" t="str">
        <f>"01043977572"</f>
        <v>01043977572</v>
      </c>
      <c r="K3147" s="1" t="str">
        <f>"2017-04-18 19:39:11"</f>
        <v>2017-04-18 19:39:11</v>
      </c>
      <c r="L3147" s="1" t="str">
        <f>"2017-04-18 19:39:22"</f>
        <v>2017-04-18 19:39:22</v>
      </c>
      <c r="M3147" s="2">
        <v>5.4050925925925924E-3</v>
      </c>
      <c r="N3147" s="1" t="s">
        <v>26</v>
      </c>
      <c r="O3147" s="1" t="s">
        <v>34</v>
      </c>
      <c r="P3147" s="2">
        <v>5.5324074074074069E-3</v>
      </c>
      <c r="Q3147" s="1" t="s">
        <v>2295</v>
      </c>
      <c r="R3147" s="1">
        <v>0</v>
      </c>
      <c r="S3147" s="1" t="str">
        <f>""</f>
        <v/>
      </c>
      <c r="T3147" s="1" t="s">
        <v>29</v>
      </c>
      <c r="U3147" s="1" t="s">
        <v>30</v>
      </c>
      <c r="V3147" s="1">
        <v>0</v>
      </c>
    </row>
    <row r="3148" spans="2:22" x14ac:dyDescent="0.15">
      <c r="B3148" s="1" t="str">
        <f>"138****7192"</f>
        <v>138****7192</v>
      </c>
      <c r="C3148" s="1" t="s">
        <v>23</v>
      </c>
      <c r="D3148" s="1" t="str">
        <f t="shared" si="308"/>
        <v>89177328</v>
      </c>
      <c r="E3148" s="1" t="s">
        <v>24</v>
      </c>
      <c r="F3148" s="1" t="str">
        <f t="shared" si="309"/>
        <v>0010</v>
      </c>
      <c r="G3148" s="1" t="s">
        <v>24</v>
      </c>
      <c r="H3148" s="1" t="str">
        <f>"0035"</f>
        <v>0035</v>
      </c>
      <c r="I3148" s="1" t="s">
        <v>25</v>
      </c>
      <c r="J3148" s="1" t="str">
        <f>"01043977569"</f>
        <v>01043977569</v>
      </c>
      <c r="K3148" s="1" t="str">
        <f>"2017-04-18 19:35:51"</f>
        <v>2017-04-18 19:35:51</v>
      </c>
      <c r="L3148" s="1" t="str">
        <f>"2017-04-18 19:36:02"</f>
        <v>2017-04-18 19:36:02</v>
      </c>
      <c r="M3148" s="2">
        <v>7.1412037037037043E-3</v>
      </c>
      <c r="N3148" s="1" t="s">
        <v>26</v>
      </c>
      <c r="O3148" s="1" t="s">
        <v>27</v>
      </c>
      <c r="P3148" s="2">
        <v>7.2685185185185188E-3</v>
      </c>
      <c r="Q3148" s="1" t="s">
        <v>2296</v>
      </c>
      <c r="R3148" s="1">
        <v>0</v>
      </c>
      <c r="S3148" s="1" t="str">
        <f>""</f>
        <v/>
      </c>
      <c r="T3148" s="1" t="s">
        <v>29</v>
      </c>
      <c r="U3148" s="1" t="s">
        <v>30</v>
      </c>
      <c r="V3148" s="1">
        <v>0</v>
      </c>
    </row>
    <row r="3149" spans="2:22" x14ac:dyDescent="0.15">
      <c r="B3149" s="1" t="str">
        <f>"182****0076"</f>
        <v>182****0076</v>
      </c>
      <c r="C3149" s="1" t="s">
        <v>23</v>
      </c>
      <c r="D3149" s="1" t="str">
        <f t="shared" si="308"/>
        <v>89177328</v>
      </c>
      <c r="E3149" s="1" t="s">
        <v>24</v>
      </c>
      <c r="F3149" s="1" t="str">
        <f t="shared" si="309"/>
        <v>0010</v>
      </c>
      <c r="G3149" s="1" t="s">
        <v>24</v>
      </c>
      <c r="H3149" s="1" t="str">
        <f>"0017"</f>
        <v>0017</v>
      </c>
      <c r="I3149" s="1" t="s">
        <v>135</v>
      </c>
      <c r="J3149" s="1" t="str">
        <f>"01043989717"</f>
        <v>01043989717</v>
      </c>
      <c r="K3149" s="1" t="str">
        <f>"2017-04-18 19:01:52"</f>
        <v>2017-04-18 19:01:52</v>
      </c>
      <c r="L3149" s="1" t="str">
        <f>"2017-04-18 19:02:06"</f>
        <v>2017-04-18 19:02:06</v>
      </c>
      <c r="M3149" s="2">
        <v>6.3078703703703708E-3</v>
      </c>
      <c r="N3149" s="1" t="s">
        <v>26</v>
      </c>
      <c r="O3149" s="1" t="s">
        <v>27</v>
      </c>
      <c r="P3149" s="2">
        <v>6.4699074074074069E-3</v>
      </c>
      <c r="Q3149" s="1" t="s">
        <v>2297</v>
      </c>
      <c r="R3149" s="1">
        <v>0</v>
      </c>
      <c r="S3149" s="1" t="str">
        <f>""</f>
        <v/>
      </c>
      <c r="T3149" s="1" t="s">
        <v>29</v>
      </c>
      <c r="U3149" s="1" t="s">
        <v>30</v>
      </c>
      <c r="V3149" s="1">
        <v>0</v>
      </c>
    </row>
    <row r="3150" spans="2:22" x14ac:dyDescent="0.15">
      <c r="B3150" s="1" t="str">
        <f>"182****0076"</f>
        <v>182****0076</v>
      </c>
      <c r="C3150" s="1" t="s">
        <v>23</v>
      </c>
      <c r="D3150" s="1" t="str">
        <f t="shared" si="308"/>
        <v>89177328</v>
      </c>
      <c r="E3150" s="1" t="s">
        <v>24</v>
      </c>
      <c r="F3150" s="1" t="str">
        <f t="shared" si="309"/>
        <v>0010</v>
      </c>
      <c r="G3150" s="1" t="s">
        <v>24</v>
      </c>
      <c r="H3150" s="1" t="str">
        <f>"0017"</f>
        <v>0017</v>
      </c>
      <c r="I3150" s="1" t="s">
        <v>135</v>
      </c>
      <c r="J3150" s="1" t="str">
        <f>"01043989717"</f>
        <v>01043989717</v>
      </c>
      <c r="K3150" s="1" t="str">
        <f>"2017-04-18 19:00:20"</f>
        <v>2017-04-18 19:00:20</v>
      </c>
      <c r="L3150" s="1" t="str">
        <f>"-"</f>
        <v>-</v>
      </c>
      <c r="M3150" s="2">
        <v>0</v>
      </c>
      <c r="N3150" s="1" t="s">
        <v>33</v>
      </c>
      <c r="O3150" s="1" t="s">
        <v>34</v>
      </c>
      <c r="P3150" s="2">
        <v>1.1574074074074073E-5</v>
      </c>
      <c r="Q3150" s="1" t="str">
        <f>""</f>
        <v/>
      </c>
      <c r="R3150" s="1">
        <v>0</v>
      </c>
      <c r="S3150" s="1" t="str">
        <f>""</f>
        <v/>
      </c>
      <c r="T3150" s="1" t="s">
        <v>29</v>
      </c>
      <c r="U3150" s="1" t="s">
        <v>30</v>
      </c>
      <c r="V3150" s="1">
        <v>0</v>
      </c>
    </row>
    <row r="3151" spans="2:22" x14ac:dyDescent="0.15">
      <c r="B3151" s="1" t="str">
        <f>"152****3392"</f>
        <v>152****3392</v>
      </c>
      <c r="C3151" s="1" t="s">
        <v>23</v>
      </c>
      <c r="D3151" s="1" t="str">
        <f t="shared" si="308"/>
        <v>89177328</v>
      </c>
      <c r="E3151" s="1" t="s">
        <v>24</v>
      </c>
      <c r="F3151" s="1" t="str">
        <f t="shared" si="309"/>
        <v>0010</v>
      </c>
      <c r="G3151" s="1" t="s">
        <v>24</v>
      </c>
      <c r="H3151" s="1" t="str">
        <f>"0033"</f>
        <v>0033</v>
      </c>
      <c r="I3151" s="1" t="s">
        <v>106</v>
      </c>
      <c r="J3151" s="1" t="str">
        <f>"01043977567"</f>
        <v>01043977567</v>
      </c>
      <c r="K3151" s="1" t="str">
        <f>"2017-04-18 18:07:27"</f>
        <v>2017-04-18 18:07:27</v>
      </c>
      <c r="L3151" s="1" t="str">
        <f>"2017-04-18 18:07:40"</f>
        <v>2017-04-18 18:07:40</v>
      </c>
      <c r="M3151" s="2">
        <v>1.1909722222222223E-2</v>
      </c>
      <c r="N3151" s="1" t="s">
        <v>26</v>
      </c>
      <c r="O3151" s="1" t="s">
        <v>27</v>
      </c>
      <c r="P3151" s="2">
        <v>1.2060185185185186E-2</v>
      </c>
      <c r="Q3151" s="1" t="s">
        <v>2298</v>
      </c>
      <c r="R3151" s="1">
        <v>0</v>
      </c>
      <c r="S3151" s="1" t="str">
        <f>""</f>
        <v/>
      </c>
      <c r="T3151" s="1" t="s">
        <v>29</v>
      </c>
      <c r="U3151" s="1" t="s">
        <v>30</v>
      </c>
      <c r="V3151" s="1">
        <v>0</v>
      </c>
    </row>
    <row r="3152" spans="2:22" x14ac:dyDescent="0.15">
      <c r="B3152" s="1" t="str">
        <f>"138****3850"</f>
        <v>138****3850</v>
      </c>
      <c r="C3152" s="1" t="s">
        <v>23</v>
      </c>
      <c r="D3152" s="1" t="str">
        <f t="shared" si="308"/>
        <v>89177328</v>
      </c>
      <c r="E3152" s="1" t="s">
        <v>24</v>
      </c>
      <c r="F3152" s="1" t="str">
        <f t="shared" si="309"/>
        <v>0010</v>
      </c>
      <c r="G3152" s="1" t="s">
        <v>24</v>
      </c>
      <c r="H3152" s="1" t="str">
        <f>"0033"</f>
        <v>0033</v>
      </c>
      <c r="I3152" s="1" t="s">
        <v>106</v>
      </c>
      <c r="J3152" s="1" t="str">
        <f>"01043977567"</f>
        <v>01043977567</v>
      </c>
      <c r="K3152" s="1" t="str">
        <f>"2017-04-18 17:58:33"</f>
        <v>2017-04-18 17:58:33</v>
      </c>
      <c r="L3152" s="1" t="str">
        <f>"-"</f>
        <v>-</v>
      </c>
      <c r="M3152" s="2">
        <v>0</v>
      </c>
      <c r="N3152" s="1" t="s">
        <v>33</v>
      </c>
      <c r="O3152" s="1" t="s">
        <v>34</v>
      </c>
      <c r="P3152" s="2">
        <v>5.7870370370370366E-5</v>
      </c>
      <c r="Q3152" s="1" t="str">
        <f>""</f>
        <v/>
      </c>
      <c r="R3152" s="1">
        <v>0</v>
      </c>
      <c r="S3152" s="1" t="str">
        <f>""</f>
        <v/>
      </c>
      <c r="T3152" s="1" t="s">
        <v>29</v>
      </c>
      <c r="U3152" s="1" t="s">
        <v>30</v>
      </c>
      <c r="V3152" s="1">
        <v>0</v>
      </c>
    </row>
    <row r="3153" spans="2:22" x14ac:dyDescent="0.15">
      <c r="B3153" s="1" t="str">
        <f>"177****5725"</f>
        <v>177****5725</v>
      </c>
      <c r="C3153" s="1" t="s">
        <v>44</v>
      </c>
      <c r="D3153" s="1" t="str">
        <f t="shared" si="308"/>
        <v>89177328</v>
      </c>
      <c r="E3153" s="1" t="s">
        <v>24</v>
      </c>
      <c r="F3153" s="1" t="str">
        <f t="shared" si="309"/>
        <v>0010</v>
      </c>
      <c r="G3153" s="1" t="s">
        <v>24</v>
      </c>
      <c r="H3153" s="1" t="str">
        <f t="shared" ref="H3153:H3162" si="310">"0034"</f>
        <v>0034</v>
      </c>
      <c r="I3153" s="1" t="s">
        <v>31</v>
      </c>
      <c r="J3153" s="1" t="str">
        <f t="shared" ref="J3153:J3162" si="311">"01043977568"</f>
        <v>01043977568</v>
      </c>
      <c r="K3153" s="1" t="str">
        <f>"2017-04-18 17:22:47"</f>
        <v>2017-04-18 17:22:47</v>
      </c>
      <c r="L3153" s="1" t="str">
        <f>"2017-04-18 17:22:59"</f>
        <v>2017-04-18 17:22:59</v>
      </c>
      <c r="M3153" s="2">
        <v>1.3078703703703705E-3</v>
      </c>
      <c r="N3153" s="1" t="s">
        <v>26</v>
      </c>
      <c r="O3153" s="1" t="s">
        <v>27</v>
      </c>
      <c r="P3153" s="2">
        <v>1.4467592592592594E-3</v>
      </c>
      <c r="Q3153" s="1" t="s">
        <v>2299</v>
      </c>
      <c r="R3153" s="1">
        <v>0</v>
      </c>
      <c r="S3153" s="1" t="str">
        <f>""</f>
        <v/>
      </c>
      <c r="T3153" s="1" t="s">
        <v>29</v>
      </c>
      <c r="U3153" s="1" t="s">
        <v>30</v>
      </c>
      <c r="V3153" s="1">
        <v>0</v>
      </c>
    </row>
    <row r="3154" spans="2:22" x14ac:dyDescent="0.15">
      <c r="B3154" s="1" t="str">
        <f>"010****5860"</f>
        <v>010****5860</v>
      </c>
      <c r="C3154" s="1" t="s">
        <v>23</v>
      </c>
      <c r="D3154" s="1" t="str">
        <f t="shared" si="308"/>
        <v>89177328</v>
      </c>
      <c r="E3154" s="1" t="s">
        <v>24</v>
      </c>
      <c r="F3154" s="1" t="str">
        <f t="shared" si="309"/>
        <v>0010</v>
      </c>
      <c r="G3154" s="1" t="s">
        <v>24</v>
      </c>
      <c r="H3154" s="1" t="str">
        <f t="shared" si="310"/>
        <v>0034</v>
      </c>
      <c r="I3154" s="1" t="s">
        <v>31</v>
      </c>
      <c r="J3154" s="1" t="str">
        <f t="shared" si="311"/>
        <v>01043977568</v>
      </c>
      <c r="K3154" s="1" t="str">
        <f>"2017-04-18 16:46:39"</f>
        <v>2017-04-18 16:46:39</v>
      </c>
      <c r="L3154" s="1" t="str">
        <f>"2017-04-18 16:46:52"</f>
        <v>2017-04-18 16:46:52</v>
      </c>
      <c r="M3154" s="2">
        <v>8.2638888888888883E-3</v>
      </c>
      <c r="N3154" s="1" t="s">
        <v>26</v>
      </c>
      <c r="O3154" s="1" t="s">
        <v>27</v>
      </c>
      <c r="P3154" s="2">
        <v>8.4143518518518517E-3</v>
      </c>
      <c r="Q3154" s="1" t="s">
        <v>2300</v>
      </c>
      <c r="R3154" s="1">
        <v>0</v>
      </c>
      <c r="S3154" s="1" t="str">
        <f>""</f>
        <v/>
      </c>
      <c r="T3154" s="1" t="s">
        <v>29</v>
      </c>
      <c r="U3154" s="1" t="s">
        <v>30</v>
      </c>
      <c r="V3154" s="1">
        <v>0</v>
      </c>
    </row>
    <row r="3155" spans="2:22" x14ac:dyDescent="0.15">
      <c r="B3155" s="1" t="str">
        <f>"177****0206"</f>
        <v>177****0206</v>
      </c>
      <c r="C3155" s="1" t="s">
        <v>23</v>
      </c>
      <c r="D3155" s="1" t="str">
        <f t="shared" si="308"/>
        <v>89177328</v>
      </c>
      <c r="E3155" s="1" t="s">
        <v>24</v>
      </c>
      <c r="F3155" s="1" t="str">
        <f t="shared" si="309"/>
        <v>0010</v>
      </c>
      <c r="G3155" s="1" t="s">
        <v>24</v>
      </c>
      <c r="H3155" s="1" t="str">
        <f t="shared" si="310"/>
        <v>0034</v>
      </c>
      <c r="I3155" s="1" t="s">
        <v>31</v>
      </c>
      <c r="J3155" s="1" t="str">
        <f t="shared" si="311"/>
        <v>01043977568</v>
      </c>
      <c r="K3155" s="1" t="str">
        <f>"2017-04-18 16:43:27"</f>
        <v>2017-04-18 16:43:27</v>
      </c>
      <c r="L3155" s="1" t="str">
        <f t="shared" ref="L3155:L3162" si="312">"-"</f>
        <v>-</v>
      </c>
      <c r="M3155" s="2">
        <v>0</v>
      </c>
      <c r="N3155" s="1" t="s">
        <v>33</v>
      </c>
      <c r="O3155" s="1" t="s">
        <v>34</v>
      </c>
      <c r="P3155" s="2">
        <v>4.6296296296296294E-5</v>
      </c>
      <c r="Q3155" s="1" t="str">
        <f>""</f>
        <v/>
      </c>
      <c r="R3155" s="1">
        <v>0</v>
      </c>
      <c r="S3155" s="1" t="str">
        <f>""</f>
        <v/>
      </c>
      <c r="T3155" s="1" t="s">
        <v>29</v>
      </c>
      <c r="U3155" s="1" t="s">
        <v>30</v>
      </c>
      <c r="V3155" s="1">
        <v>0</v>
      </c>
    </row>
    <row r="3156" spans="2:22" x14ac:dyDescent="0.15">
      <c r="B3156" s="1" t="str">
        <f>"130****5656"</f>
        <v>130****5656</v>
      </c>
      <c r="C3156" s="1" t="s">
        <v>112</v>
      </c>
      <c r="D3156" s="1" t="str">
        <f t="shared" si="308"/>
        <v>89177328</v>
      </c>
      <c r="E3156" s="1" t="s">
        <v>24</v>
      </c>
      <c r="F3156" s="1" t="str">
        <f t="shared" si="309"/>
        <v>0010</v>
      </c>
      <c r="G3156" s="1" t="s">
        <v>24</v>
      </c>
      <c r="H3156" s="1" t="str">
        <f t="shared" si="310"/>
        <v>0034</v>
      </c>
      <c r="I3156" s="1" t="s">
        <v>31</v>
      </c>
      <c r="J3156" s="1" t="str">
        <f t="shared" si="311"/>
        <v>01043977568</v>
      </c>
      <c r="K3156" s="1" t="str">
        <f>"2017-04-18 16:42:44"</f>
        <v>2017-04-18 16:42:44</v>
      </c>
      <c r="L3156" s="1" t="str">
        <f t="shared" si="312"/>
        <v>-</v>
      </c>
      <c r="M3156" s="2">
        <v>0</v>
      </c>
      <c r="N3156" s="1" t="s">
        <v>33</v>
      </c>
      <c r="O3156" s="1" t="s">
        <v>34</v>
      </c>
      <c r="P3156" s="2">
        <v>4.6296296296296294E-5</v>
      </c>
      <c r="Q3156" s="1" t="str">
        <f>""</f>
        <v/>
      </c>
      <c r="R3156" s="1">
        <v>0</v>
      </c>
      <c r="S3156" s="1" t="str">
        <f>""</f>
        <v/>
      </c>
      <c r="T3156" s="1" t="s">
        <v>29</v>
      </c>
      <c r="U3156" s="1" t="s">
        <v>30</v>
      </c>
      <c r="V3156" s="1">
        <v>0</v>
      </c>
    </row>
    <row r="3157" spans="2:22" x14ac:dyDescent="0.15">
      <c r="B3157" s="1" t="str">
        <f>"133****9597"</f>
        <v>133****9597</v>
      </c>
      <c r="C3157" s="1" t="s">
        <v>23</v>
      </c>
      <c r="D3157" s="1" t="str">
        <f t="shared" si="308"/>
        <v>89177328</v>
      </c>
      <c r="E3157" s="1" t="s">
        <v>24</v>
      </c>
      <c r="F3157" s="1" t="str">
        <f t="shared" si="309"/>
        <v>0010</v>
      </c>
      <c r="G3157" s="1" t="s">
        <v>24</v>
      </c>
      <c r="H3157" s="1" t="str">
        <f t="shared" si="310"/>
        <v>0034</v>
      </c>
      <c r="I3157" s="1" t="s">
        <v>31</v>
      </c>
      <c r="J3157" s="1" t="str">
        <f t="shared" si="311"/>
        <v>01043977568</v>
      </c>
      <c r="K3157" s="1" t="str">
        <f>"2017-04-18 16:41:39"</f>
        <v>2017-04-18 16:41:39</v>
      </c>
      <c r="L3157" s="1" t="str">
        <f t="shared" si="312"/>
        <v>-</v>
      </c>
      <c r="M3157" s="2">
        <v>0</v>
      </c>
      <c r="N3157" s="1" t="s">
        <v>33</v>
      </c>
      <c r="O3157" s="1" t="s">
        <v>34</v>
      </c>
      <c r="P3157" s="2">
        <v>4.6296296296296294E-5</v>
      </c>
      <c r="Q3157" s="1" t="str">
        <f>""</f>
        <v/>
      </c>
      <c r="R3157" s="1">
        <v>0</v>
      </c>
      <c r="S3157" s="1" t="str">
        <f>""</f>
        <v/>
      </c>
      <c r="T3157" s="1" t="s">
        <v>29</v>
      </c>
      <c r="U3157" s="1" t="s">
        <v>30</v>
      </c>
      <c r="V3157" s="1">
        <v>0</v>
      </c>
    </row>
    <row r="3158" spans="2:22" x14ac:dyDescent="0.15">
      <c r="B3158" s="1" t="str">
        <f>"186****0604"</f>
        <v>186****0604</v>
      </c>
      <c r="C3158" s="1" t="s">
        <v>23</v>
      </c>
      <c r="D3158" s="1" t="str">
        <f t="shared" si="308"/>
        <v>89177328</v>
      </c>
      <c r="E3158" s="1" t="s">
        <v>24</v>
      </c>
      <c r="F3158" s="1" t="str">
        <f t="shared" si="309"/>
        <v>0010</v>
      </c>
      <c r="G3158" s="1" t="s">
        <v>24</v>
      </c>
      <c r="H3158" s="1" t="str">
        <f t="shared" si="310"/>
        <v>0034</v>
      </c>
      <c r="I3158" s="1" t="s">
        <v>31</v>
      </c>
      <c r="J3158" s="1" t="str">
        <f t="shared" si="311"/>
        <v>01043977568</v>
      </c>
      <c r="K3158" s="1" t="str">
        <f>"2017-04-18 16:41:23"</f>
        <v>2017-04-18 16:41:23</v>
      </c>
      <c r="L3158" s="1" t="str">
        <f t="shared" si="312"/>
        <v>-</v>
      </c>
      <c r="M3158" s="2">
        <v>0</v>
      </c>
      <c r="N3158" s="1" t="s">
        <v>33</v>
      </c>
      <c r="O3158" s="1" t="s">
        <v>34</v>
      </c>
      <c r="P3158" s="2">
        <v>5.7870370370370366E-5</v>
      </c>
      <c r="Q3158" s="1" t="str">
        <f>""</f>
        <v/>
      </c>
      <c r="R3158" s="1">
        <v>0</v>
      </c>
      <c r="S3158" s="1" t="str">
        <f>""</f>
        <v/>
      </c>
      <c r="T3158" s="1" t="s">
        <v>29</v>
      </c>
      <c r="U3158" s="1" t="s">
        <v>30</v>
      </c>
      <c r="V3158" s="1">
        <v>0</v>
      </c>
    </row>
    <row r="3159" spans="2:22" x14ac:dyDescent="0.15">
      <c r="B3159" s="1" t="str">
        <f>"177****0206"</f>
        <v>177****0206</v>
      </c>
      <c r="C3159" s="1" t="s">
        <v>23</v>
      </c>
      <c r="D3159" s="1" t="str">
        <f t="shared" si="308"/>
        <v>89177328</v>
      </c>
      <c r="E3159" s="1" t="s">
        <v>24</v>
      </c>
      <c r="F3159" s="1" t="str">
        <f t="shared" si="309"/>
        <v>0010</v>
      </c>
      <c r="G3159" s="1" t="s">
        <v>24</v>
      </c>
      <c r="H3159" s="1" t="str">
        <f t="shared" si="310"/>
        <v>0034</v>
      </c>
      <c r="I3159" s="1" t="s">
        <v>31</v>
      </c>
      <c r="J3159" s="1" t="str">
        <f t="shared" si="311"/>
        <v>01043977568</v>
      </c>
      <c r="K3159" s="1" t="str">
        <f>"2017-04-18 16:40:55"</f>
        <v>2017-04-18 16:40:55</v>
      </c>
      <c r="L3159" s="1" t="str">
        <f t="shared" si="312"/>
        <v>-</v>
      </c>
      <c r="M3159" s="2">
        <v>0</v>
      </c>
      <c r="N3159" s="1" t="s">
        <v>33</v>
      </c>
      <c r="O3159" s="1" t="s">
        <v>34</v>
      </c>
      <c r="P3159" s="2">
        <v>4.6296296296296294E-5</v>
      </c>
      <c r="Q3159" s="1" t="str">
        <f>""</f>
        <v/>
      </c>
      <c r="R3159" s="1">
        <v>0</v>
      </c>
      <c r="S3159" s="1" t="str">
        <f>""</f>
        <v/>
      </c>
      <c r="T3159" s="1" t="s">
        <v>29</v>
      </c>
      <c r="U3159" s="1" t="s">
        <v>30</v>
      </c>
      <c r="V3159" s="1">
        <v>0</v>
      </c>
    </row>
    <row r="3160" spans="2:22" x14ac:dyDescent="0.15">
      <c r="B3160" s="1" t="str">
        <f>"130****5656"</f>
        <v>130****5656</v>
      </c>
      <c r="C3160" s="1" t="s">
        <v>112</v>
      </c>
      <c r="D3160" s="1" t="str">
        <f t="shared" si="308"/>
        <v>89177328</v>
      </c>
      <c r="E3160" s="1" t="s">
        <v>24</v>
      </c>
      <c r="F3160" s="1" t="str">
        <f t="shared" si="309"/>
        <v>0010</v>
      </c>
      <c r="G3160" s="1" t="s">
        <v>24</v>
      </c>
      <c r="H3160" s="1" t="str">
        <f t="shared" si="310"/>
        <v>0034</v>
      </c>
      <c r="I3160" s="1" t="s">
        <v>31</v>
      </c>
      <c r="J3160" s="1" t="str">
        <f t="shared" si="311"/>
        <v>01043977568</v>
      </c>
      <c r="K3160" s="1" t="str">
        <f>"2017-04-18 16:39:23"</f>
        <v>2017-04-18 16:39:23</v>
      </c>
      <c r="L3160" s="1" t="str">
        <f t="shared" si="312"/>
        <v>-</v>
      </c>
      <c r="M3160" s="2">
        <v>0</v>
      </c>
      <c r="N3160" s="1" t="s">
        <v>33</v>
      </c>
      <c r="O3160" s="1" t="s">
        <v>34</v>
      </c>
      <c r="P3160" s="2">
        <v>4.6296296296296294E-5</v>
      </c>
      <c r="Q3160" s="1" t="str">
        <f>""</f>
        <v/>
      </c>
      <c r="R3160" s="1">
        <v>0</v>
      </c>
      <c r="S3160" s="1" t="str">
        <f>""</f>
        <v/>
      </c>
      <c r="T3160" s="1" t="s">
        <v>29</v>
      </c>
      <c r="U3160" s="1" t="s">
        <v>30</v>
      </c>
      <c r="V3160" s="1">
        <v>0</v>
      </c>
    </row>
    <row r="3161" spans="2:22" x14ac:dyDescent="0.15">
      <c r="B3161" s="1" t="str">
        <f>"177****0206"</f>
        <v>177****0206</v>
      </c>
      <c r="C3161" s="1" t="s">
        <v>23</v>
      </c>
      <c r="D3161" s="1" t="str">
        <f t="shared" si="308"/>
        <v>89177328</v>
      </c>
      <c r="E3161" s="1" t="s">
        <v>24</v>
      </c>
      <c r="F3161" s="1" t="str">
        <f t="shared" si="309"/>
        <v>0010</v>
      </c>
      <c r="G3161" s="1" t="s">
        <v>24</v>
      </c>
      <c r="H3161" s="1" t="str">
        <f t="shared" si="310"/>
        <v>0034</v>
      </c>
      <c r="I3161" s="1" t="s">
        <v>31</v>
      </c>
      <c r="J3161" s="1" t="str">
        <f t="shared" si="311"/>
        <v>01043977568</v>
      </c>
      <c r="K3161" s="1" t="str">
        <f>"2017-04-18 16:37:49"</f>
        <v>2017-04-18 16:37:49</v>
      </c>
      <c r="L3161" s="1" t="str">
        <f t="shared" si="312"/>
        <v>-</v>
      </c>
      <c r="M3161" s="2">
        <v>0</v>
      </c>
      <c r="N3161" s="1" t="s">
        <v>33</v>
      </c>
      <c r="O3161" s="1" t="s">
        <v>34</v>
      </c>
      <c r="P3161" s="2">
        <v>6.9444444444444444E-5</v>
      </c>
      <c r="Q3161" s="1" t="str">
        <f>""</f>
        <v/>
      </c>
      <c r="R3161" s="1">
        <v>0</v>
      </c>
      <c r="S3161" s="1" t="str">
        <f>""</f>
        <v/>
      </c>
      <c r="T3161" s="1" t="s">
        <v>29</v>
      </c>
      <c r="U3161" s="1" t="s">
        <v>30</v>
      </c>
      <c r="V3161" s="1">
        <v>0</v>
      </c>
    </row>
    <row r="3162" spans="2:22" x14ac:dyDescent="0.15">
      <c r="B3162" s="1" t="str">
        <f>"186****0604"</f>
        <v>186****0604</v>
      </c>
      <c r="C3162" s="1" t="s">
        <v>23</v>
      </c>
      <c r="D3162" s="1" t="str">
        <f t="shared" si="308"/>
        <v>89177328</v>
      </c>
      <c r="E3162" s="1" t="s">
        <v>24</v>
      </c>
      <c r="F3162" s="1" t="str">
        <f t="shared" si="309"/>
        <v>0010</v>
      </c>
      <c r="G3162" s="1" t="s">
        <v>24</v>
      </c>
      <c r="H3162" s="1" t="str">
        <f t="shared" si="310"/>
        <v>0034</v>
      </c>
      <c r="I3162" s="1" t="s">
        <v>31</v>
      </c>
      <c r="J3162" s="1" t="str">
        <f t="shared" si="311"/>
        <v>01043977568</v>
      </c>
      <c r="K3162" s="1" t="str">
        <f>"2017-04-18 16:34:59"</f>
        <v>2017-04-18 16:34:59</v>
      </c>
      <c r="L3162" s="1" t="str">
        <f t="shared" si="312"/>
        <v>-</v>
      </c>
      <c r="M3162" s="2">
        <v>0</v>
      </c>
      <c r="N3162" s="1" t="s">
        <v>33</v>
      </c>
      <c r="O3162" s="1" t="s">
        <v>34</v>
      </c>
      <c r="P3162" s="2">
        <v>9.2592592592592588E-5</v>
      </c>
      <c r="Q3162" s="1" t="str">
        <f>""</f>
        <v/>
      </c>
      <c r="R3162" s="1">
        <v>0</v>
      </c>
      <c r="S3162" s="1" t="str">
        <f>""</f>
        <v/>
      </c>
      <c r="T3162" s="1" t="s">
        <v>29</v>
      </c>
      <c r="U3162" s="1" t="s">
        <v>30</v>
      </c>
      <c r="V3162" s="1">
        <v>0</v>
      </c>
    </row>
    <row r="3163" spans="2:22" x14ac:dyDescent="0.15">
      <c r="B3163" s="1" t="str">
        <f>"158****1978"</f>
        <v>158****1978</v>
      </c>
      <c r="C3163" s="1" t="s">
        <v>23</v>
      </c>
      <c r="D3163" s="1" t="str">
        <f t="shared" si="308"/>
        <v>89177328</v>
      </c>
      <c r="E3163" s="1" t="s">
        <v>24</v>
      </c>
      <c r="F3163" s="1" t="str">
        <f t="shared" si="309"/>
        <v>0010</v>
      </c>
      <c r="G3163" s="1" t="s">
        <v>24</v>
      </c>
      <c r="H3163" s="1" t="str">
        <f>"0017"</f>
        <v>0017</v>
      </c>
      <c r="I3163" s="1" t="s">
        <v>135</v>
      </c>
      <c r="J3163" s="1" t="str">
        <f>"01043989717"</f>
        <v>01043989717</v>
      </c>
      <c r="K3163" s="1" t="str">
        <f>"2017-04-18 16:29:10"</f>
        <v>2017-04-18 16:29:10</v>
      </c>
      <c r="L3163" s="1" t="str">
        <f>"2017-04-18 16:29:18"</f>
        <v>2017-04-18 16:29:18</v>
      </c>
      <c r="M3163" s="2">
        <v>1.6319444444444445E-3</v>
      </c>
      <c r="N3163" s="1" t="s">
        <v>26</v>
      </c>
      <c r="O3163" s="1" t="s">
        <v>27</v>
      </c>
      <c r="P3163" s="2">
        <v>1.7245370370370372E-3</v>
      </c>
      <c r="Q3163" s="1" t="s">
        <v>2301</v>
      </c>
      <c r="R3163" s="1">
        <v>0</v>
      </c>
      <c r="S3163" s="1" t="str">
        <f>""</f>
        <v/>
      </c>
      <c r="T3163" s="1" t="s">
        <v>29</v>
      </c>
      <c r="U3163" s="1" t="s">
        <v>30</v>
      </c>
      <c r="V3163" s="1">
        <v>0</v>
      </c>
    </row>
    <row r="3164" spans="2:22" x14ac:dyDescent="0.15">
      <c r="B3164" s="1" t="str">
        <f>"150****4080"</f>
        <v>150****4080</v>
      </c>
      <c r="C3164" s="1" t="s">
        <v>113</v>
      </c>
      <c r="D3164" s="1" t="str">
        <f t="shared" si="308"/>
        <v>89177328</v>
      </c>
      <c r="E3164" s="1" t="s">
        <v>24</v>
      </c>
      <c r="F3164" s="1" t="str">
        <f t="shared" si="309"/>
        <v>0010</v>
      </c>
      <c r="G3164" s="1" t="s">
        <v>24</v>
      </c>
      <c r="H3164" s="1" t="str">
        <f>"0017"</f>
        <v>0017</v>
      </c>
      <c r="I3164" s="1" t="s">
        <v>135</v>
      </c>
      <c r="J3164" s="1" t="str">
        <f>"01043989717"</f>
        <v>01043989717</v>
      </c>
      <c r="K3164" s="1" t="str">
        <f>"2017-04-18 16:18:04"</f>
        <v>2017-04-18 16:18:04</v>
      </c>
      <c r="L3164" s="1" t="str">
        <f>"-"</f>
        <v>-</v>
      </c>
      <c r="M3164" s="2">
        <v>0</v>
      </c>
      <c r="N3164" s="1" t="s">
        <v>33</v>
      </c>
      <c r="O3164" s="1" t="s">
        <v>34</v>
      </c>
      <c r="P3164" s="2">
        <v>1.0416666666666667E-4</v>
      </c>
      <c r="Q3164" s="1" t="str">
        <f>""</f>
        <v/>
      </c>
      <c r="R3164" s="1">
        <v>0</v>
      </c>
      <c r="S3164" s="1" t="str">
        <f>""</f>
        <v/>
      </c>
      <c r="T3164" s="1" t="s">
        <v>29</v>
      </c>
      <c r="U3164" s="1" t="s">
        <v>30</v>
      </c>
      <c r="V3164" s="1">
        <v>0</v>
      </c>
    </row>
    <row r="3165" spans="2:22" x14ac:dyDescent="0.15">
      <c r="B3165" s="1" t="str">
        <f>"186****9876"</f>
        <v>186****9876</v>
      </c>
      <c r="C3165" s="1" t="s">
        <v>23</v>
      </c>
      <c r="D3165" s="1" t="str">
        <f t="shared" si="308"/>
        <v>89177328</v>
      </c>
      <c r="E3165" s="1" t="s">
        <v>24</v>
      </c>
      <c r="F3165" s="1" t="str">
        <f t="shared" si="309"/>
        <v>0010</v>
      </c>
      <c r="G3165" s="1" t="s">
        <v>24</v>
      </c>
      <c r="H3165" s="1" t="str">
        <f>"0036"</f>
        <v>0036</v>
      </c>
      <c r="I3165" s="1" t="s">
        <v>143</v>
      </c>
      <c r="J3165" s="1" t="str">
        <f>"01043977573"</f>
        <v>01043977573</v>
      </c>
      <c r="K3165" s="1" t="str">
        <f>"2017-04-18 16:16:04"</f>
        <v>2017-04-18 16:16:04</v>
      </c>
      <c r="L3165" s="1" t="str">
        <f>"-"</f>
        <v>-</v>
      </c>
      <c r="M3165" s="2">
        <v>0</v>
      </c>
      <c r="N3165" s="1" t="s">
        <v>33</v>
      </c>
      <c r="O3165" s="1" t="s">
        <v>34</v>
      </c>
      <c r="P3165" s="2">
        <v>2.3148148148148147E-5</v>
      </c>
      <c r="Q3165" s="1" t="str">
        <f>""</f>
        <v/>
      </c>
      <c r="R3165" s="1">
        <v>0</v>
      </c>
      <c r="S3165" s="1" t="str">
        <f>""</f>
        <v/>
      </c>
      <c r="T3165" s="1" t="s">
        <v>29</v>
      </c>
      <c r="U3165" s="1" t="s">
        <v>30</v>
      </c>
      <c r="V3165" s="1">
        <v>0</v>
      </c>
    </row>
    <row r="3166" spans="2:22" x14ac:dyDescent="0.15">
      <c r="B3166" s="1" t="str">
        <f>"180****9293"</f>
        <v>180****9293</v>
      </c>
      <c r="C3166" s="1" t="s">
        <v>188</v>
      </c>
      <c r="D3166" s="1" t="str">
        <f>"4000108333"</f>
        <v>4000108333</v>
      </c>
      <c r="E3166" s="1" t="s">
        <v>53</v>
      </c>
      <c r="F3166" s="1" t="str">
        <f>"0000"</f>
        <v>0000</v>
      </c>
      <c r="G3166" s="1" t="s">
        <v>53</v>
      </c>
      <c r="H3166" s="1" t="str">
        <f>"1010"</f>
        <v>1010</v>
      </c>
      <c r="I3166" s="1" t="s">
        <v>148</v>
      </c>
      <c r="J3166" s="1" t="str">
        <f>"13718091869"</f>
        <v>13718091869</v>
      </c>
      <c r="K3166" s="1" t="str">
        <f>"2017-04-18 16:00:41"</f>
        <v>2017-04-18 16:00:41</v>
      </c>
      <c r="L3166" s="1" t="str">
        <f>"2017-04-18 16:01:34"</f>
        <v>2017-04-18 16:01:34</v>
      </c>
      <c r="M3166" s="2">
        <v>4.8842592592592592E-3</v>
      </c>
      <c r="N3166" s="1" t="s">
        <v>26</v>
      </c>
      <c r="O3166" s="1" t="s">
        <v>27</v>
      </c>
      <c r="P3166" s="2">
        <v>5.4976851851851853E-3</v>
      </c>
      <c r="Q3166" s="1" t="s">
        <v>2302</v>
      </c>
      <c r="R3166" s="1">
        <v>0.96</v>
      </c>
      <c r="S3166" s="1" t="str">
        <f>""</f>
        <v/>
      </c>
      <c r="T3166" s="1" t="s">
        <v>29</v>
      </c>
      <c r="U3166" s="1" t="s">
        <v>30</v>
      </c>
      <c r="V3166" s="1">
        <v>0</v>
      </c>
    </row>
    <row r="3167" spans="2:22" x14ac:dyDescent="0.15">
      <c r="B3167" s="1" t="str">
        <f>"153****5561"</f>
        <v>153****5561</v>
      </c>
      <c r="C3167" s="1" t="s">
        <v>23</v>
      </c>
      <c r="D3167" s="1" t="str">
        <f t="shared" ref="D3167:D3175" si="313">"89177328"</f>
        <v>89177328</v>
      </c>
      <c r="E3167" s="1" t="s">
        <v>24</v>
      </c>
      <c r="F3167" s="1" t="str">
        <f t="shared" ref="F3167:F3175" si="314">"0010"</f>
        <v>0010</v>
      </c>
      <c r="G3167" s="1" t="s">
        <v>24</v>
      </c>
      <c r="H3167" s="1" t="str">
        <f>"0034"</f>
        <v>0034</v>
      </c>
      <c r="I3167" s="1" t="s">
        <v>31</v>
      </c>
      <c r="J3167" s="1" t="str">
        <f>"01043977568"</f>
        <v>01043977568</v>
      </c>
      <c r="K3167" s="1" t="str">
        <f>"2017-04-18 15:36:22"</f>
        <v>2017-04-18 15:36:22</v>
      </c>
      <c r="L3167" s="1" t="str">
        <f>"2017-04-18 15:36:32"</f>
        <v>2017-04-18 15:36:32</v>
      </c>
      <c r="M3167" s="2">
        <v>3.5069444444444445E-3</v>
      </c>
      <c r="N3167" s="1" t="s">
        <v>26</v>
      </c>
      <c r="O3167" s="1" t="s">
        <v>27</v>
      </c>
      <c r="P3167" s="2">
        <v>3.6226851851851854E-3</v>
      </c>
      <c r="Q3167" s="1" t="s">
        <v>2303</v>
      </c>
      <c r="R3167" s="1">
        <v>0</v>
      </c>
      <c r="S3167" s="1" t="str">
        <f>""</f>
        <v/>
      </c>
      <c r="T3167" s="1" t="s">
        <v>29</v>
      </c>
      <c r="U3167" s="1" t="s">
        <v>30</v>
      </c>
      <c r="V3167" s="1">
        <v>0</v>
      </c>
    </row>
    <row r="3168" spans="2:22" x14ac:dyDescent="0.15">
      <c r="B3168" s="1" t="str">
        <f>"186****5189"</f>
        <v>186****5189</v>
      </c>
      <c r="C3168" s="1" t="s">
        <v>23</v>
      </c>
      <c r="D3168" s="1" t="str">
        <f t="shared" si="313"/>
        <v>89177328</v>
      </c>
      <c r="E3168" s="1" t="s">
        <v>24</v>
      </c>
      <c r="F3168" s="1" t="str">
        <f t="shared" si="314"/>
        <v>0010</v>
      </c>
      <c r="G3168" s="1" t="s">
        <v>24</v>
      </c>
      <c r="H3168" s="1" t="str">
        <f>"0034"</f>
        <v>0034</v>
      </c>
      <c r="I3168" s="1" t="s">
        <v>31</v>
      </c>
      <c r="J3168" s="1" t="str">
        <f>"01043977568"</f>
        <v>01043977568</v>
      </c>
      <c r="K3168" s="1" t="str">
        <f>"2017-04-18 14:53:22"</f>
        <v>2017-04-18 14:53:22</v>
      </c>
      <c r="L3168" s="1" t="str">
        <f>"2017-04-18 14:53:32"</f>
        <v>2017-04-18 14:53:32</v>
      </c>
      <c r="M3168" s="2">
        <v>5.6828703703703702E-3</v>
      </c>
      <c r="N3168" s="1" t="s">
        <v>26</v>
      </c>
      <c r="O3168" s="1" t="s">
        <v>34</v>
      </c>
      <c r="P3168" s="2">
        <v>5.7986111111111112E-3</v>
      </c>
      <c r="Q3168" s="1" t="s">
        <v>2304</v>
      </c>
      <c r="R3168" s="1">
        <v>0</v>
      </c>
      <c r="S3168" s="1" t="str">
        <f>""</f>
        <v/>
      </c>
      <c r="T3168" s="1" t="s">
        <v>29</v>
      </c>
      <c r="U3168" s="1" t="s">
        <v>30</v>
      </c>
      <c r="V3168" s="1">
        <v>0</v>
      </c>
    </row>
    <row r="3169" spans="2:22" x14ac:dyDescent="0.15">
      <c r="B3169" s="1" t="str">
        <f>"182****8380"</f>
        <v>182****8380</v>
      </c>
      <c r="C3169" s="1" t="s">
        <v>23</v>
      </c>
      <c r="D3169" s="1" t="str">
        <f t="shared" si="313"/>
        <v>89177328</v>
      </c>
      <c r="E3169" s="1" t="s">
        <v>24</v>
      </c>
      <c r="F3169" s="1" t="str">
        <f t="shared" si="314"/>
        <v>0010</v>
      </c>
      <c r="G3169" s="1" t="s">
        <v>24</v>
      </c>
      <c r="H3169" s="1" t="str">
        <f>"0018"</f>
        <v>0018</v>
      </c>
      <c r="I3169" s="1" t="s">
        <v>36</v>
      </c>
      <c r="J3169" s="1" t="str">
        <f>"01043977572"</f>
        <v>01043977572</v>
      </c>
      <c r="K3169" s="1" t="str">
        <f>"2017-04-18 14:36:25"</f>
        <v>2017-04-18 14:36:25</v>
      </c>
      <c r="L3169" s="1" t="str">
        <f>"2017-04-18 14:36:31"</f>
        <v>2017-04-18 14:36:31</v>
      </c>
      <c r="M3169" s="2">
        <v>2.1608796296296296E-2</v>
      </c>
      <c r="N3169" s="1" t="s">
        <v>26</v>
      </c>
      <c r="O3169" s="1" t="s">
        <v>34</v>
      </c>
      <c r="P3169" s="2">
        <v>2.1678240740740738E-2</v>
      </c>
      <c r="Q3169" s="1" t="s">
        <v>2305</v>
      </c>
      <c r="R3169" s="1">
        <v>0</v>
      </c>
      <c r="S3169" s="1" t="str">
        <f>""</f>
        <v/>
      </c>
      <c r="T3169" s="1" t="s">
        <v>29</v>
      </c>
      <c r="U3169" s="1" t="s">
        <v>30</v>
      </c>
      <c r="V3169" s="1">
        <v>0</v>
      </c>
    </row>
    <row r="3170" spans="2:22" x14ac:dyDescent="0.15">
      <c r="B3170" s="1" t="str">
        <f>"188****2186"</f>
        <v>188****2186</v>
      </c>
      <c r="C3170" s="1" t="s">
        <v>687</v>
      </c>
      <c r="D3170" s="1" t="str">
        <f t="shared" si="313"/>
        <v>89177328</v>
      </c>
      <c r="E3170" s="1" t="s">
        <v>24</v>
      </c>
      <c r="F3170" s="1" t="str">
        <f t="shared" si="314"/>
        <v>0010</v>
      </c>
      <c r="G3170" s="1" t="s">
        <v>24</v>
      </c>
      <c r="H3170" s="1" t="str">
        <f>"0033"</f>
        <v>0033</v>
      </c>
      <c r="I3170" s="1" t="s">
        <v>106</v>
      </c>
      <c r="J3170" s="1" t="str">
        <f>"01043977567"</f>
        <v>01043977567</v>
      </c>
      <c r="K3170" s="1" t="str">
        <f>"2017-04-18 14:34:50"</f>
        <v>2017-04-18 14:34:50</v>
      </c>
      <c r="L3170" s="1" t="str">
        <f>"2017-04-18 14:35:01"</f>
        <v>2017-04-18 14:35:01</v>
      </c>
      <c r="M3170" s="2">
        <v>4.8148148148148152E-3</v>
      </c>
      <c r="N3170" s="1" t="s">
        <v>26</v>
      </c>
      <c r="O3170" s="1" t="s">
        <v>27</v>
      </c>
      <c r="P3170" s="2">
        <v>4.9421296296296288E-3</v>
      </c>
      <c r="Q3170" s="1" t="s">
        <v>2306</v>
      </c>
      <c r="R3170" s="1">
        <v>0</v>
      </c>
      <c r="S3170" s="1" t="str">
        <f>""</f>
        <v/>
      </c>
      <c r="T3170" s="1" t="s">
        <v>29</v>
      </c>
      <c r="U3170" s="1" t="s">
        <v>30</v>
      </c>
      <c r="V3170" s="1">
        <v>0</v>
      </c>
    </row>
    <row r="3171" spans="2:22" x14ac:dyDescent="0.15">
      <c r="B3171" s="1" t="str">
        <f>"053****1968"</f>
        <v>053****1968</v>
      </c>
      <c r="C3171" s="1" t="s">
        <v>1053</v>
      </c>
      <c r="D3171" s="1" t="str">
        <f t="shared" si="313"/>
        <v>89177328</v>
      </c>
      <c r="E3171" s="1" t="s">
        <v>24</v>
      </c>
      <c r="F3171" s="1" t="str">
        <f t="shared" si="314"/>
        <v>0010</v>
      </c>
      <c r="G3171" s="1" t="s">
        <v>24</v>
      </c>
      <c r="H3171" s="1" t="str">
        <f>"0034"</f>
        <v>0034</v>
      </c>
      <c r="I3171" s="1" t="s">
        <v>31</v>
      </c>
      <c r="J3171" s="1" t="str">
        <f>"01043977568"</f>
        <v>01043977568</v>
      </c>
      <c r="K3171" s="1" t="str">
        <f>"2017-04-18 14:30:42"</f>
        <v>2017-04-18 14:30:42</v>
      </c>
      <c r="L3171" s="1" t="str">
        <f>"2017-04-18 14:30:51"</f>
        <v>2017-04-18 14:30:51</v>
      </c>
      <c r="M3171" s="2">
        <v>1.1342592592592592E-2</v>
      </c>
      <c r="N3171" s="1" t="s">
        <v>26</v>
      </c>
      <c r="O3171" s="1" t="s">
        <v>27</v>
      </c>
      <c r="P3171" s="2">
        <v>1.1446759259259261E-2</v>
      </c>
      <c r="Q3171" s="1" t="s">
        <v>2307</v>
      </c>
      <c r="R3171" s="1">
        <v>0</v>
      </c>
      <c r="S3171" s="1" t="str">
        <f>""</f>
        <v/>
      </c>
      <c r="T3171" s="1" t="s">
        <v>29</v>
      </c>
      <c r="U3171" s="1" t="s">
        <v>30</v>
      </c>
      <c r="V3171" s="1">
        <v>0</v>
      </c>
    </row>
    <row r="3172" spans="2:22" x14ac:dyDescent="0.15">
      <c r="B3172" s="1" t="str">
        <f>"159****2057"</f>
        <v>159****2057</v>
      </c>
      <c r="C3172" s="1" t="s">
        <v>99</v>
      </c>
      <c r="D3172" s="1" t="str">
        <f t="shared" si="313"/>
        <v>89177328</v>
      </c>
      <c r="E3172" s="1" t="s">
        <v>24</v>
      </c>
      <c r="F3172" s="1" t="str">
        <f t="shared" si="314"/>
        <v>0010</v>
      </c>
      <c r="G3172" s="1" t="s">
        <v>24</v>
      </c>
      <c r="H3172" s="1" t="str">
        <f>"0033"</f>
        <v>0033</v>
      </c>
      <c r="I3172" s="1" t="s">
        <v>106</v>
      </c>
      <c r="J3172" s="1" t="str">
        <f>"01043977567"</f>
        <v>01043977567</v>
      </c>
      <c r="K3172" s="1" t="str">
        <f>"2017-04-18 14:14:01"</f>
        <v>2017-04-18 14:14:01</v>
      </c>
      <c r="L3172" s="1" t="str">
        <f>"2017-04-18 14:14:13"</f>
        <v>2017-04-18 14:14:13</v>
      </c>
      <c r="M3172" s="2">
        <v>4.0509259259259258E-4</v>
      </c>
      <c r="N3172" s="1" t="s">
        <v>26</v>
      </c>
      <c r="O3172" s="1" t="s">
        <v>27</v>
      </c>
      <c r="P3172" s="2">
        <v>5.4398148148148144E-4</v>
      </c>
      <c r="Q3172" s="1" t="s">
        <v>2308</v>
      </c>
      <c r="R3172" s="1">
        <v>0</v>
      </c>
      <c r="S3172" s="1" t="str">
        <f>""</f>
        <v/>
      </c>
      <c r="T3172" s="1" t="s">
        <v>29</v>
      </c>
      <c r="U3172" s="1" t="s">
        <v>30</v>
      </c>
      <c r="V3172" s="1">
        <v>0</v>
      </c>
    </row>
    <row r="3173" spans="2:22" x14ac:dyDescent="0.15">
      <c r="B3173" s="1" t="str">
        <f>"136****3605"</f>
        <v>136****3605</v>
      </c>
      <c r="C3173" s="1" t="s">
        <v>51</v>
      </c>
      <c r="D3173" s="1" t="str">
        <f t="shared" si="313"/>
        <v>89177328</v>
      </c>
      <c r="E3173" s="1" t="s">
        <v>24</v>
      </c>
      <c r="F3173" s="1" t="str">
        <f t="shared" si="314"/>
        <v>0010</v>
      </c>
      <c r="G3173" s="1" t="s">
        <v>24</v>
      </c>
      <c r="H3173" s="1" t="str">
        <f>"0035"</f>
        <v>0035</v>
      </c>
      <c r="I3173" s="1" t="s">
        <v>25</v>
      </c>
      <c r="J3173" s="1" t="str">
        <f>"01043977569"</f>
        <v>01043977569</v>
      </c>
      <c r="K3173" s="1" t="str">
        <f>"2017-04-18 13:42:40"</f>
        <v>2017-04-18 13:42:40</v>
      </c>
      <c r="L3173" s="1" t="str">
        <f>"2017-04-18 13:42:48"</f>
        <v>2017-04-18 13:42:48</v>
      </c>
      <c r="M3173" s="2">
        <v>5.0115740740740737E-3</v>
      </c>
      <c r="N3173" s="1" t="s">
        <v>26</v>
      </c>
      <c r="O3173" s="1" t="s">
        <v>27</v>
      </c>
      <c r="P3173" s="2">
        <v>5.1041666666666666E-3</v>
      </c>
      <c r="Q3173" s="1" t="s">
        <v>2309</v>
      </c>
      <c r="R3173" s="1">
        <v>0</v>
      </c>
      <c r="S3173" s="1" t="str">
        <f>""</f>
        <v/>
      </c>
      <c r="T3173" s="1" t="s">
        <v>29</v>
      </c>
      <c r="U3173" s="1" t="s">
        <v>30</v>
      </c>
      <c r="V3173" s="1">
        <v>0</v>
      </c>
    </row>
    <row r="3174" spans="2:22" x14ac:dyDescent="0.15">
      <c r="B3174" s="1" t="str">
        <f>"010****8060"</f>
        <v>010****8060</v>
      </c>
      <c r="C3174" s="1" t="s">
        <v>23</v>
      </c>
      <c r="D3174" s="1" t="str">
        <f t="shared" si="313"/>
        <v>89177328</v>
      </c>
      <c r="E3174" s="1" t="s">
        <v>24</v>
      </c>
      <c r="F3174" s="1" t="str">
        <f t="shared" si="314"/>
        <v>0010</v>
      </c>
      <c r="G3174" s="1" t="s">
        <v>24</v>
      </c>
      <c r="H3174" s="1" t="str">
        <f>"0018"</f>
        <v>0018</v>
      </c>
      <c r="I3174" s="1" t="s">
        <v>36</v>
      </c>
      <c r="J3174" s="1" t="str">
        <f>"01043977572"</f>
        <v>01043977572</v>
      </c>
      <c r="K3174" s="1" t="str">
        <f>"2017-04-18 13:41:01"</f>
        <v>2017-04-18 13:41:01</v>
      </c>
      <c r="L3174" s="1" t="str">
        <f>"2017-04-18 13:41:12"</f>
        <v>2017-04-18 13:41:12</v>
      </c>
      <c r="M3174" s="2">
        <v>1.7245370370370372E-3</v>
      </c>
      <c r="N3174" s="1" t="s">
        <v>26</v>
      </c>
      <c r="O3174" s="1" t="s">
        <v>34</v>
      </c>
      <c r="P3174" s="2">
        <v>1.8518518518518517E-3</v>
      </c>
      <c r="Q3174" s="1" t="s">
        <v>2310</v>
      </c>
      <c r="R3174" s="1">
        <v>0</v>
      </c>
      <c r="S3174" s="1" t="str">
        <f>""</f>
        <v/>
      </c>
      <c r="T3174" s="1" t="s">
        <v>29</v>
      </c>
      <c r="U3174" s="1" t="s">
        <v>30</v>
      </c>
      <c r="V3174" s="1">
        <v>0</v>
      </c>
    </row>
    <row r="3175" spans="2:22" x14ac:dyDescent="0.15">
      <c r="B3175" s="1" t="str">
        <f>"136****5229"</f>
        <v>136****5229</v>
      </c>
      <c r="C3175" s="1" t="s">
        <v>23</v>
      </c>
      <c r="D3175" s="1" t="str">
        <f t="shared" si="313"/>
        <v>89177328</v>
      </c>
      <c r="E3175" s="1" t="s">
        <v>24</v>
      </c>
      <c r="F3175" s="1" t="str">
        <f t="shared" si="314"/>
        <v>0010</v>
      </c>
      <c r="G3175" s="1" t="s">
        <v>24</v>
      </c>
      <c r="H3175" s="1" t="str">
        <f>"0033"</f>
        <v>0033</v>
      </c>
      <c r="I3175" s="1" t="s">
        <v>106</v>
      </c>
      <c r="J3175" s="1" t="str">
        <f>"01043977567"</f>
        <v>01043977567</v>
      </c>
      <c r="K3175" s="1" t="str">
        <f>"2017-04-18 13:37:20"</f>
        <v>2017-04-18 13:37:20</v>
      </c>
      <c r="L3175" s="1" t="str">
        <f>"2017-04-18 13:37:29"</f>
        <v>2017-04-18 13:37:29</v>
      </c>
      <c r="M3175" s="2">
        <v>4.108796296296297E-3</v>
      </c>
      <c r="N3175" s="1" t="s">
        <v>26</v>
      </c>
      <c r="O3175" s="1" t="s">
        <v>27</v>
      </c>
      <c r="P3175" s="2">
        <v>4.2129629629629626E-3</v>
      </c>
      <c r="Q3175" s="1" t="s">
        <v>2311</v>
      </c>
      <c r="R3175" s="1">
        <v>0</v>
      </c>
      <c r="S3175" s="1" t="str">
        <f>""</f>
        <v/>
      </c>
      <c r="T3175" s="1" t="s">
        <v>29</v>
      </c>
      <c r="U3175" s="1" t="s">
        <v>30</v>
      </c>
      <c r="V3175" s="1">
        <v>0</v>
      </c>
    </row>
    <row r="3176" spans="2:22" x14ac:dyDescent="0.15">
      <c r="B3176" s="1" t="str">
        <f>"136****4952"</f>
        <v>136****4952</v>
      </c>
      <c r="C3176" s="1" t="s">
        <v>23</v>
      </c>
      <c r="D3176" s="1" t="str">
        <f>"4000108333"</f>
        <v>4000108333</v>
      </c>
      <c r="E3176" s="1" t="s">
        <v>53</v>
      </c>
      <c r="F3176" s="1" t="str">
        <f>"0000"</f>
        <v>0000</v>
      </c>
      <c r="G3176" s="1" t="s">
        <v>53</v>
      </c>
      <c r="H3176" s="1" t="str">
        <f>"1010"</f>
        <v>1010</v>
      </c>
      <c r="I3176" s="1" t="s">
        <v>148</v>
      </c>
      <c r="J3176" s="1" t="str">
        <f>"13718091869"</f>
        <v>13718091869</v>
      </c>
      <c r="K3176" s="1" t="str">
        <f>"2017-04-18 13:25:18"</f>
        <v>2017-04-18 13:25:18</v>
      </c>
      <c r="L3176" s="1" t="str">
        <f>"2017-04-18 13:26:01"</f>
        <v>2017-04-18 13:26:01</v>
      </c>
      <c r="M3176" s="2">
        <v>1.247685185185185E-2</v>
      </c>
      <c r="N3176" s="1" t="s">
        <v>26</v>
      </c>
      <c r="O3176" s="1" t="s">
        <v>27</v>
      </c>
      <c r="P3176" s="2">
        <v>1.2974537037037036E-2</v>
      </c>
      <c r="Q3176" s="1" t="s">
        <v>2312</v>
      </c>
      <c r="R3176" s="1">
        <v>2.2799999999999998</v>
      </c>
      <c r="S3176" s="1" t="str">
        <f>""</f>
        <v/>
      </c>
      <c r="T3176" s="1" t="s">
        <v>29</v>
      </c>
      <c r="U3176" s="1" t="s">
        <v>30</v>
      </c>
      <c r="V3176" s="1">
        <v>0</v>
      </c>
    </row>
    <row r="3177" spans="2:22" x14ac:dyDescent="0.15">
      <c r="B3177" s="1" t="str">
        <f>"157****6338"</f>
        <v>157****6338</v>
      </c>
      <c r="C3177" s="1" t="s">
        <v>23</v>
      </c>
      <c r="D3177" s="1" t="str">
        <f t="shared" ref="D3177:D3183" si="315">"89177328"</f>
        <v>89177328</v>
      </c>
      <c r="E3177" s="1" t="s">
        <v>24</v>
      </c>
      <c r="F3177" s="1" t="str">
        <f t="shared" ref="F3177:F3183" si="316">"0010"</f>
        <v>0010</v>
      </c>
      <c r="G3177" s="1" t="s">
        <v>24</v>
      </c>
      <c r="H3177" s="1" t="str">
        <f>"0033"</f>
        <v>0033</v>
      </c>
      <c r="I3177" s="1" t="s">
        <v>106</v>
      </c>
      <c r="J3177" s="1" t="str">
        <f>"01043977567"</f>
        <v>01043977567</v>
      </c>
      <c r="K3177" s="1" t="str">
        <f>"2017-04-18 13:17:44"</f>
        <v>2017-04-18 13:17:44</v>
      </c>
      <c r="L3177" s="1" t="str">
        <f>"2017-04-18 13:17:55"</f>
        <v>2017-04-18 13:17:55</v>
      </c>
      <c r="M3177" s="2">
        <v>2.3148148148148151E-3</v>
      </c>
      <c r="N3177" s="1" t="s">
        <v>26</v>
      </c>
      <c r="O3177" s="1" t="s">
        <v>27</v>
      </c>
      <c r="P3177" s="2">
        <v>2.4421296296296296E-3</v>
      </c>
      <c r="Q3177" s="1" t="s">
        <v>2313</v>
      </c>
      <c r="R3177" s="1">
        <v>0</v>
      </c>
      <c r="S3177" s="1" t="str">
        <f>""</f>
        <v/>
      </c>
      <c r="T3177" s="1" t="s">
        <v>29</v>
      </c>
      <c r="U3177" s="1" t="s">
        <v>30</v>
      </c>
      <c r="V3177" s="1">
        <v>0</v>
      </c>
    </row>
    <row r="3178" spans="2:22" x14ac:dyDescent="0.15">
      <c r="B3178" s="1" t="str">
        <f>"189****6585"</f>
        <v>189****6585</v>
      </c>
      <c r="C3178" s="1" t="s">
        <v>23</v>
      </c>
      <c r="D3178" s="1" t="str">
        <f t="shared" si="315"/>
        <v>89177328</v>
      </c>
      <c r="E3178" s="1" t="s">
        <v>24</v>
      </c>
      <c r="F3178" s="1" t="str">
        <f t="shared" si="316"/>
        <v>0010</v>
      </c>
      <c r="G3178" s="1" t="s">
        <v>24</v>
      </c>
      <c r="H3178" s="1" t="str">
        <f>"0033"</f>
        <v>0033</v>
      </c>
      <c r="I3178" s="1" t="s">
        <v>106</v>
      </c>
      <c r="J3178" s="1" t="str">
        <f>"01043977567"</f>
        <v>01043977567</v>
      </c>
      <c r="K3178" s="1" t="str">
        <f>"2017-04-18 13:17:06"</f>
        <v>2017-04-18 13:17:06</v>
      </c>
      <c r="L3178" s="1" t="str">
        <f>"-"</f>
        <v>-</v>
      </c>
      <c r="M3178" s="2">
        <v>0</v>
      </c>
      <c r="N3178" s="1" t="s">
        <v>33</v>
      </c>
      <c r="O3178" s="1" t="s">
        <v>34</v>
      </c>
      <c r="P3178" s="2">
        <v>2.3148148148148147E-5</v>
      </c>
      <c r="Q3178" s="1" t="str">
        <f>""</f>
        <v/>
      </c>
      <c r="R3178" s="1">
        <v>0</v>
      </c>
      <c r="S3178" s="1" t="str">
        <f>""</f>
        <v/>
      </c>
      <c r="T3178" s="1" t="s">
        <v>29</v>
      </c>
      <c r="U3178" s="1" t="s">
        <v>30</v>
      </c>
      <c r="V3178" s="1">
        <v>0</v>
      </c>
    </row>
    <row r="3179" spans="2:22" x14ac:dyDescent="0.15">
      <c r="B3179" s="1" t="str">
        <f>"189****2346"</f>
        <v>189****2346</v>
      </c>
      <c r="C3179" s="1" t="s">
        <v>23</v>
      </c>
      <c r="D3179" s="1" t="str">
        <f t="shared" si="315"/>
        <v>89177328</v>
      </c>
      <c r="E3179" s="1" t="s">
        <v>24</v>
      </c>
      <c r="F3179" s="1" t="str">
        <f t="shared" si="316"/>
        <v>0010</v>
      </c>
      <c r="G3179" s="1" t="s">
        <v>24</v>
      </c>
      <c r="H3179" s="1" t="str">
        <f>"0034"</f>
        <v>0034</v>
      </c>
      <c r="I3179" s="1" t="s">
        <v>31</v>
      </c>
      <c r="J3179" s="1" t="str">
        <f>"01043977568"</f>
        <v>01043977568</v>
      </c>
      <c r="K3179" s="1" t="str">
        <f>"2017-04-18 13:09:51"</f>
        <v>2017-04-18 13:09:51</v>
      </c>
      <c r="L3179" s="1" t="str">
        <f>"2017-04-18 13:10:00"</f>
        <v>2017-04-18 13:10:00</v>
      </c>
      <c r="M3179" s="2">
        <v>5.4050925925925924E-3</v>
      </c>
      <c r="N3179" s="1" t="s">
        <v>26</v>
      </c>
      <c r="O3179" s="1" t="s">
        <v>34</v>
      </c>
      <c r="P3179" s="2">
        <v>5.5092592592592589E-3</v>
      </c>
      <c r="Q3179" s="1" t="s">
        <v>2314</v>
      </c>
      <c r="R3179" s="1">
        <v>0</v>
      </c>
      <c r="S3179" s="1" t="str">
        <f>""</f>
        <v/>
      </c>
      <c r="T3179" s="1" t="s">
        <v>29</v>
      </c>
      <c r="U3179" s="1" t="s">
        <v>30</v>
      </c>
      <c r="V3179" s="1">
        <v>0</v>
      </c>
    </row>
    <row r="3180" spans="2:22" x14ac:dyDescent="0.15">
      <c r="B3180" s="1" t="str">
        <f>"136****4952"</f>
        <v>136****4952</v>
      </c>
      <c r="C3180" s="1" t="s">
        <v>23</v>
      </c>
      <c r="D3180" s="1" t="str">
        <f t="shared" si="315"/>
        <v>89177328</v>
      </c>
      <c r="E3180" s="1" t="s">
        <v>24</v>
      </c>
      <c r="F3180" s="1" t="str">
        <f t="shared" si="316"/>
        <v>0010</v>
      </c>
      <c r="G3180" s="1" t="s">
        <v>24</v>
      </c>
      <c r="H3180" s="1" t="str">
        <f>"0017"</f>
        <v>0017</v>
      </c>
      <c r="I3180" s="1" t="s">
        <v>135</v>
      </c>
      <c r="J3180" s="1" t="str">
        <f>"01043989717"</f>
        <v>01043989717</v>
      </c>
      <c r="K3180" s="1" t="str">
        <f>"2017-04-18 13:02:20"</f>
        <v>2017-04-18 13:02:20</v>
      </c>
      <c r="L3180" s="1" t="str">
        <f>"2017-04-18 13:02:27"</f>
        <v>2017-04-18 13:02:27</v>
      </c>
      <c r="M3180" s="2">
        <v>1.3194444444444444E-2</v>
      </c>
      <c r="N3180" s="1" t="s">
        <v>26</v>
      </c>
      <c r="O3180" s="1" t="s">
        <v>27</v>
      </c>
      <c r="P3180" s="2">
        <v>1.3275462962962963E-2</v>
      </c>
      <c r="Q3180" s="1" t="s">
        <v>2315</v>
      </c>
      <c r="R3180" s="1">
        <v>0</v>
      </c>
      <c r="S3180" s="1" t="str">
        <f>""</f>
        <v/>
      </c>
      <c r="T3180" s="1" t="s">
        <v>29</v>
      </c>
      <c r="U3180" s="1" t="s">
        <v>30</v>
      </c>
      <c r="V3180" s="1">
        <v>0</v>
      </c>
    </row>
    <row r="3181" spans="2:22" x14ac:dyDescent="0.15">
      <c r="B3181" s="1" t="str">
        <f>"186****1082"</f>
        <v>186****1082</v>
      </c>
      <c r="C3181" s="1" t="s">
        <v>23</v>
      </c>
      <c r="D3181" s="1" t="str">
        <f t="shared" si="315"/>
        <v>89177328</v>
      </c>
      <c r="E3181" s="1" t="s">
        <v>24</v>
      </c>
      <c r="F3181" s="1" t="str">
        <f t="shared" si="316"/>
        <v>0010</v>
      </c>
      <c r="G3181" s="1" t="s">
        <v>24</v>
      </c>
      <c r="H3181" s="1" t="str">
        <f>"0031"</f>
        <v>0031</v>
      </c>
      <c r="I3181" s="1" t="s">
        <v>95</v>
      </c>
      <c r="J3181" s="1" t="str">
        <f>"01043977565"</f>
        <v>01043977565</v>
      </c>
      <c r="K3181" s="1" t="str">
        <f>"2017-04-18 12:55:30"</f>
        <v>2017-04-18 12:55:30</v>
      </c>
      <c r="L3181" s="1" t="str">
        <f>"2017-04-18 12:55:36"</f>
        <v>2017-04-18 12:55:36</v>
      </c>
      <c r="M3181" s="2">
        <v>1.7361111111111112E-2</v>
      </c>
      <c r="N3181" s="1" t="s">
        <v>26</v>
      </c>
      <c r="O3181" s="1" t="s">
        <v>27</v>
      </c>
      <c r="P3181" s="2">
        <v>1.7430555555555557E-2</v>
      </c>
      <c r="Q3181" s="1" t="s">
        <v>2316</v>
      </c>
      <c r="R3181" s="1">
        <v>0</v>
      </c>
      <c r="S3181" s="1" t="str">
        <f>""</f>
        <v/>
      </c>
      <c r="T3181" s="1" t="s">
        <v>29</v>
      </c>
      <c r="U3181" s="1" t="s">
        <v>30</v>
      </c>
      <c r="V3181" s="1">
        <v>0</v>
      </c>
    </row>
    <row r="3182" spans="2:22" x14ac:dyDescent="0.15">
      <c r="B3182" s="1" t="str">
        <f>"150****4063"</f>
        <v>150****4063</v>
      </c>
      <c r="C3182" s="1" t="s">
        <v>23</v>
      </c>
      <c r="D3182" s="1" t="str">
        <f t="shared" si="315"/>
        <v>89177328</v>
      </c>
      <c r="E3182" s="1" t="s">
        <v>24</v>
      </c>
      <c r="F3182" s="1" t="str">
        <f t="shared" si="316"/>
        <v>0010</v>
      </c>
      <c r="G3182" s="1" t="s">
        <v>24</v>
      </c>
      <c r="H3182" s="1" t="str">
        <f>"0017"</f>
        <v>0017</v>
      </c>
      <c r="I3182" s="1" t="s">
        <v>135</v>
      </c>
      <c r="J3182" s="1" t="str">
        <f>"01043989717"</f>
        <v>01043989717</v>
      </c>
      <c r="K3182" s="1" t="str">
        <f>"2017-04-18 12:51:46"</f>
        <v>2017-04-18 12:51:46</v>
      </c>
      <c r="L3182" s="1" t="str">
        <f>"2017-04-18 12:51:55"</f>
        <v>2017-04-18 12:51:55</v>
      </c>
      <c r="M3182" s="2">
        <v>5.9259259259259256E-3</v>
      </c>
      <c r="N3182" s="1" t="s">
        <v>26</v>
      </c>
      <c r="O3182" s="1" t="s">
        <v>27</v>
      </c>
      <c r="P3182" s="2">
        <v>6.030092592592593E-3</v>
      </c>
      <c r="Q3182" s="1" t="s">
        <v>2317</v>
      </c>
      <c r="R3182" s="1">
        <v>0</v>
      </c>
      <c r="S3182" s="1" t="str">
        <f>""</f>
        <v/>
      </c>
      <c r="T3182" s="1" t="s">
        <v>29</v>
      </c>
      <c r="U3182" s="1" t="s">
        <v>30</v>
      </c>
      <c r="V3182" s="1">
        <v>0</v>
      </c>
    </row>
    <row r="3183" spans="2:22" x14ac:dyDescent="0.15">
      <c r="B3183" s="1" t="str">
        <f>"183****8097"</f>
        <v>183****8097</v>
      </c>
      <c r="C3183" s="1" t="s">
        <v>23</v>
      </c>
      <c r="D3183" s="1" t="str">
        <f t="shared" si="315"/>
        <v>89177328</v>
      </c>
      <c r="E3183" s="1" t="s">
        <v>24</v>
      </c>
      <c r="F3183" s="1" t="str">
        <f t="shared" si="316"/>
        <v>0010</v>
      </c>
      <c r="G3183" s="1" t="s">
        <v>24</v>
      </c>
      <c r="H3183" s="1" t="str">
        <f>"0034"</f>
        <v>0034</v>
      </c>
      <c r="I3183" s="1" t="s">
        <v>31</v>
      </c>
      <c r="J3183" s="1" t="str">
        <f>"01043977568"</f>
        <v>01043977568</v>
      </c>
      <c r="K3183" s="1" t="str">
        <f>"2017-04-18 12:48:41"</f>
        <v>2017-04-18 12:48:41</v>
      </c>
      <c r="L3183" s="1" t="str">
        <f>"2017-04-18 12:48:52"</f>
        <v>2017-04-18 12:48:52</v>
      </c>
      <c r="M3183" s="2">
        <v>1.2187500000000002E-2</v>
      </c>
      <c r="N3183" s="1" t="s">
        <v>26</v>
      </c>
      <c r="O3183" s="1" t="s">
        <v>27</v>
      </c>
      <c r="P3183" s="2">
        <v>1.2314814814814815E-2</v>
      </c>
      <c r="Q3183" s="1" t="s">
        <v>2318</v>
      </c>
      <c r="R3183" s="1">
        <v>0</v>
      </c>
      <c r="S3183" s="1" t="str">
        <f>""</f>
        <v/>
      </c>
      <c r="T3183" s="1" t="s">
        <v>29</v>
      </c>
      <c r="U3183" s="1" t="s">
        <v>30</v>
      </c>
      <c r="V3183" s="1">
        <v>0</v>
      </c>
    </row>
    <row r="3184" spans="2:22" x14ac:dyDescent="0.15">
      <c r="B3184" s="1" t="str">
        <f>"186****6578"</f>
        <v>186****6578</v>
      </c>
      <c r="C3184" s="1" t="s">
        <v>23</v>
      </c>
      <c r="D3184" s="1" t="str">
        <f>"4000108333"</f>
        <v>4000108333</v>
      </c>
      <c r="E3184" s="1" t="s">
        <v>53</v>
      </c>
      <c r="F3184" s="1" t="str">
        <f>"0000"</f>
        <v>0000</v>
      </c>
      <c r="G3184" s="1" t="s">
        <v>53</v>
      </c>
      <c r="H3184" s="1" t="str">
        <f>"1010"</f>
        <v>1010</v>
      </c>
      <c r="I3184" s="1" t="s">
        <v>148</v>
      </c>
      <c r="J3184" s="1" t="str">
        <f>"13718091869"</f>
        <v>13718091869</v>
      </c>
      <c r="K3184" s="1" t="str">
        <f>"2017-04-18 12:44:35"</f>
        <v>2017-04-18 12:44:35</v>
      </c>
      <c r="L3184" s="1" t="str">
        <f>"2017-04-18 12:45:09"</f>
        <v>2017-04-18 12:45:09</v>
      </c>
      <c r="M3184" s="2">
        <v>1.7870370370370373E-2</v>
      </c>
      <c r="N3184" s="1" t="s">
        <v>26</v>
      </c>
      <c r="O3184" s="1" t="s">
        <v>34</v>
      </c>
      <c r="P3184" s="2">
        <v>1.8263888888888889E-2</v>
      </c>
      <c r="Q3184" s="1" t="s">
        <v>2319</v>
      </c>
      <c r="R3184" s="1">
        <v>3.24</v>
      </c>
      <c r="S3184" s="1" t="str">
        <f>""</f>
        <v/>
      </c>
      <c r="T3184" s="1" t="s">
        <v>29</v>
      </c>
      <c r="U3184" s="1" t="s">
        <v>30</v>
      </c>
      <c r="V3184" s="1">
        <v>0</v>
      </c>
    </row>
    <row r="3185" spans="2:22" x14ac:dyDescent="0.15">
      <c r="B3185" s="1" t="str">
        <f>"180****4109"</f>
        <v>180****4109</v>
      </c>
      <c r="C3185" s="1" t="s">
        <v>137</v>
      </c>
      <c r="D3185" s="1" t="str">
        <f t="shared" ref="D3185:D3219" si="317">"89177328"</f>
        <v>89177328</v>
      </c>
      <c r="E3185" s="1" t="s">
        <v>24</v>
      </c>
      <c r="F3185" s="1" t="str">
        <f t="shared" ref="F3185:F3219" si="318">"0010"</f>
        <v>0010</v>
      </c>
      <c r="G3185" s="1" t="s">
        <v>24</v>
      </c>
      <c r="H3185" s="1" t="str">
        <f>"0032"</f>
        <v>0032</v>
      </c>
      <c r="I3185" s="1" t="s">
        <v>119</v>
      </c>
      <c r="J3185" s="1" t="str">
        <f>"01043977566"</f>
        <v>01043977566</v>
      </c>
      <c r="K3185" s="1" t="str">
        <f>"2017-04-18 12:25:17"</f>
        <v>2017-04-18 12:25:17</v>
      </c>
      <c r="L3185" s="1" t="str">
        <f>"2017-04-18 12:25:32"</f>
        <v>2017-04-18 12:25:32</v>
      </c>
      <c r="M3185" s="2">
        <v>3.6030092592592593E-2</v>
      </c>
      <c r="N3185" s="1" t="s">
        <v>26</v>
      </c>
      <c r="O3185" s="1" t="s">
        <v>34</v>
      </c>
      <c r="P3185" s="2">
        <v>3.6203703703703703E-2</v>
      </c>
      <c r="Q3185" s="1" t="s">
        <v>2320</v>
      </c>
      <c r="R3185" s="1">
        <v>0</v>
      </c>
      <c r="S3185" s="1" t="str">
        <f>""</f>
        <v/>
      </c>
      <c r="T3185" s="1" t="s">
        <v>29</v>
      </c>
      <c r="U3185" s="1" t="s">
        <v>30</v>
      </c>
      <c r="V3185" s="1">
        <v>0</v>
      </c>
    </row>
    <row r="3186" spans="2:22" x14ac:dyDescent="0.15">
      <c r="B3186" s="1" t="str">
        <f>"186****9756"</f>
        <v>186****9756</v>
      </c>
      <c r="C3186" s="1" t="s">
        <v>23</v>
      </c>
      <c r="D3186" s="1" t="str">
        <f t="shared" si="317"/>
        <v>89177328</v>
      </c>
      <c r="E3186" s="1" t="s">
        <v>24</v>
      </c>
      <c r="F3186" s="1" t="str">
        <f t="shared" si="318"/>
        <v>0010</v>
      </c>
      <c r="G3186" s="1" t="s">
        <v>24</v>
      </c>
      <c r="H3186" s="1" t="str">
        <f>"0034"</f>
        <v>0034</v>
      </c>
      <c r="I3186" s="1" t="s">
        <v>31</v>
      </c>
      <c r="J3186" s="1" t="str">
        <f>"01043977568"</f>
        <v>01043977568</v>
      </c>
      <c r="K3186" s="1" t="str">
        <f>"2017-04-18 11:47:42"</f>
        <v>2017-04-18 11:47:42</v>
      </c>
      <c r="L3186" s="1" t="str">
        <f>"2017-04-18 11:48:00"</f>
        <v>2017-04-18 11:48:00</v>
      </c>
      <c r="M3186" s="2">
        <v>4.6296296296296302E-3</v>
      </c>
      <c r="N3186" s="1" t="s">
        <v>26</v>
      </c>
      <c r="O3186" s="1" t="s">
        <v>27</v>
      </c>
      <c r="P3186" s="2">
        <v>4.8379629629629632E-3</v>
      </c>
      <c r="Q3186" s="1" t="s">
        <v>2321</v>
      </c>
      <c r="R3186" s="1">
        <v>0</v>
      </c>
      <c r="S3186" s="1" t="str">
        <f>""</f>
        <v/>
      </c>
      <c r="T3186" s="1" t="s">
        <v>29</v>
      </c>
      <c r="U3186" s="1" t="s">
        <v>30</v>
      </c>
      <c r="V3186" s="1">
        <v>0</v>
      </c>
    </row>
    <row r="3187" spans="2:22" x14ac:dyDescent="0.15">
      <c r="B3187" s="1" t="str">
        <f>"138****2453"</f>
        <v>138****2453</v>
      </c>
      <c r="C3187" s="1" t="s">
        <v>831</v>
      </c>
      <c r="D3187" s="1" t="str">
        <f t="shared" si="317"/>
        <v>89177328</v>
      </c>
      <c r="E3187" s="1" t="s">
        <v>24</v>
      </c>
      <c r="F3187" s="1" t="str">
        <f t="shared" si="318"/>
        <v>0010</v>
      </c>
      <c r="G3187" s="1" t="s">
        <v>24</v>
      </c>
      <c r="H3187" s="1" t="str">
        <f>"0034"</f>
        <v>0034</v>
      </c>
      <c r="I3187" s="1" t="s">
        <v>31</v>
      </c>
      <c r="J3187" s="1" t="str">
        <f>"01043977568"</f>
        <v>01043977568</v>
      </c>
      <c r="K3187" s="1" t="str">
        <f>"2017-04-18 11:31:44"</f>
        <v>2017-04-18 11:31:44</v>
      </c>
      <c r="L3187" s="1" t="str">
        <f>"2017-04-18 11:31:56"</f>
        <v>2017-04-18 11:31:56</v>
      </c>
      <c r="M3187" s="2">
        <v>1.5393518518518519E-3</v>
      </c>
      <c r="N3187" s="1" t="s">
        <v>26</v>
      </c>
      <c r="O3187" s="1" t="s">
        <v>27</v>
      </c>
      <c r="P3187" s="2">
        <v>1.6782407407407406E-3</v>
      </c>
      <c r="Q3187" s="1" t="s">
        <v>2322</v>
      </c>
      <c r="R3187" s="1">
        <v>0</v>
      </c>
      <c r="S3187" s="1" t="str">
        <f>""</f>
        <v/>
      </c>
      <c r="T3187" s="1" t="s">
        <v>29</v>
      </c>
      <c r="U3187" s="1" t="s">
        <v>30</v>
      </c>
      <c r="V3187" s="1">
        <v>0</v>
      </c>
    </row>
    <row r="3188" spans="2:22" x14ac:dyDescent="0.15">
      <c r="B3188" s="1" t="str">
        <f>"186****0604"</f>
        <v>186****0604</v>
      </c>
      <c r="C3188" s="1" t="s">
        <v>23</v>
      </c>
      <c r="D3188" s="1" t="str">
        <f t="shared" si="317"/>
        <v>89177328</v>
      </c>
      <c r="E3188" s="1" t="s">
        <v>24</v>
      </c>
      <c r="F3188" s="1" t="str">
        <f t="shared" si="318"/>
        <v>0010</v>
      </c>
      <c r="G3188" s="1" t="s">
        <v>24</v>
      </c>
      <c r="H3188" s="1" t="str">
        <f>"0034"</f>
        <v>0034</v>
      </c>
      <c r="I3188" s="1" t="s">
        <v>31</v>
      </c>
      <c r="J3188" s="1" t="str">
        <f>"01043977568"</f>
        <v>01043977568</v>
      </c>
      <c r="K3188" s="1" t="str">
        <f>"2017-04-18 11:30:38"</f>
        <v>2017-04-18 11:30:38</v>
      </c>
      <c r="L3188" s="1" t="str">
        <f t="shared" ref="L3188:L3201" si="319">"-"</f>
        <v>-</v>
      </c>
      <c r="M3188" s="2">
        <v>0</v>
      </c>
      <c r="N3188" s="1" t="s">
        <v>33</v>
      </c>
      <c r="O3188" s="1" t="s">
        <v>34</v>
      </c>
      <c r="P3188" s="2">
        <v>1.1574074074074073E-5</v>
      </c>
      <c r="Q3188" s="1" t="str">
        <f>""</f>
        <v/>
      </c>
      <c r="R3188" s="1">
        <v>0</v>
      </c>
      <c r="S3188" s="1" t="str">
        <f>""</f>
        <v/>
      </c>
      <c r="T3188" s="1" t="s">
        <v>29</v>
      </c>
      <c r="U3188" s="1" t="s">
        <v>30</v>
      </c>
      <c r="V3188" s="1">
        <v>0</v>
      </c>
    </row>
    <row r="3189" spans="2:22" x14ac:dyDescent="0.15">
      <c r="B3189" s="1" t="str">
        <f>"186****0604"</f>
        <v>186****0604</v>
      </c>
      <c r="C3189" s="1" t="s">
        <v>23</v>
      </c>
      <c r="D3189" s="1" t="str">
        <f t="shared" si="317"/>
        <v>89177328</v>
      </c>
      <c r="E3189" s="1" t="s">
        <v>24</v>
      </c>
      <c r="F3189" s="1" t="str">
        <f t="shared" si="318"/>
        <v>0010</v>
      </c>
      <c r="G3189" s="1" t="s">
        <v>24</v>
      </c>
      <c r="H3189" s="1" t="str">
        <f>"0031"</f>
        <v>0031</v>
      </c>
      <c r="I3189" s="1" t="s">
        <v>95</v>
      </c>
      <c r="J3189" s="1" t="str">
        <f>"01043977565"</f>
        <v>01043977565</v>
      </c>
      <c r="K3189" s="1" t="str">
        <f>"2017-04-18 11:25:39"</f>
        <v>2017-04-18 11:25:39</v>
      </c>
      <c r="L3189" s="1" t="str">
        <f t="shared" si="319"/>
        <v>-</v>
      </c>
      <c r="M3189" s="2">
        <v>0</v>
      </c>
      <c r="N3189" s="1" t="s">
        <v>33</v>
      </c>
      <c r="O3189" s="1" t="s">
        <v>34</v>
      </c>
      <c r="P3189" s="2">
        <v>6.9444444444444444E-5</v>
      </c>
      <c r="Q3189" s="1" t="str">
        <f>""</f>
        <v/>
      </c>
      <c r="R3189" s="1">
        <v>0</v>
      </c>
      <c r="S3189" s="1" t="str">
        <f>""</f>
        <v/>
      </c>
      <c r="T3189" s="1" t="s">
        <v>29</v>
      </c>
      <c r="U3189" s="1" t="s">
        <v>30</v>
      </c>
      <c r="V3189" s="1">
        <v>0</v>
      </c>
    </row>
    <row r="3190" spans="2:22" x14ac:dyDescent="0.15">
      <c r="B3190" s="1" t="str">
        <f>"186****0604"</f>
        <v>186****0604</v>
      </c>
      <c r="C3190" s="1" t="s">
        <v>23</v>
      </c>
      <c r="D3190" s="1" t="str">
        <f t="shared" si="317"/>
        <v>89177328</v>
      </c>
      <c r="E3190" s="1" t="s">
        <v>24</v>
      </c>
      <c r="F3190" s="1" t="str">
        <f t="shared" si="318"/>
        <v>0010</v>
      </c>
      <c r="G3190" s="1" t="s">
        <v>24</v>
      </c>
      <c r="H3190" s="1" t="str">
        <f>"0031"</f>
        <v>0031</v>
      </c>
      <c r="I3190" s="1" t="s">
        <v>95</v>
      </c>
      <c r="J3190" s="1" t="str">
        <f>"01043977565"</f>
        <v>01043977565</v>
      </c>
      <c r="K3190" s="1" t="str">
        <f>"2017-04-18 11:22:26"</f>
        <v>2017-04-18 11:22:26</v>
      </c>
      <c r="L3190" s="1" t="str">
        <f t="shared" si="319"/>
        <v>-</v>
      </c>
      <c r="M3190" s="2">
        <v>0</v>
      </c>
      <c r="N3190" s="1" t="s">
        <v>33</v>
      </c>
      <c r="O3190" s="1" t="s">
        <v>34</v>
      </c>
      <c r="P3190" s="2">
        <v>5.7870370370370366E-5</v>
      </c>
      <c r="Q3190" s="1" t="str">
        <f>""</f>
        <v/>
      </c>
      <c r="R3190" s="1">
        <v>0</v>
      </c>
      <c r="S3190" s="1" t="str">
        <f>""</f>
        <v/>
      </c>
      <c r="T3190" s="1" t="s">
        <v>29</v>
      </c>
      <c r="U3190" s="1" t="s">
        <v>30</v>
      </c>
      <c r="V3190" s="1">
        <v>0</v>
      </c>
    </row>
    <row r="3191" spans="2:22" x14ac:dyDescent="0.15">
      <c r="B3191" s="1" t="str">
        <f>"133****9597"</f>
        <v>133****9597</v>
      </c>
      <c r="C3191" s="1" t="s">
        <v>23</v>
      </c>
      <c r="D3191" s="1" t="str">
        <f t="shared" si="317"/>
        <v>89177328</v>
      </c>
      <c r="E3191" s="1" t="s">
        <v>24</v>
      </c>
      <c r="F3191" s="1" t="str">
        <f t="shared" si="318"/>
        <v>0010</v>
      </c>
      <c r="G3191" s="1" t="s">
        <v>24</v>
      </c>
      <c r="H3191" s="1" t="str">
        <f>"0031"</f>
        <v>0031</v>
      </c>
      <c r="I3191" s="1" t="s">
        <v>95</v>
      </c>
      <c r="J3191" s="1" t="str">
        <f>"01043977565"</f>
        <v>01043977565</v>
      </c>
      <c r="K3191" s="1" t="str">
        <f>"2017-04-18 11:21:58"</f>
        <v>2017-04-18 11:21:58</v>
      </c>
      <c r="L3191" s="1" t="str">
        <f t="shared" si="319"/>
        <v>-</v>
      </c>
      <c r="M3191" s="2">
        <v>0</v>
      </c>
      <c r="N3191" s="1" t="s">
        <v>33</v>
      </c>
      <c r="O3191" s="1" t="s">
        <v>34</v>
      </c>
      <c r="P3191" s="2">
        <v>5.7870370370370366E-5</v>
      </c>
      <c r="Q3191" s="1" t="str">
        <f>""</f>
        <v/>
      </c>
      <c r="R3191" s="1">
        <v>0</v>
      </c>
      <c r="S3191" s="1" t="str">
        <f>""</f>
        <v/>
      </c>
      <c r="T3191" s="1" t="s">
        <v>29</v>
      </c>
      <c r="U3191" s="1" t="s">
        <v>30</v>
      </c>
      <c r="V3191" s="1">
        <v>0</v>
      </c>
    </row>
    <row r="3192" spans="2:22" x14ac:dyDescent="0.15">
      <c r="B3192" s="1" t="str">
        <f>"133****9597"</f>
        <v>133****9597</v>
      </c>
      <c r="C3192" s="1" t="s">
        <v>23</v>
      </c>
      <c r="D3192" s="1" t="str">
        <f t="shared" si="317"/>
        <v>89177328</v>
      </c>
      <c r="E3192" s="1" t="s">
        <v>24</v>
      </c>
      <c r="F3192" s="1" t="str">
        <f t="shared" si="318"/>
        <v>0010</v>
      </c>
      <c r="G3192" s="1" t="s">
        <v>24</v>
      </c>
      <c r="H3192" s="1" t="str">
        <f>"0035"</f>
        <v>0035</v>
      </c>
      <c r="I3192" s="1" t="s">
        <v>25</v>
      </c>
      <c r="J3192" s="1" t="str">
        <f>"01043977569"</f>
        <v>01043977569</v>
      </c>
      <c r="K3192" s="1" t="str">
        <f>"2017-04-18 11:20:32"</f>
        <v>2017-04-18 11:20:32</v>
      </c>
      <c r="L3192" s="1" t="str">
        <f t="shared" si="319"/>
        <v>-</v>
      </c>
      <c r="M3192" s="2">
        <v>0</v>
      </c>
      <c r="N3192" s="1" t="s">
        <v>33</v>
      </c>
      <c r="O3192" s="1" t="s">
        <v>34</v>
      </c>
      <c r="P3192" s="2">
        <v>4.6296296296296294E-5</v>
      </c>
      <c r="Q3192" s="1" t="str">
        <f>""</f>
        <v/>
      </c>
      <c r="R3192" s="1">
        <v>0</v>
      </c>
      <c r="S3192" s="1" t="str">
        <f>""</f>
        <v/>
      </c>
      <c r="T3192" s="1" t="s">
        <v>29</v>
      </c>
      <c r="U3192" s="1" t="s">
        <v>30</v>
      </c>
      <c r="V3192" s="1">
        <v>0</v>
      </c>
    </row>
    <row r="3193" spans="2:22" x14ac:dyDescent="0.15">
      <c r="B3193" s="1" t="str">
        <f>"186****0604"</f>
        <v>186****0604</v>
      </c>
      <c r="C3193" s="1" t="s">
        <v>23</v>
      </c>
      <c r="D3193" s="1" t="str">
        <f t="shared" si="317"/>
        <v>89177328</v>
      </c>
      <c r="E3193" s="1" t="s">
        <v>24</v>
      </c>
      <c r="F3193" s="1" t="str">
        <f t="shared" si="318"/>
        <v>0010</v>
      </c>
      <c r="G3193" s="1" t="s">
        <v>24</v>
      </c>
      <c r="H3193" s="1" t="str">
        <f>"0032"</f>
        <v>0032</v>
      </c>
      <c r="I3193" s="1" t="s">
        <v>119</v>
      </c>
      <c r="J3193" s="1" t="str">
        <f>"01043977566"</f>
        <v>01043977566</v>
      </c>
      <c r="K3193" s="1" t="str">
        <f>"2017-04-18 11:19:57"</f>
        <v>2017-04-18 11:19:57</v>
      </c>
      <c r="L3193" s="1" t="str">
        <f t="shared" si="319"/>
        <v>-</v>
      </c>
      <c r="M3193" s="2">
        <v>0</v>
      </c>
      <c r="N3193" s="1" t="s">
        <v>33</v>
      </c>
      <c r="O3193" s="1" t="s">
        <v>34</v>
      </c>
      <c r="P3193" s="2">
        <v>6.9444444444444444E-5</v>
      </c>
      <c r="Q3193" s="1" t="str">
        <f>""</f>
        <v/>
      </c>
      <c r="R3193" s="1">
        <v>0</v>
      </c>
      <c r="S3193" s="1" t="str">
        <f>""</f>
        <v/>
      </c>
      <c r="T3193" s="1" t="s">
        <v>29</v>
      </c>
      <c r="U3193" s="1" t="s">
        <v>30</v>
      </c>
      <c r="V3193" s="1">
        <v>0</v>
      </c>
    </row>
    <row r="3194" spans="2:22" x14ac:dyDescent="0.15">
      <c r="B3194" s="1" t="str">
        <f>"183****4280"</f>
        <v>183****4280</v>
      </c>
      <c r="C3194" s="1" t="s">
        <v>23</v>
      </c>
      <c r="D3194" s="1" t="str">
        <f t="shared" si="317"/>
        <v>89177328</v>
      </c>
      <c r="E3194" s="1" t="s">
        <v>24</v>
      </c>
      <c r="F3194" s="1" t="str">
        <f t="shared" si="318"/>
        <v>0010</v>
      </c>
      <c r="G3194" s="1" t="s">
        <v>24</v>
      </c>
      <c r="H3194" s="1" t="str">
        <f>"0035"</f>
        <v>0035</v>
      </c>
      <c r="I3194" s="1" t="s">
        <v>25</v>
      </c>
      <c r="J3194" s="1" t="str">
        <f>"01043977569"</f>
        <v>01043977569</v>
      </c>
      <c r="K3194" s="1" t="str">
        <f>"2017-04-18 11:19:55"</f>
        <v>2017-04-18 11:19:55</v>
      </c>
      <c r="L3194" s="1" t="str">
        <f t="shared" si="319"/>
        <v>-</v>
      </c>
      <c r="M3194" s="2">
        <v>0</v>
      </c>
      <c r="N3194" s="1" t="s">
        <v>33</v>
      </c>
      <c r="O3194" s="1" t="s">
        <v>34</v>
      </c>
      <c r="P3194" s="2">
        <v>4.6296296296296294E-5</v>
      </c>
      <c r="Q3194" s="1" t="str">
        <f>""</f>
        <v/>
      </c>
      <c r="R3194" s="1">
        <v>0</v>
      </c>
      <c r="S3194" s="1" t="str">
        <f>""</f>
        <v/>
      </c>
      <c r="T3194" s="1" t="s">
        <v>29</v>
      </c>
      <c r="U3194" s="1" t="s">
        <v>30</v>
      </c>
      <c r="V3194" s="1">
        <v>0</v>
      </c>
    </row>
    <row r="3195" spans="2:22" x14ac:dyDescent="0.15">
      <c r="B3195" s="1" t="str">
        <f>"188****7867"</f>
        <v>188****7867</v>
      </c>
      <c r="C3195" s="1" t="s">
        <v>23</v>
      </c>
      <c r="D3195" s="1" t="str">
        <f t="shared" si="317"/>
        <v>89177328</v>
      </c>
      <c r="E3195" s="1" t="s">
        <v>24</v>
      </c>
      <c r="F3195" s="1" t="str">
        <f t="shared" si="318"/>
        <v>0010</v>
      </c>
      <c r="G3195" s="1" t="s">
        <v>24</v>
      </c>
      <c r="H3195" s="1" t="str">
        <f>"0017"</f>
        <v>0017</v>
      </c>
      <c r="I3195" s="1" t="s">
        <v>135</v>
      </c>
      <c r="J3195" s="1" t="str">
        <f>"01043989717"</f>
        <v>01043989717</v>
      </c>
      <c r="K3195" s="1" t="str">
        <f>"2017-04-18 11:18:00"</f>
        <v>2017-04-18 11:18:00</v>
      </c>
      <c r="L3195" s="1" t="str">
        <f t="shared" si="319"/>
        <v>-</v>
      </c>
      <c r="M3195" s="2">
        <v>0</v>
      </c>
      <c r="N3195" s="1" t="s">
        <v>33</v>
      </c>
      <c r="O3195" s="1" t="s">
        <v>34</v>
      </c>
      <c r="P3195" s="2">
        <v>6.9444444444444444E-5</v>
      </c>
      <c r="Q3195" s="1" t="str">
        <f>""</f>
        <v/>
      </c>
      <c r="R3195" s="1">
        <v>0</v>
      </c>
      <c r="S3195" s="1" t="str">
        <f>""</f>
        <v/>
      </c>
      <c r="T3195" s="1" t="s">
        <v>29</v>
      </c>
      <c r="U3195" s="1" t="s">
        <v>30</v>
      </c>
      <c r="V3195" s="1">
        <v>0</v>
      </c>
    </row>
    <row r="3196" spans="2:22" x14ac:dyDescent="0.15">
      <c r="B3196" s="1" t="str">
        <f>"133****9597"</f>
        <v>133****9597</v>
      </c>
      <c r="C3196" s="1" t="s">
        <v>23</v>
      </c>
      <c r="D3196" s="1" t="str">
        <f t="shared" si="317"/>
        <v>89177328</v>
      </c>
      <c r="E3196" s="1" t="s">
        <v>24</v>
      </c>
      <c r="F3196" s="1" t="str">
        <f t="shared" si="318"/>
        <v>0010</v>
      </c>
      <c r="G3196" s="1" t="s">
        <v>24</v>
      </c>
      <c r="H3196" s="1" t="str">
        <f>"0032"</f>
        <v>0032</v>
      </c>
      <c r="I3196" s="1" t="s">
        <v>119</v>
      </c>
      <c r="J3196" s="1" t="str">
        <f>"01043977566"</f>
        <v>01043977566</v>
      </c>
      <c r="K3196" s="1" t="str">
        <f>"2017-04-18 11:17:33"</f>
        <v>2017-04-18 11:17:33</v>
      </c>
      <c r="L3196" s="1" t="str">
        <f t="shared" si="319"/>
        <v>-</v>
      </c>
      <c r="M3196" s="2">
        <v>0</v>
      </c>
      <c r="N3196" s="1" t="s">
        <v>33</v>
      </c>
      <c r="O3196" s="1" t="s">
        <v>34</v>
      </c>
      <c r="P3196" s="2">
        <v>4.6296296296296294E-5</v>
      </c>
      <c r="Q3196" s="1" t="str">
        <f>""</f>
        <v/>
      </c>
      <c r="R3196" s="1">
        <v>0</v>
      </c>
      <c r="S3196" s="1" t="str">
        <f>""</f>
        <v/>
      </c>
      <c r="T3196" s="1" t="s">
        <v>29</v>
      </c>
      <c r="U3196" s="1" t="s">
        <v>30</v>
      </c>
      <c r="V3196" s="1">
        <v>0</v>
      </c>
    </row>
    <row r="3197" spans="2:22" x14ac:dyDescent="0.15">
      <c r="B3197" s="1" t="str">
        <f>"177****0206"</f>
        <v>177****0206</v>
      </c>
      <c r="C3197" s="1" t="s">
        <v>23</v>
      </c>
      <c r="D3197" s="1" t="str">
        <f t="shared" si="317"/>
        <v>89177328</v>
      </c>
      <c r="E3197" s="1" t="s">
        <v>24</v>
      </c>
      <c r="F3197" s="1" t="str">
        <f t="shared" si="318"/>
        <v>0010</v>
      </c>
      <c r="G3197" s="1" t="s">
        <v>24</v>
      </c>
      <c r="H3197" s="1" t="str">
        <f>"0017"</f>
        <v>0017</v>
      </c>
      <c r="I3197" s="1" t="s">
        <v>135</v>
      </c>
      <c r="J3197" s="1" t="str">
        <f>"01043989717"</f>
        <v>01043989717</v>
      </c>
      <c r="K3197" s="1" t="str">
        <f>"2017-04-18 11:16:56"</f>
        <v>2017-04-18 11:16:56</v>
      </c>
      <c r="L3197" s="1" t="str">
        <f t="shared" si="319"/>
        <v>-</v>
      </c>
      <c r="M3197" s="2">
        <v>0</v>
      </c>
      <c r="N3197" s="1" t="s">
        <v>33</v>
      </c>
      <c r="O3197" s="1" t="s">
        <v>34</v>
      </c>
      <c r="P3197" s="2">
        <v>5.7870370370370366E-5</v>
      </c>
      <c r="Q3197" s="1" t="str">
        <f>""</f>
        <v/>
      </c>
      <c r="R3197" s="1">
        <v>0</v>
      </c>
      <c r="S3197" s="1" t="str">
        <f>""</f>
        <v/>
      </c>
      <c r="T3197" s="1" t="s">
        <v>29</v>
      </c>
      <c r="U3197" s="1" t="s">
        <v>30</v>
      </c>
      <c r="V3197" s="1">
        <v>0</v>
      </c>
    </row>
    <row r="3198" spans="2:22" x14ac:dyDescent="0.15">
      <c r="B3198" s="1" t="str">
        <f>"183****4280"</f>
        <v>183****4280</v>
      </c>
      <c r="C3198" s="1" t="s">
        <v>23</v>
      </c>
      <c r="D3198" s="1" t="str">
        <f t="shared" si="317"/>
        <v>89177328</v>
      </c>
      <c r="E3198" s="1" t="s">
        <v>24</v>
      </c>
      <c r="F3198" s="1" t="str">
        <f t="shared" si="318"/>
        <v>0010</v>
      </c>
      <c r="G3198" s="1" t="s">
        <v>24</v>
      </c>
      <c r="H3198" s="1" t="str">
        <f>"0035"</f>
        <v>0035</v>
      </c>
      <c r="I3198" s="1" t="s">
        <v>25</v>
      </c>
      <c r="J3198" s="1" t="str">
        <f>"01043977569"</f>
        <v>01043977569</v>
      </c>
      <c r="K3198" s="1" t="str">
        <f>"2017-04-18 11:16:51"</f>
        <v>2017-04-18 11:16:51</v>
      </c>
      <c r="L3198" s="1" t="str">
        <f t="shared" si="319"/>
        <v>-</v>
      </c>
      <c r="M3198" s="2">
        <v>0</v>
      </c>
      <c r="N3198" s="1" t="s">
        <v>33</v>
      </c>
      <c r="O3198" s="1" t="s">
        <v>34</v>
      </c>
      <c r="P3198" s="2">
        <v>4.6296296296296294E-5</v>
      </c>
      <c r="Q3198" s="1" t="str">
        <f>""</f>
        <v/>
      </c>
      <c r="R3198" s="1">
        <v>0</v>
      </c>
      <c r="S3198" s="1" t="str">
        <f>""</f>
        <v/>
      </c>
      <c r="T3198" s="1" t="s">
        <v>29</v>
      </c>
      <c r="U3198" s="1" t="s">
        <v>30</v>
      </c>
      <c r="V3198" s="1">
        <v>0</v>
      </c>
    </row>
    <row r="3199" spans="2:22" x14ac:dyDescent="0.15">
      <c r="B3199" s="1" t="str">
        <f>"186****0604"</f>
        <v>186****0604</v>
      </c>
      <c r="C3199" s="1" t="s">
        <v>23</v>
      </c>
      <c r="D3199" s="1" t="str">
        <f t="shared" si="317"/>
        <v>89177328</v>
      </c>
      <c r="E3199" s="1" t="s">
        <v>24</v>
      </c>
      <c r="F3199" s="1" t="str">
        <f t="shared" si="318"/>
        <v>0010</v>
      </c>
      <c r="G3199" s="1" t="s">
        <v>24</v>
      </c>
      <c r="H3199" s="1" t="str">
        <f>"0032"</f>
        <v>0032</v>
      </c>
      <c r="I3199" s="1" t="s">
        <v>119</v>
      </c>
      <c r="J3199" s="1" t="str">
        <f>"01043977566"</f>
        <v>01043977566</v>
      </c>
      <c r="K3199" s="1" t="str">
        <f>"2017-04-18 11:16:09"</f>
        <v>2017-04-18 11:16:09</v>
      </c>
      <c r="L3199" s="1" t="str">
        <f t="shared" si="319"/>
        <v>-</v>
      </c>
      <c r="M3199" s="2">
        <v>0</v>
      </c>
      <c r="N3199" s="1" t="s">
        <v>33</v>
      </c>
      <c r="O3199" s="1" t="s">
        <v>34</v>
      </c>
      <c r="P3199" s="2">
        <v>5.7870370370370366E-5</v>
      </c>
      <c r="Q3199" s="1" t="str">
        <f>""</f>
        <v/>
      </c>
      <c r="R3199" s="1">
        <v>0</v>
      </c>
      <c r="S3199" s="1" t="str">
        <f>""</f>
        <v/>
      </c>
      <c r="T3199" s="1" t="s">
        <v>29</v>
      </c>
      <c r="U3199" s="1" t="s">
        <v>30</v>
      </c>
      <c r="V3199" s="1">
        <v>0</v>
      </c>
    </row>
    <row r="3200" spans="2:22" x14ac:dyDescent="0.15">
      <c r="B3200" s="1" t="str">
        <f>"133****9597"</f>
        <v>133****9597</v>
      </c>
      <c r="C3200" s="1" t="s">
        <v>23</v>
      </c>
      <c r="D3200" s="1" t="str">
        <f t="shared" si="317"/>
        <v>89177328</v>
      </c>
      <c r="E3200" s="1" t="s">
        <v>24</v>
      </c>
      <c r="F3200" s="1" t="str">
        <f t="shared" si="318"/>
        <v>0010</v>
      </c>
      <c r="G3200" s="1" t="s">
        <v>24</v>
      </c>
      <c r="H3200" s="1" t="str">
        <f>"0032"</f>
        <v>0032</v>
      </c>
      <c r="I3200" s="1" t="s">
        <v>119</v>
      </c>
      <c r="J3200" s="1" t="str">
        <f>"01043977566"</f>
        <v>01043977566</v>
      </c>
      <c r="K3200" s="1" t="str">
        <f>"2017-04-18 11:15:53"</f>
        <v>2017-04-18 11:15:53</v>
      </c>
      <c r="L3200" s="1" t="str">
        <f t="shared" si="319"/>
        <v>-</v>
      </c>
      <c r="M3200" s="2">
        <v>0</v>
      </c>
      <c r="N3200" s="1" t="s">
        <v>33</v>
      </c>
      <c r="O3200" s="1" t="s">
        <v>34</v>
      </c>
      <c r="P3200" s="2">
        <v>5.7870370370370366E-5</v>
      </c>
      <c r="Q3200" s="1" t="str">
        <f>""</f>
        <v/>
      </c>
      <c r="R3200" s="1">
        <v>0</v>
      </c>
      <c r="S3200" s="1" t="str">
        <f>""</f>
        <v/>
      </c>
      <c r="T3200" s="1" t="s">
        <v>29</v>
      </c>
      <c r="U3200" s="1" t="s">
        <v>30</v>
      </c>
      <c r="V3200" s="1">
        <v>0</v>
      </c>
    </row>
    <row r="3201" spans="2:22" x14ac:dyDescent="0.15">
      <c r="B3201" s="1" t="str">
        <f>"188****7867"</f>
        <v>188****7867</v>
      </c>
      <c r="C3201" s="1" t="s">
        <v>23</v>
      </c>
      <c r="D3201" s="1" t="str">
        <f t="shared" si="317"/>
        <v>89177328</v>
      </c>
      <c r="E3201" s="1" t="s">
        <v>24</v>
      </c>
      <c r="F3201" s="1" t="str">
        <f t="shared" si="318"/>
        <v>0010</v>
      </c>
      <c r="G3201" s="1" t="s">
        <v>24</v>
      </c>
      <c r="H3201" s="1" t="str">
        <f>"0032"</f>
        <v>0032</v>
      </c>
      <c r="I3201" s="1" t="s">
        <v>119</v>
      </c>
      <c r="J3201" s="1" t="str">
        <f>"01043977566"</f>
        <v>01043977566</v>
      </c>
      <c r="K3201" s="1" t="str">
        <f>"2017-04-18 11:15:22"</f>
        <v>2017-04-18 11:15:22</v>
      </c>
      <c r="L3201" s="1" t="str">
        <f t="shared" si="319"/>
        <v>-</v>
      </c>
      <c r="M3201" s="2">
        <v>0</v>
      </c>
      <c r="N3201" s="1" t="s">
        <v>33</v>
      </c>
      <c r="O3201" s="1" t="s">
        <v>34</v>
      </c>
      <c r="P3201" s="2">
        <v>5.7870370370370366E-5</v>
      </c>
      <c r="Q3201" s="1" t="str">
        <f>""</f>
        <v/>
      </c>
      <c r="R3201" s="1">
        <v>0</v>
      </c>
      <c r="S3201" s="1" t="str">
        <f>""</f>
        <v/>
      </c>
      <c r="T3201" s="1" t="s">
        <v>29</v>
      </c>
      <c r="U3201" s="1" t="s">
        <v>30</v>
      </c>
      <c r="V3201" s="1">
        <v>0</v>
      </c>
    </row>
    <row r="3202" spans="2:22" x14ac:dyDescent="0.15">
      <c r="B3202" s="1" t="str">
        <f>"158****6612"</f>
        <v>158****6612</v>
      </c>
      <c r="C3202" s="1" t="s">
        <v>23</v>
      </c>
      <c r="D3202" s="1" t="str">
        <f t="shared" si="317"/>
        <v>89177328</v>
      </c>
      <c r="E3202" s="1" t="s">
        <v>24</v>
      </c>
      <c r="F3202" s="1" t="str">
        <f t="shared" si="318"/>
        <v>0010</v>
      </c>
      <c r="G3202" s="1" t="s">
        <v>24</v>
      </c>
      <c r="H3202" s="1" t="str">
        <f>"0034"</f>
        <v>0034</v>
      </c>
      <c r="I3202" s="1" t="s">
        <v>31</v>
      </c>
      <c r="J3202" s="1" t="str">
        <f>"01043977568"</f>
        <v>01043977568</v>
      </c>
      <c r="K3202" s="1" t="str">
        <f>"2017-04-18 11:15:15"</f>
        <v>2017-04-18 11:15:15</v>
      </c>
      <c r="L3202" s="1" t="str">
        <f>"2017-04-18 11:15:28"</f>
        <v>2017-04-18 11:15:28</v>
      </c>
      <c r="M3202" s="2">
        <v>9.4444444444444445E-3</v>
      </c>
      <c r="N3202" s="1" t="s">
        <v>26</v>
      </c>
      <c r="O3202" s="1" t="s">
        <v>34</v>
      </c>
      <c r="P3202" s="2">
        <v>9.5949074074074079E-3</v>
      </c>
      <c r="Q3202" s="1" t="s">
        <v>2323</v>
      </c>
      <c r="R3202" s="1">
        <v>0</v>
      </c>
      <c r="S3202" s="1" t="str">
        <f>""</f>
        <v/>
      </c>
      <c r="T3202" s="1" t="s">
        <v>29</v>
      </c>
      <c r="U3202" s="1" t="s">
        <v>30</v>
      </c>
      <c r="V3202" s="1">
        <v>0</v>
      </c>
    </row>
    <row r="3203" spans="2:22" x14ac:dyDescent="0.15">
      <c r="B3203" s="1" t="str">
        <f>"132****0315"</f>
        <v>132****0315</v>
      </c>
      <c r="C3203" s="1" t="s">
        <v>23</v>
      </c>
      <c r="D3203" s="1" t="str">
        <f t="shared" si="317"/>
        <v>89177328</v>
      </c>
      <c r="E3203" s="1" t="s">
        <v>24</v>
      </c>
      <c r="F3203" s="1" t="str">
        <f t="shared" si="318"/>
        <v>0010</v>
      </c>
      <c r="G3203" s="1" t="s">
        <v>24</v>
      </c>
      <c r="H3203" s="1" t="str">
        <f>"0036"</f>
        <v>0036</v>
      </c>
      <c r="I3203" s="1" t="s">
        <v>143</v>
      </c>
      <c r="J3203" s="1" t="str">
        <f>"01043977573"</f>
        <v>01043977573</v>
      </c>
      <c r="K3203" s="1" t="str">
        <f>"2017-04-18 11:14:02"</f>
        <v>2017-04-18 11:14:02</v>
      </c>
      <c r="L3203" s="1" t="str">
        <f>"2017-04-18 11:14:05"</f>
        <v>2017-04-18 11:14:05</v>
      </c>
      <c r="M3203" s="2">
        <v>1.6030092592592592E-2</v>
      </c>
      <c r="N3203" s="1" t="s">
        <v>26</v>
      </c>
      <c r="O3203" s="1" t="s">
        <v>34</v>
      </c>
      <c r="P3203" s="2">
        <v>1.6064814814814813E-2</v>
      </c>
      <c r="Q3203" s="1" t="s">
        <v>2324</v>
      </c>
      <c r="R3203" s="1">
        <v>0</v>
      </c>
      <c r="S3203" s="1" t="str">
        <f>""</f>
        <v/>
      </c>
      <c r="T3203" s="1" t="s">
        <v>29</v>
      </c>
      <c r="U3203" s="1" t="s">
        <v>30</v>
      </c>
      <c r="V3203" s="1">
        <v>0</v>
      </c>
    </row>
    <row r="3204" spans="2:22" x14ac:dyDescent="0.15">
      <c r="B3204" s="1" t="str">
        <f>"177****0206"</f>
        <v>177****0206</v>
      </c>
      <c r="C3204" s="1" t="s">
        <v>23</v>
      </c>
      <c r="D3204" s="1" t="str">
        <f t="shared" si="317"/>
        <v>89177328</v>
      </c>
      <c r="E3204" s="1" t="s">
        <v>24</v>
      </c>
      <c r="F3204" s="1" t="str">
        <f t="shared" si="318"/>
        <v>0010</v>
      </c>
      <c r="G3204" s="1" t="s">
        <v>24</v>
      </c>
      <c r="H3204" s="1" t="str">
        <f>"0034"</f>
        <v>0034</v>
      </c>
      <c r="I3204" s="1" t="s">
        <v>31</v>
      </c>
      <c r="J3204" s="1" t="str">
        <f>"01043977568"</f>
        <v>01043977568</v>
      </c>
      <c r="K3204" s="1" t="str">
        <f>"2017-04-18 11:14:01"</f>
        <v>2017-04-18 11:14:01</v>
      </c>
      <c r="L3204" s="1" t="str">
        <f t="shared" ref="L3204:L3209" si="320">"-"</f>
        <v>-</v>
      </c>
      <c r="M3204" s="2">
        <v>0</v>
      </c>
      <c r="N3204" s="1" t="s">
        <v>33</v>
      </c>
      <c r="O3204" s="1" t="s">
        <v>34</v>
      </c>
      <c r="P3204" s="2">
        <v>5.7870370370370366E-5</v>
      </c>
      <c r="Q3204" s="1" t="str">
        <f>""</f>
        <v/>
      </c>
      <c r="R3204" s="1">
        <v>0</v>
      </c>
      <c r="S3204" s="1" t="str">
        <f>""</f>
        <v/>
      </c>
      <c r="T3204" s="1" t="s">
        <v>29</v>
      </c>
      <c r="U3204" s="1" t="s">
        <v>30</v>
      </c>
      <c r="V3204" s="1">
        <v>0</v>
      </c>
    </row>
    <row r="3205" spans="2:22" x14ac:dyDescent="0.15">
      <c r="B3205" s="1" t="str">
        <f>"116114"</f>
        <v>116114</v>
      </c>
      <c r="C3205" s="1" t="s">
        <v>159</v>
      </c>
      <c r="D3205" s="1" t="str">
        <f t="shared" si="317"/>
        <v>89177328</v>
      </c>
      <c r="E3205" s="1" t="s">
        <v>24</v>
      </c>
      <c r="F3205" s="1" t="str">
        <f t="shared" si="318"/>
        <v>0010</v>
      </c>
      <c r="G3205" s="1" t="s">
        <v>24</v>
      </c>
      <c r="H3205" s="1" t="str">
        <f>"0034"</f>
        <v>0034</v>
      </c>
      <c r="I3205" s="1" t="s">
        <v>31</v>
      </c>
      <c r="J3205" s="1" t="str">
        <f>"01043977568"</f>
        <v>01043977568</v>
      </c>
      <c r="K3205" s="1" t="str">
        <f>"2017-04-18 11:13:04"</f>
        <v>2017-04-18 11:13:04</v>
      </c>
      <c r="L3205" s="1" t="str">
        <f t="shared" si="320"/>
        <v>-</v>
      </c>
      <c r="M3205" s="2">
        <v>0</v>
      </c>
      <c r="N3205" s="1" t="s">
        <v>33</v>
      </c>
      <c r="O3205" s="1" t="s">
        <v>34</v>
      </c>
      <c r="P3205" s="2">
        <v>5.7870370370370366E-5</v>
      </c>
      <c r="Q3205" s="1" t="str">
        <f>""</f>
        <v/>
      </c>
      <c r="R3205" s="1">
        <v>0</v>
      </c>
      <c r="S3205" s="1" t="str">
        <f>""</f>
        <v/>
      </c>
      <c r="T3205" s="1" t="s">
        <v>29</v>
      </c>
      <c r="U3205" s="1" t="s">
        <v>30</v>
      </c>
      <c r="V3205" s="1">
        <v>0</v>
      </c>
    </row>
    <row r="3206" spans="2:22" x14ac:dyDescent="0.15">
      <c r="B3206" s="1" t="str">
        <f>"183****4280"</f>
        <v>183****4280</v>
      </c>
      <c r="C3206" s="1" t="s">
        <v>23</v>
      </c>
      <c r="D3206" s="1" t="str">
        <f t="shared" si="317"/>
        <v>89177328</v>
      </c>
      <c r="E3206" s="1" t="s">
        <v>24</v>
      </c>
      <c r="F3206" s="1" t="str">
        <f t="shared" si="318"/>
        <v>0010</v>
      </c>
      <c r="G3206" s="1" t="s">
        <v>24</v>
      </c>
      <c r="H3206" s="1" t="str">
        <f>"0032"</f>
        <v>0032</v>
      </c>
      <c r="I3206" s="1" t="s">
        <v>119</v>
      </c>
      <c r="J3206" s="1" t="str">
        <f>"01043977566"</f>
        <v>01043977566</v>
      </c>
      <c r="K3206" s="1" t="str">
        <f>"2017-04-18 11:12:37"</f>
        <v>2017-04-18 11:12:37</v>
      </c>
      <c r="L3206" s="1" t="str">
        <f t="shared" si="320"/>
        <v>-</v>
      </c>
      <c r="M3206" s="2">
        <v>0</v>
      </c>
      <c r="N3206" s="1" t="s">
        <v>33</v>
      </c>
      <c r="O3206" s="1" t="s">
        <v>34</v>
      </c>
      <c r="P3206" s="2">
        <v>5.7870370370370366E-5</v>
      </c>
      <c r="Q3206" s="1" t="str">
        <f>""</f>
        <v/>
      </c>
      <c r="R3206" s="1">
        <v>0</v>
      </c>
      <c r="S3206" s="1" t="str">
        <f>""</f>
        <v/>
      </c>
      <c r="T3206" s="1" t="s">
        <v>29</v>
      </c>
      <c r="U3206" s="1" t="s">
        <v>30</v>
      </c>
      <c r="V3206" s="1">
        <v>0</v>
      </c>
    </row>
    <row r="3207" spans="2:22" x14ac:dyDescent="0.15">
      <c r="B3207" s="1" t="str">
        <f>"177****0206"</f>
        <v>177****0206</v>
      </c>
      <c r="C3207" s="1" t="s">
        <v>23</v>
      </c>
      <c r="D3207" s="1" t="str">
        <f t="shared" si="317"/>
        <v>89177328</v>
      </c>
      <c r="E3207" s="1" t="s">
        <v>24</v>
      </c>
      <c r="F3207" s="1" t="str">
        <f t="shared" si="318"/>
        <v>0010</v>
      </c>
      <c r="G3207" s="1" t="s">
        <v>24</v>
      </c>
      <c r="H3207" s="1" t="str">
        <f>"0032"</f>
        <v>0032</v>
      </c>
      <c r="I3207" s="1" t="s">
        <v>119</v>
      </c>
      <c r="J3207" s="1" t="str">
        <f>"01043977566"</f>
        <v>01043977566</v>
      </c>
      <c r="K3207" s="1" t="str">
        <f>"2017-04-18 11:11:33"</f>
        <v>2017-04-18 11:11:33</v>
      </c>
      <c r="L3207" s="1" t="str">
        <f t="shared" si="320"/>
        <v>-</v>
      </c>
      <c r="M3207" s="2">
        <v>0</v>
      </c>
      <c r="N3207" s="1" t="s">
        <v>33</v>
      </c>
      <c r="O3207" s="1" t="s">
        <v>34</v>
      </c>
      <c r="P3207" s="2">
        <v>5.7870370370370366E-5</v>
      </c>
      <c r="Q3207" s="1" t="str">
        <f>""</f>
        <v/>
      </c>
      <c r="R3207" s="1">
        <v>0</v>
      </c>
      <c r="S3207" s="1" t="str">
        <f>""</f>
        <v/>
      </c>
      <c r="T3207" s="1" t="s">
        <v>29</v>
      </c>
      <c r="U3207" s="1" t="s">
        <v>30</v>
      </c>
      <c r="V3207" s="1">
        <v>0</v>
      </c>
    </row>
    <row r="3208" spans="2:22" x14ac:dyDescent="0.15">
      <c r="B3208" s="1" t="str">
        <f>"157****4678"</f>
        <v>157****4678</v>
      </c>
      <c r="C3208" s="1" t="s">
        <v>23</v>
      </c>
      <c r="D3208" s="1" t="str">
        <f t="shared" si="317"/>
        <v>89177328</v>
      </c>
      <c r="E3208" s="1" t="s">
        <v>24</v>
      </c>
      <c r="F3208" s="1" t="str">
        <f t="shared" si="318"/>
        <v>0010</v>
      </c>
      <c r="G3208" s="1" t="s">
        <v>24</v>
      </c>
      <c r="H3208" s="1" t="str">
        <f>"0017"</f>
        <v>0017</v>
      </c>
      <c r="I3208" s="1" t="s">
        <v>135</v>
      </c>
      <c r="J3208" s="1" t="str">
        <f>"01043989717"</f>
        <v>01043989717</v>
      </c>
      <c r="K3208" s="1" t="str">
        <f>"2017-04-18 11:09:45"</f>
        <v>2017-04-18 11:09:45</v>
      </c>
      <c r="L3208" s="1" t="str">
        <f t="shared" si="320"/>
        <v>-</v>
      </c>
      <c r="M3208" s="2">
        <v>0</v>
      </c>
      <c r="N3208" s="1" t="s">
        <v>33</v>
      </c>
      <c r="O3208" s="1" t="s">
        <v>34</v>
      </c>
      <c r="P3208" s="2">
        <v>4.6296296296296294E-5</v>
      </c>
      <c r="Q3208" s="1" t="str">
        <f>""</f>
        <v/>
      </c>
      <c r="R3208" s="1">
        <v>0</v>
      </c>
      <c r="S3208" s="1" t="str">
        <f>""</f>
        <v/>
      </c>
      <c r="T3208" s="1" t="s">
        <v>29</v>
      </c>
      <c r="U3208" s="1" t="s">
        <v>30</v>
      </c>
      <c r="V3208" s="1">
        <v>0</v>
      </c>
    </row>
    <row r="3209" spans="2:22" x14ac:dyDescent="0.15">
      <c r="B3209" s="1" t="str">
        <f>"188****7867"</f>
        <v>188****7867</v>
      </c>
      <c r="C3209" s="1" t="s">
        <v>23</v>
      </c>
      <c r="D3209" s="1" t="str">
        <f t="shared" si="317"/>
        <v>89177328</v>
      </c>
      <c r="E3209" s="1" t="s">
        <v>24</v>
      </c>
      <c r="F3209" s="1" t="str">
        <f t="shared" si="318"/>
        <v>0010</v>
      </c>
      <c r="G3209" s="1" t="s">
        <v>24</v>
      </c>
      <c r="H3209" s="1" t="str">
        <f>"0032"</f>
        <v>0032</v>
      </c>
      <c r="I3209" s="1" t="s">
        <v>119</v>
      </c>
      <c r="J3209" s="1" t="str">
        <f>"01043977566"</f>
        <v>01043977566</v>
      </c>
      <c r="K3209" s="1" t="str">
        <f>"2017-04-18 11:09:27"</f>
        <v>2017-04-18 11:09:27</v>
      </c>
      <c r="L3209" s="1" t="str">
        <f t="shared" si="320"/>
        <v>-</v>
      </c>
      <c r="M3209" s="2">
        <v>0</v>
      </c>
      <c r="N3209" s="1" t="s">
        <v>33</v>
      </c>
      <c r="O3209" s="1" t="s">
        <v>34</v>
      </c>
      <c r="P3209" s="2">
        <v>6.9444444444444444E-5</v>
      </c>
      <c r="Q3209" s="1" t="str">
        <f>""</f>
        <v/>
      </c>
      <c r="R3209" s="1">
        <v>0</v>
      </c>
      <c r="S3209" s="1" t="str">
        <f>""</f>
        <v/>
      </c>
      <c r="T3209" s="1" t="s">
        <v>29</v>
      </c>
      <c r="U3209" s="1" t="s">
        <v>30</v>
      </c>
      <c r="V3209" s="1">
        <v>0</v>
      </c>
    </row>
    <row r="3210" spans="2:22" x14ac:dyDescent="0.15">
      <c r="B3210" s="1" t="str">
        <f>"177****3746"</f>
        <v>177****3746</v>
      </c>
      <c r="C3210" s="1" t="s">
        <v>23</v>
      </c>
      <c r="D3210" s="1" t="str">
        <f t="shared" si="317"/>
        <v>89177328</v>
      </c>
      <c r="E3210" s="1" t="s">
        <v>24</v>
      </c>
      <c r="F3210" s="1" t="str">
        <f t="shared" si="318"/>
        <v>0010</v>
      </c>
      <c r="G3210" s="1" t="s">
        <v>24</v>
      </c>
      <c r="H3210" s="1" t="str">
        <f t="shared" ref="H3210:H3216" si="321">"0036"</f>
        <v>0036</v>
      </c>
      <c r="I3210" s="1" t="s">
        <v>143</v>
      </c>
      <c r="J3210" s="1" t="str">
        <f t="shared" ref="J3210:J3216" si="322">"01043977573"</f>
        <v>01043977573</v>
      </c>
      <c r="K3210" s="1" t="str">
        <f>"2017-04-18 11:03:42"</f>
        <v>2017-04-18 11:03:42</v>
      </c>
      <c r="L3210" s="1" t="str">
        <f>"2017-04-18 11:03:51"</f>
        <v>2017-04-18 11:03:51</v>
      </c>
      <c r="M3210" s="2">
        <v>6.0879629629629643E-3</v>
      </c>
      <c r="N3210" s="1" t="s">
        <v>26</v>
      </c>
      <c r="O3210" s="1" t="s">
        <v>27</v>
      </c>
      <c r="P3210" s="2">
        <v>6.1921296296296299E-3</v>
      </c>
      <c r="Q3210" s="1" t="s">
        <v>2325</v>
      </c>
      <c r="R3210" s="1">
        <v>0</v>
      </c>
      <c r="S3210" s="1" t="str">
        <f>""</f>
        <v/>
      </c>
      <c r="T3210" s="1" t="s">
        <v>29</v>
      </c>
      <c r="U3210" s="1" t="s">
        <v>30</v>
      </c>
      <c r="V3210" s="1">
        <v>0</v>
      </c>
    </row>
    <row r="3211" spans="2:22" x14ac:dyDescent="0.15">
      <c r="B3211" s="1" t="str">
        <f>"130****5656"</f>
        <v>130****5656</v>
      </c>
      <c r="C3211" s="1" t="s">
        <v>112</v>
      </c>
      <c r="D3211" s="1" t="str">
        <f t="shared" si="317"/>
        <v>89177328</v>
      </c>
      <c r="E3211" s="1" t="s">
        <v>24</v>
      </c>
      <c r="F3211" s="1" t="str">
        <f t="shared" si="318"/>
        <v>0010</v>
      </c>
      <c r="G3211" s="1" t="s">
        <v>24</v>
      </c>
      <c r="H3211" s="1" t="str">
        <f t="shared" si="321"/>
        <v>0036</v>
      </c>
      <c r="I3211" s="1" t="s">
        <v>143</v>
      </c>
      <c r="J3211" s="1" t="str">
        <f t="shared" si="322"/>
        <v>01043977573</v>
      </c>
      <c r="K3211" s="1" t="str">
        <f>"2017-04-18 11:02:00"</f>
        <v>2017-04-18 11:02:00</v>
      </c>
      <c r="L3211" s="1" t="str">
        <f>"-"</f>
        <v>-</v>
      </c>
      <c r="M3211" s="2">
        <v>0</v>
      </c>
      <c r="N3211" s="1" t="s">
        <v>33</v>
      </c>
      <c r="O3211" s="1" t="s">
        <v>34</v>
      </c>
      <c r="P3211" s="2">
        <v>4.6296296296296294E-5</v>
      </c>
      <c r="Q3211" s="1" t="str">
        <f>""</f>
        <v/>
      </c>
      <c r="R3211" s="1">
        <v>0</v>
      </c>
      <c r="S3211" s="1" t="str">
        <f>""</f>
        <v/>
      </c>
      <c r="T3211" s="1" t="s">
        <v>29</v>
      </c>
      <c r="U3211" s="1" t="s">
        <v>30</v>
      </c>
      <c r="V3211" s="1">
        <v>0</v>
      </c>
    </row>
    <row r="3212" spans="2:22" x14ac:dyDescent="0.15">
      <c r="B3212" s="1" t="str">
        <f>"157****4678"</f>
        <v>157****4678</v>
      </c>
      <c r="C3212" s="1" t="s">
        <v>23</v>
      </c>
      <c r="D3212" s="1" t="str">
        <f t="shared" si="317"/>
        <v>89177328</v>
      </c>
      <c r="E3212" s="1" t="s">
        <v>24</v>
      </c>
      <c r="F3212" s="1" t="str">
        <f t="shared" si="318"/>
        <v>0010</v>
      </c>
      <c r="G3212" s="1" t="s">
        <v>24</v>
      </c>
      <c r="H3212" s="1" t="str">
        <f t="shared" si="321"/>
        <v>0036</v>
      </c>
      <c r="I3212" s="1" t="s">
        <v>143</v>
      </c>
      <c r="J3212" s="1" t="str">
        <f t="shared" si="322"/>
        <v>01043977573</v>
      </c>
      <c r="K3212" s="1" t="str">
        <f>"2017-04-18 11:00:16"</f>
        <v>2017-04-18 11:00:16</v>
      </c>
      <c r="L3212" s="1" t="str">
        <f>"-"</f>
        <v>-</v>
      </c>
      <c r="M3212" s="2">
        <v>0</v>
      </c>
      <c r="N3212" s="1" t="s">
        <v>33</v>
      </c>
      <c r="O3212" s="1" t="s">
        <v>34</v>
      </c>
      <c r="P3212" s="2">
        <v>5.7870370370370366E-5</v>
      </c>
      <c r="Q3212" s="1" t="str">
        <f>""</f>
        <v/>
      </c>
      <c r="R3212" s="1">
        <v>0</v>
      </c>
      <c r="S3212" s="1" t="str">
        <f>""</f>
        <v/>
      </c>
      <c r="T3212" s="1" t="s">
        <v>29</v>
      </c>
      <c r="U3212" s="1" t="s">
        <v>30</v>
      </c>
      <c r="V3212" s="1">
        <v>0</v>
      </c>
    </row>
    <row r="3213" spans="2:22" x14ac:dyDescent="0.15">
      <c r="B3213" s="1" t="str">
        <f>"130****5656"</f>
        <v>130****5656</v>
      </c>
      <c r="C3213" s="1" t="s">
        <v>112</v>
      </c>
      <c r="D3213" s="1" t="str">
        <f t="shared" si="317"/>
        <v>89177328</v>
      </c>
      <c r="E3213" s="1" t="s">
        <v>24</v>
      </c>
      <c r="F3213" s="1" t="str">
        <f t="shared" si="318"/>
        <v>0010</v>
      </c>
      <c r="G3213" s="1" t="s">
        <v>24</v>
      </c>
      <c r="H3213" s="1" t="str">
        <f t="shared" si="321"/>
        <v>0036</v>
      </c>
      <c r="I3213" s="1" t="s">
        <v>143</v>
      </c>
      <c r="J3213" s="1" t="str">
        <f t="shared" si="322"/>
        <v>01043977573</v>
      </c>
      <c r="K3213" s="1" t="str">
        <f>"2017-04-18 11:00:01"</f>
        <v>2017-04-18 11:00:01</v>
      </c>
      <c r="L3213" s="1" t="str">
        <f>"-"</f>
        <v>-</v>
      </c>
      <c r="M3213" s="2">
        <v>0</v>
      </c>
      <c r="N3213" s="1" t="s">
        <v>33</v>
      </c>
      <c r="O3213" s="1" t="s">
        <v>34</v>
      </c>
      <c r="P3213" s="2">
        <v>4.6296296296296294E-5</v>
      </c>
      <c r="Q3213" s="1" t="str">
        <f>""</f>
        <v/>
      </c>
      <c r="R3213" s="1">
        <v>0</v>
      </c>
      <c r="S3213" s="1" t="str">
        <f>""</f>
        <v/>
      </c>
      <c r="T3213" s="1" t="s">
        <v>29</v>
      </c>
      <c r="U3213" s="1" t="s">
        <v>30</v>
      </c>
      <c r="V3213" s="1">
        <v>0</v>
      </c>
    </row>
    <row r="3214" spans="2:22" x14ac:dyDescent="0.15">
      <c r="B3214" s="1" t="str">
        <f>"157****4678"</f>
        <v>157****4678</v>
      </c>
      <c r="C3214" s="1" t="s">
        <v>23</v>
      </c>
      <c r="D3214" s="1" t="str">
        <f t="shared" si="317"/>
        <v>89177328</v>
      </c>
      <c r="E3214" s="1" t="s">
        <v>24</v>
      </c>
      <c r="F3214" s="1" t="str">
        <f t="shared" si="318"/>
        <v>0010</v>
      </c>
      <c r="G3214" s="1" t="s">
        <v>24</v>
      </c>
      <c r="H3214" s="1" t="str">
        <f t="shared" si="321"/>
        <v>0036</v>
      </c>
      <c r="I3214" s="1" t="s">
        <v>143</v>
      </c>
      <c r="J3214" s="1" t="str">
        <f t="shared" si="322"/>
        <v>01043977573</v>
      </c>
      <c r="K3214" s="1" t="str">
        <f>"2017-04-18 10:57:19"</f>
        <v>2017-04-18 10:57:19</v>
      </c>
      <c r="L3214" s="1" t="str">
        <f>"-"</f>
        <v>-</v>
      </c>
      <c r="M3214" s="2">
        <v>0</v>
      </c>
      <c r="N3214" s="1" t="s">
        <v>33</v>
      </c>
      <c r="O3214" s="1" t="s">
        <v>34</v>
      </c>
      <c r="P3214" s="2">
        <v>5.7870370370370366E-5</v>
      </c>
      <c r="Q3214" s="1" t="str">
        <f>""</f>
        <v/>
      </c>
      <c r="R3214" s="1">
        <v>0</v>
      </c>
      <c r="S3214" s="1" t="str">
        <f>""</f>
        <v/>
      </c>
      <c r="T3214" s="1" t="s">
        <v>29</v>
      </c>
      <c r="U3214" s="1" t="s">
        <v>30</v>
      </c>
      <c r="V3214" s="1">
        <v>0</v>
      </c>
    </row>
    <row r="3215" spans="2:22" x14ac:dyDescent="0.15">
      <c r="B3215" s="1" t="str">
        <f>"130****5656"</f>
        <v>130****5656</v>
      </c>
      <c r="C3215" s="1" t="s">
        <v>112</v>
      </c>
      <c r="D3215" s="1" t="str">
        <f t="shared" si="317"/>
        <v>89177328</v>
      </c>
      <c r="E3215" s="1" t="s">
        <v>24</v>
      </c>
      <c r="F3215" s="1" t="str">
        <f t="shared" si="318"/>
        <v>0010</v>
      </c>
      <c r="G3215" s="1" t="s">
        <v>24</v>
      </c>
      <c r="H3215" s="1" t="str">
        <f t="shared" si="321"/>
        <v>0036</v>
      </c>
      <c r="I3215" s="1" t="s">
        <v>143</v>
      </c>
      <c r="J3215" s="1" t="str">
        <f t="shared" si="322"/>
        <v>01043977573</v>
      </c>
      <c r="K3215" s="1" t="str">
        <f>"2017-04-18 10:56:12"</f>
        <v>2017-04-18 10:56:12</v>
      </c>
      <c r="L3215" s="1" t="str">
        <f>"-"</f>
        <v>-</v>
      </c>
      <c r="M3215" s="2">
        <v>0</v>
      </c>
      <c r="N3215" s="1" t="s">
        <v>33</v>
      </c>
      <c r="O3215" s="1" t="s">
        <v>34</v>
      </c>
      <c r="P3215" s="2">
        <v>4.6296296296296294E-5</v>
      </c>
      <c r="Q3215" s="1" t="str">
        <f>""</f>
        <v/>
      </c>
      <c r="R3215" s="1">
        <v>0</v>
      </c>
      <c r="S3215" s="1" t="str">
        <f>""</f>
        <v/>
      </c>
      <c r="T3215" s="1" t="s">
        <v>29</v>
      </c>
      <c r="U3215" s="1" t="s">
        <v>30</v>
      </c>
      <c r="V3215" s="1">
        <v>0</v>
      </c>
    </row>
    <row r="3216" spans="2:22" x14ac:dyDescent="0.15">
      <c r="B3216" s="1" t="str">
        <f>"157****4678"</f>
        <v>157****4678</v>
      </c>
      <c r="C3216" s="1" t="s">
        <v>23</v>
      </c>
      <c r="D3216" s="1" t="str">
        <f t="shared" si="317"/>
        <v>89177328</v>
      </c>
      <c r="E3216" s="1" t="s">
        <v>24</v>
      </c>
      <c r="F3216" s="1" t="str">
        <f t="shared" si="318"/>
        <v>0010</v>
      </c>
      <c r="G3216" s="1" t="s">
        <v>24</v>
      </c>
      <c r="H3216" s="1" t="str">
        <f t="shared" si="321"/>
        <v>0036</v>
      </c>
      <c r="I3216" s="1" t="s">
        <v>143</v>
      </c>
      <c r="J3216" s="1" t="str">
        <f t="shared" si="322"/>
        <v>01043977573</v>
      </c>
      <c r="K3216" s="1" t="str">
        <f>"2017-04-18 10:53:58"</f>
        <v>2017-04-18 10:53:58</v>
      </c>
      <c r="L3216" s="1" t="str">
        <f>"2017-04-18 10:54:01"</f>
        <v>2017-04-18 10:54:01</v>
      </c>
      <c r="M3216" s="2">
        <v>1.1574074074074073E-5</v>
      </c>
      <c r="N3216" s="1" t="s">
        <v>26</v>
      </c>
      <c r="O3216" s="1" t="s">
        <v>34</v>
      </c>
      <c r="P3216" s="2">
        <v>4.6296296296296294E-5</v>
      </c>
      <c r="Q3216" s="1" t="str">
        <f>""</f>
        <v/>
      </c>
      <c r="R3216" s="1">
        <v>0</v>
      </c>
      <c r="S3216" s="1" t="str">
        <f>""</f>
        <v/>
      </c>
      <c r="T3216" s="1" t="s">
        <v>29</v>
      </c>
      <c r="U3216" s="1" t="s">
        <v>30</v>
      </c>
      <c r="V3216" s="1">
        <v>0</v>
      </c>
    </row>
    <row r="3217" spans="2:22" x14ac:dyDescent="0.15">
      <c r="B3217" s="1" t="str">
        <f>"010****0008"</f>
        <v>010****0008</v>
      </c>
      <c r="C3217" s="1" t="s">
        <v>23</v>
      </c>
      <c r="D3217" s="1" t="str">
        <f t="shared" si="317"/>
        <v>89177328</v>
      </c>
      <c r="E3217" s="1" t="s">
        <v>24</v>
      </c>
      <c r="F3217" s="1" t="str">
        <f t="shared" si="318"/>
        <v>0010</v>
      </c>
      <c r="G3217" s="1" t="s">
        <v>24</v>
      </c>
      <c r="H3217" s="1" t="str">
        <f>"0018"</f>
        <v>0018</v>
      </c>
      <c r="I3217" s="1" t="s">
        <v>36</v>
      </c>
      <c r="J3217" s="1" t="str">
        <f>"01043977572"</f>
        <v>01043977572</v>
      </c>
      <c r="K3217" s="1" t="str">
        <f>"2017-04-18 10:43:04"</f>
        <v>2017-04-18 10:43:04</v>
      </c>
      <c r="L3217" s="1" t="str">
        <f>"2017-04-18 10:43:15"</f>
        <v>2017-04-18 10:43:15</v>
      </c>
      <c r="M3217" s="2">
        <v>3.2291666666666666E-3</v>
      </c>
      <c r="N3217" s="1" t="s">
        <v>26</v>
      </c>
      <c r="O3217" s="1" t="s">
        <v>34</v>
      </c>
      <c r="P3217" s="2">
        <v>3.3564814814814811E-3</v>
      </c>
      <c r="Q3217" s="1" t="s">
        <v>2326</v>
      </c>
      <c r="R3217" s="1">
        <v>0</v>
      </c>
      <c r="S3217" s="1" t="str">
        <f>""</f>
        <v/>
      </c>
      <c r="T3217" s="1" t="s">
        <v>29</v>
      </c>
      <c r="U3217" s="1" t="s">
        <v>30</v>
      </c>
      <c r="V3217" s="1">
        <v>0</v>
      </c>
    </row>
    <row r="3218" spans="2:22" x14ac:dyDescent="0.15">
      <c r="B3218" s="1" t="str">
        <f>"153****5008"</f>
        <v>153****5008</v>
      </c>
      <c r="C3218" s="1" t="s">
        <v>23</v>
      </c>
      <c r="D3218" s="1" t="str">
        <f t="shared" si="317"/>
        <v>89177328</v>
      </c>
      <c r="E3218" s="1" t="s">
        <v>24</v>
      </c>
      <c r="F3218" s="1" t="str">
        <f t="shared" si="318"/>
        <v>0010</v>
      </c>
      <c r="G3218" s="1" t="s">
        <v>24</v>
      </c>
      <c r="H3218" s="1" t="str">
        <f>"0036"</f>
        <v>0036</v>
      </c>
      <c r="I3218" s="1" t="s">
        <v>143</v>
      </c>
      <c r="J3218" s="1" t="str">
        <f>"01043977573"</f>
        <v>01043977573</v>
      </c>
      <c r="K3218" s="1" t="str">
        <f>"2017-04-18 10:35:17"</f>
        <v>2017-04-18 10:35:17</v>
      </c>
      <c r="L3218" s="1" t="str">
        <f>"2017-04-18 10:35:26"</f>
        <v>2017-04-18 10:35:26</v>
      </c>
      <c r="M3218" s="2">
        <v>8.5416666666666679E-3</v>
      </c>
      <c r="N3218" s="1" t="s">
        <v>26</v>
      </c>
      <c r="O3218" s="1" t="s">
        <v>34</v>
      </c>
      <c r="P3218" s="2">
        <v>8.6458333333333335E-3</v>
      </c>
      <c r="Q3218" s="1" t="s">
        <v>2327</v>
      </c>
      <c r="R3218" s="1">
        <v>0</v>
      </c>
      <c r="S3218" s="1" t="str">
        <f>""</f>
        <v/>
      </c>
      <c r="T3218" s="1" t="s">
        <v>29</v>
      </c>
      <c r="U3218" s="1" t="s">
        <v>30</v>
      </c>
      <c r="V3218" s="1">
        <v>0</v>
      </c>
    </row>
    <row r="3219" spans="2:22" x14ac:dyDescent="0.15">
      <c r="B3219" s="1" t="str">
        <f>"137****2567"</f>
        <v>137****2567</v>
      </c>
      <c r="C3219" s="1" t="s">
        <v>170</v>
      </c>
      <c r="D3219" s="1" t="str">
        <f t="shared" si="317"/>
        <v>89177328</v>
      </c>
      <c r="E3219" s="1" t="s">
        <v>24</v>
      </c>
      <c r="F3219" s="1" t="str">
        <f t="shared" si="318"/>
        <v>0010</v>
      </c>
      <c r="G3219" s="1" t="s">
        <v>24</v>
      </c>
      <c r="H3219" s="1" t="str">
        <f>"0034"</f>
        <v>0034</v>
      </c>
      <c r="I3219" s="1" t="s">
        <v>31</v>
      </c>
      <c r="J3219" s="1" t="str">
        <f>"01043977568"</f>
        <v>01043977568</v>
      </c>
      <c r="K3219" s="1" t="str">
        <f>"2017-04-18 10:34:05"</f>
        <v>2017-04-18 10:34:05</v>
      </c>
      <c r="L3219" s="1" t="str">
        <f>"2017-04-18 10:34:15"</f>
        <v>2017-04-18 10:34:15</v>
      </c>
      <c r="M3219" s="2">
        <v>7.083333333333333E-3</v>
      </c>
      <c r="N3219" s="1" t="s">
        <v>26</v>
      </c>
      <c r="O3219" s="1" t="s">
        <v>27</v>
      </c>
      <c r="P3219" s="2">
        <v>7.1990740740740739E-3</v>
      </c>
      <c r="Q3219" s="1" t="s">
        <v>2328</v>
      </c>
      <c r="R3219" s="1">
        <v>0</v>
      </c>
      <c r="S3219" s="1" t="str">
        <f>""</f>
        <v/>
      </c>
      <c r="T3219" s="1" t="s">
        <v>29</v>
      </c>
      <c r="U3219" s="1" t="s">
        <v>30</v>
      </c>
      <c r="V3219" s="1">
        <v>0</v>
      </c>
    </row>
    <row r="3220" spans="2:22" x14ac:dyDescent="0.15">
      <c r="B3220" s="1" t="str">
        <f>"0755****8962"</f>
        <v>0755****8962</v>
      </c>
      <c r="C3220" s="1" t="s">
        <v>193</v>
      </c>
      <c r="D3220" s="1" t="str">
        <f>"4000108333"</f>
        <v>4000108333</v>
      </c>
      <c r="E3220" s="1" t="s">
        <v>53</v>
      </c>
      <c r="F3220" s="1" t="str">
        <f>""</f>
        <v/>
      </c>
      <c r="G3220" s="1" t="str">
        <f>""</f>
        <v/>
      </c>
      <c r="H3220" s="1" t="str">
        <f>""</f>
        <v/>
      </c>
      <c r="I3220" s="1" t="str">
        <f>""</f>
        <v/>
      </c>
      <c r="J3220" s="1" t="str">
        <f>""</f>
        <v/>
      </c>
      <c r="K3220" s="1" t="str">
        <f>"2017-04-18 10:31:09"</f>
        <v>2017-04-18 10:31:09</v>
      </c>
      <c r="L3220" s="1" t="str">
        <f>"-"</f>
        <v>-</v>
      </c>
      <c r="M3220" s="2">
        <v>0</v>
      </c>
      <c r="N3220" s="1" t="s">
        <v>55</v>
      </c>
      <c r="O3220" s="1" t="s">
        <v>34</v>
      </c>
      <c r="P3220" s="2">
        <v>1.6203703703703703E-4</v>
      </c>
      <c r="Q3220" s="1" t="str">
        <f>""</f>
        <v/>
      </c>
      <c r="R3220" s="1">
        <v>0.12</v>
      </c>
      <c r="S3220" s="1" t="str">
        <f>""</f>
        <v/>
      </c>
      <c r="T3220" s="1" t="s">
        <v>29</v>
      </c>
      <c r="U3220" s="1" t="s">
        <v>30</v>
      </c>
      <c r="V3220" s="1">
        <v>0</v>
      </c>
    </row>
    <row r="3221" spans="2:22" x14ac:dyDescent="0.15">
      <c r="B3221" s="1" t="str">
        <f>"189****6557"</f>
        <v>189****6557</v>
      </c>
      <c r="C3221" s="1" t="s">
        <v>872</v>
      </c>
      <c r="D3221" s="1" t="str">
        <f t="shared" ref="D3221:D3234" si="323">"89177328"</f>
        <v>89177328</v>
      </c>
      <c r="E3221" s="1" t="s">
        <v>24</v>
      </c>
      <c r="F3221" s="1" t="str">
        <f t="shared" ref="F3221:F3234" si="324">"0010"</f>
        <v>0010</v>
      </c>
      <c r="G3221" s="1" t="s">
        <v>24</v>
      </c>
      <c r="H3221" s="1" t="str">
        <f>"0032"</f>
        <v>0032</v>
      </c>
      <c r="I3221" s="1" t="s">
        <v>119</v>
      </c>
      <c r="J3221" s="1" t="str">
        <f>"01043977566"</f>
        <v>01043977566</v>
      </c>
      <c r="K3221" s="1" t="str">
        <f>"2017-04-18 10:19:51"</f>
        <v>2017-04-18 10:19:51</v>
      </c>
      <c r="L3221" s="1" t="str">
        <f>"2017-04-18 10:20:01"</f>
        <v>2017-04-18 10:20:01</v>
      </c>
      <c r="M3221" s="2">
        <v>1.3310185185185185E-3</v>
      </c>
      <c r="N3221" s="1" t="s">
        <v>26</v>
      </c>
      <c r="O3221" s="1" t="s">
        <v>34</v>
      </c>
      <c r="P3221" s="2">
        <v>1.4467592592592594E-3</v>
      </c>
      <c r="Q3221" s="1" t="s">
        <v>2329</v>
      </c>
      <c r="R3221" s="1">
        <v>0</v>
      </c>
      <c r="S3221" s="1" t="str">
        <f>""</f>
        <v/>
      </c>
      <c r="T3221" s="1" t="s">
        <v>29</v>
      </c>
      <c r="U3221" s="1" t="s">
        <v>30</v>
      </c>
      <c r="V3221" s="1">
        <v>0</v>
      </c>
    </row>
    <row r="3222" spans="2:22" x14ac:dyDescent="0.15">
      <c r="B3222" s="1" t="str">
        <f>"131****7322"</f>
        <v>131****7322</v>
      </c>
      <c r="C3222" s="1" t="s">
        <v>829</v>
      </c>
      <c r="D3222" s="1" t="str">
        <f t="shared" si="323"/>
        <v>89177328</v>
      </c>
      <c r="E3222" s="1" t="s">
        <v>24</v>
      </c>
      <c r="F3222" s="1" t="str">
        <f t="shared" si="324"/>
        <v>0010</v>
      </c>
      <c r="G3222" s="1" t="s">
        <v>24</v>
      </c>
      <c r="H3222" s="1" t="str">
        <f>"0031"</f>
        <v>0031</v>
      </c>
      <c r="I3222" s="1" t="s">
        <v>95</v>
      </c>
      <c r="J3222" s="1" t="str">
        <f>"01043977565"</f>
        <v>01043977565</v>
      </c>
      <c r="K3222" s="1" t="str">
        <f>"2017-04-18 10:18:16"</f>
        <v>2017-04-18 10:18:16</v>
      </c>
      <c r="L3222" s="1" t="str">
        <f>"2017-04-18 10:18:22"</f>
        <v>2017-04-18 10:18:22</v>
      </c>
      <c r="M3222" s="2">
        <v>1.3379629629629628E-2</v>
      </c>
      <c r="N3222" s="1" t="s">
        <v>26</v>
      </c>
      <c r="O3222" s="1" t="s">
        <v>34</v>
      </c>
      <c r="P3222" s="2">
        <v>1.3449074074074073E-2</v>
      </c>
      <c r="Q3222" s="1" t="s">
        <v>2330</v>
      </c>
      <c r="R3222" s="1">
        <v>0</v>
      </c>
      <c r="S3222" s="1" t="str">
        <f>""</f>
        <v/>
      </c>
      <c r="T3222" s="1" t="s">
        <v>29</v>
      </c>
      <c r="U3222" s="1" t="s">
        <v>30</v>
      </c>
      <c r="V3222" s="1">
        <v>0</v>
      </c>
    </row>
    <row r="3223" spans="2:22" x14ac:dyDescent="0.15">
      <c r="B3223" s="1" t="str">
        <f>"130****1309"</f>
        <v>130****1309</v>
      </c>
      <c r="C3223" s="1" t="s">
        <v>1306</v>
      </c>
      <c r="D3223" s="1" t="str">
        <f t="shared" si="323"/>
        <v>89177328</v>
      </c>
      <c r="E3223" s="1" t="s">
        <v>24</v>
      </c>
      <c r="F3223" s="1" t="str">
        <f t="shared" si="324"/>
        <v>0010</v>
      </c>
      <c r="G3223" s="1" t="s">
        <v>24</v>
      </c>
      <c r="H3223" s="1" t="str">
        <f>"0036"</f>
        <v>0036</v>
      </c>
      <c r="I3223" s="1" t="s">
        <v>143</v>
      </c>
      <c r="J3223" s="1" t="str">
        <f>"01043977573"</f>
        <v>01043977573</v>
      </c>
      <c r="K3223" s="1" t="str">
        <f>"2017-04-18 10:14:45"</f>
        <v>2017-04-18 10:14:45</v>
      </c>
      <c r="L3223" s="1" t="str">
        <f>"2017-04-18 10:14:52"</f>
        <v>2017-04-18 10:14:52</v>
      </c>
      <c r="M3223" s="2">
        <v>9.0162037037037034E-3</v>
      </c>
      <c r="N3223" s="1" t="s">
        <v>26</v>
      </c>
      <c r="O3223" s="1" t="s">
        <v>34</v>
      </c>
      <c r="P3223" s="2">
        <v>9.0972222222222218E-3</v>
      </c>
      <c r="Q3223" s="1" t="s">
        <v>2331</v>
      </c>
      <c r="R3223" s="1">
        <v>0</v>
      </c>
      <c r="S3223" s="1" t="str">
        <f>""</f>
        <v/>
      </c>
      <c r="T3223" s="1" t="s">
        <v>29</v>
      </c>
      <c r="U3223" s="1" t="s">
        <v>30</v>
      </c>
      <c r="V3223" s="1">
        <v>0</v>
      </c>
    </row>
    <row r="3224" spans="2:22" x14ac:dyDescent="0.15">
      <c r="B3224" s="1" t="str">
        <f>"010****6977"</f>
        <v>010****6977</v>
      </c>
      <c r="C3224" s="1" t="s">
        <v>23</v>
      </c>
      <c r="D3224" s="1" t="str">
        <f t="shared" si="323"/>
        <v>89177328</v>
      </c>
      <c r="E3224" s="1" t="s">
        <v>24</v>
      </c>
      <c r="F3224" s="1" t="str">
        <f t="shared" si="324"/>
        <v>0010</v>
      </c>
      <c r="G3224" s="1" t="s">
        <v>24</v>
      </c>
      <c r="H3224" s="1" t="str">
        <f>"0010"</f>
        <v>0010</v>
      </c>
      <c r="I3224" s="1" t="s">
        <v>71</v>
      </c>
      <c r="J3224" s="1" t="str">
        <f>"01043977571"</f>
        <v>01043977571</v>
      </c>
      <c r="K3224" s="1" t="str">
        <f>"2017-04-18 10:01:15"</f>
        <v>2017-04-18 10:01:15</v>
      </c>
      <c r="L3224" s="1" t="str">
        <f>"2017-04-18 10:01:25"</f>
        <v>2017-04-18 10:01:25</v>
      </c>
      <c r="M3224" s="2">
        <v>1.2546296296296297E-2</v>
      </c>
      <c r="N3224" s="1" t="s">
        <v>26</v>
      </c>
      <c r="O3224" s="1" t="s">
        <v>27</v>
      </c>
      <c r="P3224" s="2">
        <v>1.2662037037037039E-2</v>
      </c>
      <c r="Q3224" s="1" t="s">
        <v>2332</v>
      </c>
      <c r="R3224" s="1">
        <v>0</v>
      </c>
      <c r="S3224" s="1" t="str">
        <f>""</f>
        <v/>
      </c>
      <c r="T3224" s="1" t="s">
        <v>29</v>
      </c>
      <c r="U3224" s="1" t="s">
        <v>30</v>
      </c>
      <c r="V3224" s="1">
        <v>0</v>
      </c>
    </row>
    <row r="3225" spans="2:22" x14ac:dyDescent="0.15">
      <c r="B3225" s="1" t="str">
        <f>"136****2718"</f>
        <v>136****2718</v>
      </c>
      <c r="C3225" s="1" t="s">
        <v>23</v>
      </c>
      <c r="D3225" s="1" t="str">
        <f t="shared" si="323"/>
        <v>89177328</v>
      </c>
      <c r="E3225" s="1" t="s">
        <v>24</v>
      </c>
      <c r="F3225" s="1" t="str">
        <f t="shared" si="324"/>
        <v>0010</v>
      </c>
      <c r="G3225" s="1" t="s">
        <v>24</v>
      </c>
      <c r="H3225" s="1" t="str">
        <f>"0032"</f>
        <v>0032</v>
      </c>
      <c r="I3225" s="1" t="s">
        <v>119</v>
      </c>
      <c r="J3225" s="1" t="str">
        <f>"01043977566"</f>
        <v>01043977566</v>
      </c>
      <c r="K3225" s="1" t="str">
        <f>"2017-04-18 09:53:40"</f>
        <v>2017-04-18 09:53:40</v>
      </c>
      <c r="L3225" s="1" t="str">
        <f>"2017-04-18 09:53:51"</f>
        <v>2017-04-18 09:53:51</v>
      </c>
      <c r="M3225" s="2">
        <v>9.2013888888888892E-3</v>
      </c>
      <c r="N3225" s="1" t="s">
        <v>26</v>
      </c>
      <c r="O3225" s="1" t="s">
        <v>34</v>
      </c>
      <c r="P3225" s="2">
        <v>9.3287037037037036E-3</v>
      </c>
      <c r="Q3225" s="1" t="s">
        <v>2333</v>
      </c>
      <c r="R3225" s="1">
        <v>0</v>
      </c>
      <c r="S3225" s="1" t="str">
        <f>""</f>
        <v/>
      </c>
      <c r="T3225" s="1" t="s">
        <v>29</v>
      </c>
      <c r="U3225" s="1" t="s">
        <v>30</v>
      </c>
      <c r="V3225" s="1">
        <v>0</v>
      </c>
    </row>
    <row r="3226" spans="2:22" x14ac:dyDescent="0.15">
      <c r="B3226" s="1" t="str">
        <f>"130****7888"</f>
        <v>130****7888</v>
      </c>
      <c r="C3226" s="1" t="s">
        <v>23</v>
      </c>
      <c r="D3226" s="1" t="str">
        <f t="shared" si="323"/>
        <v>89177328</v>
      </c>
      <c r="E3226" s="1" t="s">
        <v>24</v>
      </c>
      <c r="F3226" s="1" t="str">
        <f t="shared" si="324"/>
        <v>0010</v>
      </c>
      <c r="G3226" s="1" t="s">
        <v>24</v>
      </c>
      <c r="H3226" s="1" t="str">
        <f>"0031"</f>
        <v>0031</v>
      </c>
      <c r="I3226" s="1" t="s">
        <v>95</v>
      </c>
      <c r="J3226" s="1" t="str">
        <f>"01043977565"</f>
        <v>01043977565</v>
      </c>
      <c r="K3226" s="1" t="str">
        <f>"2017-04-18 09:47:44"</f>
        <v>2017-04-18 09:47:44</v>
      </c>
      <c r="L3226" s="1" t="str">
        <f>"2017-04-18 09:47:53"</f>
        <v>2017-04-18 09:47:53</v>
      </c>
      <c r="M3226" s="2">
        <v>8.7384259259259255E-3</v>
      </c>
      <c r="N3226" s="1" t="s">
        <v>26</v>
      </c>
      <c r="O3226" s="1" t="s">
        <v>27</v>
      </c>
      <c r="P3226" s="2">
        <v>8.8425925925925911E-3</v>
      </c>
      <c r="Q3226" s="1" t="s">
        <v>2334</v>
      </c>
      <c r="R3226" s="1">
        <v>0</v>
      </c>
      <c r="S3226" s="1" t="str">
        <f>""</f>
        <v/>
      </c>
      <c r="T3226" s="1" t="s">
        <v>29</v>
      </c>
      <c r="U3226" s="1" t="s">
        <v>30</v>
      </c>
      <c r="V3226" s="1">
        <v>0</v>
      </c>
    </row>
    <row r="3227" spans="2:22" x14ac:dyDescent="0.15">
      <c r="B3227" s="1" t="str">
        <f>"010****1994"</f>
        <v>010****1994</v>
      </c>
      <c r="C3227" s="1" t="s">
        <v>23</v>
      </c>
      <c r="D3227" s="1" t="str">
        <f t="shared" si="323"/>
        <v>89177328</v>
      </c>
      <c r="E3227" s="1" t="s">
        <v>24</v>
      </c>
      <c r="F3227" s="1" t="str">
        <f t="shared" si="324"/>
        <v>0010</v>
      </c>
      <c r="G3227" s="1" t="s">
        <v>24</v>
      </c>
      <c r="H3227" s="1" t="str">
        <f>"0034"</f>
        <v>0034</v>
      </c>
      <c r="I3227" s="1" t="s">
        <v>31</v>
      </c>
      <c r="J3227" s="1" t="str">
        <f>"01043977568"</f>
        <v>01043977568</v>
      </c>
      <c r="K3227" s="1" t="str">
        <f>"2017-04-18 09:39:27"</f>
        <v>2017-04-18 09:39:27</v>
      </c>
      <c r="L3227" s="1" t="str">
        <f>"2017-04-18 09:39:35"</f>
        <v>2017-04-18 09:39:35</v>
      </c>
      <c r="M3227" s="2">
        <v>2.9699074074074072E-2</v>
      </c>
      <c r="N3227" s="1" t="s">
        <v>26</v>
      </c>
      <c r="O3227" s="1" t="s">
        <v>27</v>
      </c>
      <c r="P3227" s="2">
        <v>2.9791666666666664E-2</v>
      </c>
      <c r="Q3227" s="1" t="s">
        <v>2335</v>
      </c>
      <c r="R3227" s="1">
        <v>0</v>
      </c>
      <c r="S3227" s="1" t="str">
        <f>""</f>
        <v/>
      </c>
      <c r="T3227" s="1" t="s">
        <v>29</v>
      </c>
      <c r="U3227" s="1" t="s">
        <v>30</v>
      </c>
      <c r="V3227" s="1">
        <v>0</v>
      </c>
    </row>
    <row r="3228" spans="2:22" x14ac:dyDescent="0.15">
      <c r="B3228" s="1" t="str">
        <f>"010****1994"</f>
        <v>010****1994</v>
      </c>
      <c r="C3228" s="1" t="s">
        <v>23</v>
      </c>
      <c r="D3228" s="1" t="str">
        <f t="shared" si="323"/>
        <v>89177328</v>
      </c>
      <c r="E3228" s="1" t="s">
        <v>24</v>
      </c>
      <c r="F3228" s="1" t="str">
        <f t="shared" si="324"/>
        <v>0010</v>
      </c>
      <c r="G3228" s="1" t="s">
        <v>24</v>
      </c>
      <c r="H3228" s="1" t="str">
        <f>"0034"</f>
        <v>0034</v>
      </c>
      <c r="I3228" s="1" t="s">
        <v>31</v>
      </c>
      <c r="J3228" s="1" t="str">
        <f>"01043977568"</f>
        <v>01043977568</v>
      </c>
      <c r="K3228" s="1" t="str">
        <f>"2017-04-18 09:33:52"</f>
        <v>2017-04-18 09:33:52</v>
      </c>
      <c r="L3228" s="1" t="str">
        <f>"2017-04-18 09:34:03"</f>
        <v>2017-04-18 09:34:03</v>
      </c>
      <c r="M3228" s="2">
        <v>2.4074074074074076E-3</v>
      </c>
      <c r="N3228" s="1" t="s">
        <v>26</v>
      </c>
      <c r="O3228" s="1" t="s">
        <v>34</v>
      </c>
      <c r="P3228" s="2">
        <v>2.5347222222222221E-3</v>
      </c>
      <c r="Q3228" s="1" t="s">
        <v>2336</v>
      </c>
      <c r="R3228" s="1">
        <v>0</v>
      </c>
      <c r="S3228" s="1" t="str">
        <f>""</f>
        <v/>
      </c>
      <c r="T3228" s="1" t="s">
        <v>29</v>
      </c>
      <c r="U3228" s="1" t="s">
        <v>30</v>
      </c>
      <c r="V3228" s="1">
        <v>0</v>
      </c>
    </row>
    <row r="3229" spans="2:22" x14ac:dyDescent="0.15">
      <c r="B3229" s="1" t="str">
        <f>"136****2357"</f>
        <v>136****2357</v>
      </c>
      <c r="C3229" s="1" t="s">
        <v>341</v>
      </c>
      <c r="D3229" s="1" t="str">
        <f t="shared" si="323"/>
        <v>89177328</v>
      </c>
      <c r="E3229" s="1" t="s">
        <v>24</v>
      </c>
      <c r="F3229" s="1" t="str">
        <f t="shared" si="324"/>
        <v>0010</v>
      </c>
      <c r="G3229" s="1" t="s">
        <v>24</v>
      </c>
      <c r="H3229" s="1" t="str">
        <f>"0036"</f>
        <v>0036</v>
      </c>
      <c r="I3229" s="1" t="s">
        <v>143</v>
      </c>
      <c r="J3229" s="1" t="str">
        <f>"01043977573"</f>
        <v>01043977573</v>
      </c>
      <c r="K3229" s="1" t="str">
        <f>"2017-04-18 08:40:15"</f>
        <v>2017-04-18 08:40:15</v>
      </c>
      <c r="L3229" s="1" t="str">
        <f>"2017-04-18 08:40:21"</f>
        <v>2017-04-18 08:40:21</v>
      </c>
      <c r="M3229" s="2">
        <v>1.6643518518518519E-2</v>
      </c>
      <c r="N3229" s="1" t="s">
        <v>26</v>
      </c>
      <c r="O3229" s="1" t="s">
        <v>34</v>
      </c>
      <c r="P3229" s="2">
        <v>1.6712962962962961E-2</v>
      </c>
      <c r="Q3229" s="1" t="s">
        <v>2337</v>
      </c>
      <c r="R3229" s="1">
        <v>0</v>
      </c>
      <c r="S3229" s="1" t="str">
        <f>""</f>
        <v/>
      </c>
      <c r="T3229" s="1" t="s">
        <v>29</v>
      </c>
      <c r="U3229" s="1" t="s">
        <v>30</v>
      </c>
      <c r="V3229" s="1">
        <v>0</v>
      </c>
    </row>
    <row r="3230" spans="2:22" x14ac:dyDescent="0.15">
      <c r="B3230" s="1" t="str">
        <f>"152****1197"</f>
        <v>152****1197</v>
      </c>
      <c r="C3230" s="1" t="s">
        <v>132</v>
      </c>
      <c r="D3230" s="1" t="str">
        <f t="shared" si="323"/>
        <v>89177328</v>
      </c>
      <c r="E3230" s="1" t="s">
        <v>24</v>
      </c>
      <c r="F3230" s="1" t="str">
        <f t="shared" si="324"/>
        <v>0010</v>
      </c>
      <c r="G3230" s="1" t="s">
        <v>24</v>
      </c>
      <c r="H3230" s="1" t="str">
        <f>"0034"</f>
        <v>0034</v>
      </c>
      <c r="I3230" s="1" t="s">
        <v>31</v>
      </c>
      <c r="J3230" s="1" t="str">
        <f>"01043977568"</f>
        <v>01043977568</v>
      </c>
      <c r="K3230" s="1" t="str">
        <f>"2017-04-18 08:27:00"</f>
        <v>2017-04-18 08:27:00</v>
      </c>
      <c r="L3230" s="1" t="str">
        <f>"2017-04-18 08:27:11"</f>
        <v>2017-04-18 08:27:11</v>
      </c>
      <c r="M3230" s="2">
        <v>4.7453703703703704E-4</v>
      </c>
      <c r="N3230" s="1" t="s">
        <v>26</v>
      </c>
      <c r="O3230" s="1" t="s">
        <v>27</v>
      </c>
      <c r="P3230" s="2">
        <v>6.018518518518519E-4</v>
      </c>
      <c r="Q3230" s="1" t="s">
        <v>2338</v>
      </c>
      <c r="R3230" s="1">
        <v>0</v>
      </c>
      <c r="S3230" s="1" t="str">
        <f>""</f>
        <v/>
      </c>
      <c r="T3230" s="1" t="s">
        <v>29</v>
      </c>
      <c r="U3230" s="1" t="s">
        <v>30</v>
      </c>
      <c r="V3230" s="1">
        <v>0</v>
      </c>
    </row>
    <row r="3231" spans="2:22" x14ac:dyDescent="0.15">
      <c r="B3231" s="1" t="str">
        <f>"185****8271"</f>
        <v>185****8271</v>
      </c>
      <c r="C3231" s="1" t="s">
        <v>1618</v>
      </c>
      <c r="D3231" s="1" t="str">
        <f t="shared" si="323"/>
        <v>89177328</v>
      </c>
      <c r="E3231" s="1" t="s">
        <v>24</v>
      </c>
      <c r="F3231" s="1" t="str">
        <f t="shared" si="324"/>
        <v>0010</v>
      </c>
      <c r="G3231" s="1" t="s">
        <v>24</v>
      </c>
      <c r="H3231" s="1" t="str">
        <f>"0036"</f>
        <v>0036</v>
      </c>
      <c r="I3231" s="1" t="s">
        <v>143</v>
      </c>
      <c r="J3231" s="1" t="str">
        <f>"01043977573"</f>
        <v>01043977573</v>
      </c>
      <c r="K3231" s="1" t="str">
        <f>"2017-04-18 08:07:19"</f>
        <v>2017-04-18 08:07:19</v>
      </c>
      <c r="L3231" s="1" t="str">
        <f>"2017-04-18 08:07:30"</f>
        <v>2017-04-18 08:07:30</v>
      </c>
      <c r="M3231" s="2">
        <v>7.905092592592592E-3</v>
      </c>
      <c r="N3231" s="1" t="s">
        <v>26</v>
      </c>
      <c r="O3231" s="1" t="s">
        <v>27</v>
      </c>
      <c r="P3231" s="2">
        <v>8.0324074074074065E-3</v>
      </c>
      <c r="Q3231" s="1" t="s">
        <v>2339</v>
      </c>
      <c r="R3231" s="1">
        <v>0</v>
      </c>
      <c r="S3231" s="1" t="str">
        <f>""</f>
        <v/>
      </c>
      <c r="T3231" s="1" t="s">
        <v>29</v>
      </c>
      <c r="U3231" s="1" t="s">
        <v>30</v>
      </c>
      <c r="V3231" s="1">
        <v>0</v>
      </c>
    </row>
    <row r="3232" spans="2:22" x14ac:dyDescent="0.15">
      <c r="B3232" s="1" t="str">
        <f>"0319158****6295"</f>
        <v>0319158****6295</v>
      </c>
      <c r="C3232" s="1" t="s">
        <v>379</v>
      </c>
      <c r="D3232" s="1" t="str">
        <f t="shared" si="323"/>
        <v>89177328</v>
      </c>
      <c r="E3232" s="1" t="s">
        <v>24</v>
      </c>
      <c r="F3232" s="1" t="str">
        <f t="shared" si="324"/>
        <v>0010</v>
      </c>
      <c r="G3232" s="1" t="s">
        <v>24</v>
      </c>
      <c r="H3232" s="1" t="str">
        <f>"0034"</f>
        <v>0034</v>
      </c>
      <c r="I3232" s="1" t="s">
        <v>31</v>
      </c>
      <c r="J3232" s="1" t="str">
        <f>"01043977568"</f>
        <v>01043977568</v>
      </c>
      <c r="K3232" s="1" t="str">
        <f>"2017-04-18 08:04:44"</f>
        <v>2017-04-18 08:04:44</v>
      </c>
      <c r="L3232" s="1" t="str">
        <f>"2017-04-18 08:04:54"</f>
        <v>2017-04-18 08:04:54</v>
      </c>
      <c r="M3232" s="2">
        <v>9.5601851851851855E-3</v>
      </c>
      <c r="N3232" s="1" t="s">
        <v>26</v>
      </c>
      <c r="O3232" s="1" t="s">
        <v>34</v>
      </c>
      <c r="P3232" s="2">
        <v>9.6759259259259264E-3</v>
      </c>
      <c r="Q3232" s="1" t="s">
        <v>2340</v>
      </c>
      <c r="R3232" s="1">
        <v>0</v>
      </c>
      <c r="S3232" s="1" t="str">
        <f>""</f>
        <v/>
      </c>
      <c r="T3232" s="1" t="s">
        <v>29</v>
      </c>
      <c r="U3232" s="1" t="s">
        <v>30</v>
      </c>
      <c r="V3232" s="1">
        <v>0</v>
      </c>
    </row>
    <row r="3233" spans="2:22" x14ac:dyDescent="0.15">
      <c r="B3233" s="1" t="str">
        <f>"150****9186"</f>
        <v>150****9186</v>
      </c>
      <c r="C3233" s="1" t="s">
        <v>23</v>
      </c>
      <c r="D3233" s="1" t="str">
        <f t="shared" si="323"/>
        <v>89177328</v>
      </c>
      <c r="E3233" s="1" t="s">
        <v>24</v>
      </c>
      <c r="F3233" s="1" t="str">
        <f t="shared" si="324"/>
        <v>0010</v>
      </c>
      <c r="G3233" s="1" t="s">
        <v>24</v>
      </c>
      <c r="H3233" s="1" t="str">
        <f>"0017"</f>
        <v>0017</v>
      </c>
      <c r="I3233" s="1" t="s">
        <v>135</v>
      </c>
      <c r="J3233" s="1" t="str">
        <f>"01043989717"</f>
        <v>01043989717</v>
      </c>
      <c r="K3233" s="1" t="str">
        <f>"2017-04-17 19:54:10"</f>
        <v>2017-04-17 19:54:10</v>
      </c>
      <c r="L3233" s="1" t="str">
        <f>"2017-04-17 19:54:38"</f>
        <v>2017-04-17 19:54:38</v>
      </c>
      <c r="M3233" s="2">
        <v>5.6712962962962958E-3</v>
      </c>
      <c r="N3233" s="1" t="s">
        <v>26</v>
      </c>
      <c r="O3233" s="1" t="s">
        <v>27</v>
      </c>
      <c r="P3233" s="2">
        <v>5.9953703703703697E-3</v>
      </c>
      <c r="Q3233" s="1" t="s">
        <v>2341</v>
      </c>
      <c r="R3233" s="1">
        <v>0</v>
      </c>
      <c r="S3233" s="1" t="str">
        <f>""</f>
        <v/>
      </c>
      <c r="T3233" s="1" t="s">
        <v>29</v>
      </c>
      <c r="U3233" s="1" t="s">
        <v>30</v>
      </c>
      <c r="V3233" s="1">
        <v>0</v>
      </c>
    </row>
    <row r="3234" spans="2:22" x14ac:dyDescent="0.15">
      <c r="B3234" s="1" t="str">
        <f>"134****9593"</f>
        <v>134****9593</v>
      </c>
      <c r="C3234" s="1" t="s">
        <v>23</v>
      </c>
      <c r="D3234" s="1" t="str">
        <f t="shared" si="323"/>
        <v>89177328</v>
      </c>
      <c r="E3234" s="1" t="s">
        <v>24</v>
      </c>
      <c r="F3234" s="1" t="str">
        <f t="shared" si="324"/>
        <v>0010</v>
      </c>
      <c r="G3234" s="1" t="s">
        <v>24</v>
      </c>
      <c r="H3234" s="1" t="str">
        <f>"0033"</f>
        <v>0033</v>
      </c>
      <c r="I3234" s="1" t="s">
        <v>106</v>
      </c>
      <c r="J3234" s="1" t="str">
        <f>"01043977567"</f>
        <v>01043977567</v>
      </c>
      <c r="K3234" s="1" t="str">
        <f>"2017-04-17 19:40:59"</f>
        <v>2017-04-17 19:40:59</v>
      </c>
      <c r="L3234" s="1" t="str">
        <f>"2017-04-17 19:41:08"</f>
        <v>2017-04-17 19:41:08</v>
      </c>
      <c r="M3234" s="2">
        <v>8.2986111111111108E-3</v>
      </c>
      <c r="N3234" s="1" t="s">
        <v>26</v>
      </c>
      <c r="O3234" s="1" t="s">
        <v>27</v>
      </c>
      <c r="P3234" s="2">
        <v>8.4027777777777781E-3</v>
      </c>
      <c r="Q3234" s="1" t="s">
        <v>2342</v>
      </c>
      <c r="R3234" s="1">
        <v>0</v>
      </c>
      <c r="S3234" s="1" t="str">
        <f>""</f>
        <v/>
      </c>
      <c r="T3234" s="1" t="s">
        <v>29</v>
      </c>
      <c r="U3234" s="1" t="s">
        <v>30</v>
      </c>
      <c r="V3234" s="1">
        <v>0</v>
      </c>
    </row>
    <row r="3235" spans="2:22" x14ac:dyDescent="0.15">
      <c r="B3235" s="1" t="str">
        <f>"180****9923"</f>
        <v>180****9923</v>
      </c>
      <c r="C3235" s="1" t="s">
        <v>2343</v>
      </c>
      <c r="D3235" s="1" t="str">
        <f>"4000108333"</f>
        <v>4000108333</v>
      </c>
      <c r="E3235" s="1" t="s">
        <v>53</v>
      </c>
      <c r="F3235" s="1" t="str">
        <f>"0000"</f>
        <v>0000</v>
      </c>
      <c r="G3235" s="1" t="s">
        <v>53</v>
      </c>
      <c r="H3235" s="1" t="str">
        <f>"1010"</f>
        <v>1010</v>
      </c>
      <c r="I3235" s="1" t="s">
        <v>148</v>
      </c>
      <c r="J3235" s="1" t="str">
        <f>"13718091869"</f>
        <v>13718091869</v>
      </c>
      <c r="K3235" s="1" t="str">
        <f>"2017-04-17 19:34:47"</f>
        <v>2017-04-17 19:34:47</v>
      </c>
      <c r="L3235" s="1" t="str">
        <f>"2017-04-17 19:35:09"</f>
        <v>2017-04-17 19:35:09</v>
      </c>
      <c r="M3235" s="2">
        <v>1.0300925925925926E-3</v>
      </c>
      <c r="N3235" s="1" t="s">
        <v>26</v>
      </c>
      <c r="O3235" s="1" t="s">
        <v>27</v>
      </c>
      <c r="P3235" s="2">
        <v>1.2847222222222223E-3</v>
      </c>
      <c r="Q3235" s="1" t="s">
        <v>2344</v>
      </c>
      <c r="R3235" s="1">
        <v>0.24</v>
      </c>
      <c r="S3235" s="1" t="str">
        <f>""</f>
        <v/>
      </c>
      <c r="T3235" s="1" t="s">
        <v>29</v>
      </c>
      <c r="U3235" s="1" t="s">
        <v>30</v>
      </c>
      <c r="V3235" s="1">
        <v>0</v>
      </c>
    </row>
    <row r="3236" spans="2:22" x14ac:dyDescent="0.15">
      <c r="B3236" s="1" t="str">
        <f>"180****9923"</f>
        <v>180****9923</v>
      </c>
      <c r="C3236" s="1" t="s">
        <v>2343</v>
      </c>
      <c r="D3236" s="1" t="str">
        <f>"4000108333"</f>
        <v>4000108333</v>
      </c>
      <c r="E3236" s="1" t="s">
        <v>53</v>
      </c>
      <c r="F3236" s="1" t="str">
        <f>"0000"</f>
        <v>0000</v>
      </c>
      <c r="G3236" s="1" t="s">
        <v>53</v>
      </c>
      <c r="H3236" s="1" t="str">
        <f>"1010"</f>
        <v>1010</v>
      </c>
      <c r="I3236" s="1" t="s">
        <v>148</v>
      </c>
      <c r="J3236" s="1" t="str">
        <f>"13718091869"</f>
        <v>13718091869</v>
      </c>
      <c r="K3236" s="1" t="str">
        <f>"2017-04-17 19:30:26"</f>
        <v>2017-04-17 19:30:26</v>
      </c>
      <c r="L3236" s="1" t="str">
        <f>"2017-04-17 19:31:09"</f>
        <v>2017-04-17 19:31:09</v>
      </c>
      <c r="M3236" s="2">
        <v>1.7708333333333332E-3</v>
      </c>
      <c r="N3236" s="1" t="s">
        <v>26</v>
      </c>
      <c r="O3236" s="1" t="s">
        <v>27</v>
      </c>
      <c r="P3236" s="2">
        <v>2.2685185185185182E-3</v>
      </c>
      <c r="Q3236" s="1" t="s">
        <v>2345</v>
      </c>
      <c r="R3236" s="1">
        <v>0.48</v>
      </c>
      <c r="S3236" s="1" t="str">
        <f>""</f>
        <v/>
      </c>
      <c r="T3236" s="1" t="s">
        <v>29</v>
      </c>
      <c r="U3236" s="1" t="s">
        <v>30</v>
      </c>
      <c r="V3236" s="1">
        <v>0</v>
      </c>
    </row>
    <row r="3237" spans="2:22" x14ac:dyDescent="0.15">
      <c r="B3237" s="1" t="str">
        <f>"136****8652"</f>
        <v>136****8652</v>
      </c>
      <c r="C3237" s="1" t="s">
        <v>35</v>
      </c>
      <c r="D3237" s="1" t="str">
        <f t="shared" ref="D3237:D3257" si="325">"89177328"</f>
        <v>89177328</v>
      </c>
      <c r="E3237" s="1" t="s">
        <v>24</v>
      </c>
      <c r="F3237" s="1" t="str">
        <f t="shared" ref="F3237:F3257" si="326">"0010"</f>
        <v>0010</v>
      </c>
      <c r="G3237" s="1" t="s">
        <v>24</v>
      </c>
      <c r="H3237" s="1" t="str">
        <f>"0017"</f>
        <v>0017</v>
      </c>
      <c r="I3237" s="1" t="s">
        <v>135</v>
      </c>
      <c r="J3237" s="1" t="str">
        <f>"01043989717"</f>
        <v>01043989717</v>
      </c>
      <c r="K3237" s="1" t="str">
        <f>"2017-04-17 18:40:32"</f>
        <v>2017-04-17 18:40:32</v>
      </c>
      <c r="L3237" s="1" t="str">
        <f>"2017-04-17 18:40:40"</f>
        <v>2017-04-17 18:40:40</v>
      </c>
      <c r="M3237" s="2">
        <v>2.3958333333333336E-3</v>
      </c>
      <c r="N3237" s="1" t="s">
        <v>26</v>
      </c>
      <c r="O3237" s="1" t="s">
        <v>27</v>
      </c>
      <c r="P3237" s="2">
        <v>2.488425925925926E-3</v>
      </c>
      <c r="Q3237" s="1" t="s">
        <v>2346</v>
      </c>
      <c r="R3237" s="1">
        <v>0</v>
      </c>
      <c r="S3237" s="1" t="str">
        <f>""</f>
        <v/>
      </c>
      <c r="T3237" s="1" t="s">
        <v>29</v>
      </c>
      <c r="U3237" s="1" t="s">
        <v>30</v>
      </c>
      <c r="V3237" s="1">
        <v>0</v>
      </c>
    </row>
    <row r="3238" spans="2:22" x14ac:dyDescent="0.15">
      <c r="B3238" s="1" t="str">
        <f>"157****4678"</f>
        <v>157****4678</v>
      </c>
      <c r="C3238" s="1" t="s">
        <v>23</v>
      </c>
      <c r="D3238" s="1" t="str">
        <f t="shared" si="325"/>
        <v>89177328</v>
      </c>
      <c r="E3238" s="1" t="s">
        <v>24</v>
      </c>
      <c r="F3238" s="1" t="str">
        <f t="shared" si="326"/>
        <v>0010</v>
      </c>
      <c r="G3238" s="1" t="s">
        <v>24</v>
      </c>
      <c r="H3238" s="1" t="str">
        <f>"0035"</f>
        <v>0035</v>
      </c>
      <c r="I3238" s="1" t="s">
        <v>25</v>
      </c>
      <c r="J3238" s="1" t="str">
        <f>"01043977569"</f>
        <v>01043977569</v>
      </c>
      <c r="K3238" s="1" t="str">
        <f>"2017-04-17 17:53:45"</f>
        <v>2017-04-17 17:53:45</v>
      </c>
      <c r="L3238" s="1" t="str">
        <f>"-"</f>
        <v>-</v>
      </c>
      <c r="M3238" s="2">
        <v>0</v>
      </c>
      <c r="N3238" s="1" t="s">
        <v>33</v>
      </c>
      <c r="O3238" s="1" t="s">
        <v>34</v>
      </c>
      <c r="P3238" s="2">
        <v>5.7870370370370366E-5</v>
      </c>
      <c r="Q3238" s="1" t="str">
        <f>""</f>
        <v/>
      </c>
      <c r="R3238" s="1">
        <v>0</v>
      </c>
      <c r="S3238" s="1" t="str">
        <f>""</f>
        <v/>
      </c>
      <c r="T3238" s="1" t="s">
        <v>29</v>
      </c>
      <c r="U3238" s="1" t="s">
        <v>30</v>
      </c>
      <c r="V3238" s="1">
        <v>0</v>
      </c>
    </row>
    <row r="3239" spans="2:22" x14ac:dyDescent="0.15">
      <c r="B3239" s="1" t="str">
        <f>"157****4678"</f>
        <v>157****4678</v>
      </c>
      <c r="C3239" s="1" t="s">
        <v>23</v>
      </c>
      <c r="D3239" s="1" t="str">
        <f t="shared" si="325"/>
        <v>89177328</v>
      </c>
      <c r="E3239" s="1" t="s">
        <v>24</v>
      </c>
      <c r="F3239" s="1" t="str">
        <f t="shared" si="326"/>
        <v>0010</v>
      </c>
      <c r="G3239" s="1" t="s">
        <v>24</v>
      </c>
      <c r="H3239" s="1" t="str">
        <f>"0032"</f>
        <v>0032</v>
      </c>
      <c r="I3239" s="1" t="s">
        <v>119</v>
      </c>
      <c r="J3239" s="1" t="str">
        <f>"01043977566"</f>
        <v>01043977566</v>
      </c>
      <c r="K3239" s="1" t="str">
        <f>"2017-04-17 17:47:23"</f>
        <v>2017-04-17 17:47:23</v>
      </c>
      <c r="L3239" s="1" t="str">
        <f>"-"</f>
        <v>-</v>
      </c>
      <c r="M3239" s="2">
        <v>0</v>
      </c>
      <c r="N3239" s="1" t="s">
        <v>33</v>
      </c>
      <c r="O3239" s="1" t="s">
        <v>34</v>
      </c>
      <c r="P3239" s="2">
        <v>1.1574074074074073E-5</v>
      </c>
      <c r="Q3239" s="1" t="str">
        <f>""</f>
        <v/>
      </c>
      <c r="R3239" s="1">
        <v>0</v>
      </c>
      <c r="S3239" s="1" t="str">
        <f>""</f>
        <v/>
      </c>
      <c r="T3239" s="1" t="s">
        <v>29</v>
      </c>
      <c r="U3239" s="1" t="s">
        <v>30</v>
      </c>
      <c r="V3239" s="1">
        <v>0</v>
      </c>
    </row>
    <row r="3240" spans="2:22" x14ac:dyDescent="0.15">
      <c r="B3240" s="1" t="str">
        <f>"135****3637"</f>
        <v>135****3637</v>
      </c>
      <c r="C3240" s="1" t="s">
        <v>150</v>
      </c>
      <c r="D3240" s="1" t="str">
        <f t="shared" si="325"/>
        <v>89177328</v>
      </c>
      <c r="E3240" s="1" t="s">
        <v>24</v>
      </c>
      <c r="F3240" s="1" t="str">
        <f t="shared" si="326"/>
        <v>0010</v>
      </c>
      <c r="G3240" s="1" t="s">
        <v>24</v>
      </c>
      <c r="H3240" s="1" t="str">
        <f>"0033"</f>
        <v>0033</v>
      </c>
      <c r="I3240" s="1" t="s">
        <v>106</v>
      </c>
      <c r="J3240" s="1" t="str">
        <f>"01043977567"</f>
        <v>01043977567</v>
      </c>
      <c r="K3240" s="1" t="str">
        <f>"2017-04-17 17:46:38"</f>
        <v>2017-04-17 17:46:38</v>
      </c>
      <c r="L3240" s="1" t="str">
        <f>"2017-04-17 17:46:49"</f>
        <v>2017-04-17 17:46:49</v>
      </c>
      <c r="M3240" s="2">
        <v>1.1423611111111112E-2</v>
      </c>
      <c r="N3240" s="1" t="s">
        <v>26</v>
      </c>
      <c r="O3240" s="1" t="s">
        <v>27</v>
      </c>
      <c r="P3240" s="2">
        <v>1.1550925925925925E-2</v>
      </c>
      <c r="Q3240" s="1" t="s">
        <v>2347</v>
      </c>
      <c r="R3240" s="1">
        <v>0</v>
      </c>
      <c r="S3240" s="1" t="str">
        <f>""</f>
        <v/>
      </c>
      <c r="T3240" s="1" t="s">
        <v>29</v>
      </c>
      <c r="U3240" s="1" t="s">
        <v>30</v>
      </c>
      <c r="V3240" s="1">
        <v>0</v>
      </c>
    </row>
    <row r="3241" spans="2:22" x14ac:dyDescent="0.15">
      <c r="B3241" s="1" t="str">
        <f>"177****0206"</f>
        <v>177****0206</v>
      </c>
      <c r="C3241" s="1" t="s">
        <v>23</v>
      </c>
      <c r="D3241" s="1" t="str">
        <f t="shared" si="325"/>
        <v>89177328</v>
      </c>
      <c r="E3241" s="1" t="s">
        <v>24</v>
      </c>
      <c r="F3241" s="1" t="str">
        <f t="shared" si="326"/>
        <v>0010</v>
      </c>
      <c r="G3241" s="1" t="s">
        <v>24</v>
      </c>
      <c r="H3241" s="1" t="str">
        <f>"0033"</f>
        <v>0033</v>
      </c>
      <c r="I3241" s="1" t="s">
        <v>106</v>
      </c>
      <c r="J3241" s="1" t="str">
        <f>"01043977567"</f>
        <v>01043977567</v>
      </c>
      <c r="K3241" s="1" t="str">
        <f>"2017-04-17 17:45:05"</f>
        <v>2017-04-17 17:45:05</v>
      </c>
      <c r="L3241" s="1" t="str">
        <f>"-"</f>
        <v>-</v>
      </c>
      <c r="M3241" s="2">
        <v>0</v>
      </c>
      <c r="N3241" s="1" t="s">
        <v>33</v>
      </c>
      <c r="O3241" s="1" t="s">
        <v>34</v>
      </c>
      <c r="P3241" s="2">
        <v>9.2592592592592588E-5</v>
      </c>
      <c r="Q3241" s="1" t="str">
        <f>""</f>
        <v/>
      </c>
      <c r="R3241" s="1">
        <v>0</v>
      </c>
      <c r="S3241" s="1" t="str">
        <f>""</f>
        <v/>
      </c>
      <c r="T3241" s="1" t="s">
        <v>29</v>
      </c>
      <c r="U3241" s="1" t="s">
        <v>30</v>
      </c>
      <c r="V3241" s="1">
        <v>0</v>
      </c>
    </row>
    <row r="3242" spans="2:22" x14ac:dyDescent="0.15">
      <c r="B3242" s="1" t="str">
        <f>"139****8289"</f>
        <v>139****8289</v>
      </c>
      <c r="C3242" s="1" t="s">
        <v>23</v>
      </c>
      <c r="D3242" s="1" t="str">
        <f t="shared" si="325"/>
        <v>89177328</v>
      </c>
      <c r="E3242" s="1" t="s">
        <v>24</v>
      </c>
      <c r="F3242" s="1" t="str">
        <f t="shared" si="326"/>
        <v>0010</v>
      </c>
      <c r="G3242" s="1" t="s">
        <v>24</v>
      </c>
      <c r="H3242" s="1" t="str">
        <f>"0033"</f>
        <v>0033</v>
      </c>
      <c r="I3242" s="1" t="s">
        <v>106</v>
      </c>
      <c r="J3242" s="1" t="str">
        <f>"01043977567"</f>
        <v>01043977567</v>
      </c>
      <c r="K3242" s="1" t="str">
        <f>"2017-04-17 17:44:26"</f>
        <v>2017-04-17 17:44:26</v>
      </c>
      <c r="L3242" s="1" t="str">
        <f>"-"</f>
        <v>-</v>
      </c>
      <c r="M3242" s="2">
        <v>0</v>
      </c>
      <c r="N3242" s="1" t="s">
        <v>33</v>
      </c>
      <c r="O3242" s="1" t="s">
        <v>34</v>
      </c>
      <c r="P3242" s="2">
        <v>1.1574074074074073E-5</v>
      </c>
      <c r="Q3242" s="1" t="str">
        <f>""</f>
        <v/>
      </c>
      <c r="R3242" s="1">
        <v>0</v>
      </c>
      <c r="S3242" s="1" t="str">
        <f>""</f>
        <v/>
      </c>
      <c r="T3242" s="1" t="s">
        <v>29</v>
      </c>
      <c r="U3242" s="1" t="s">
        <v>30</v>
      </c>
      <c r="V3242" s="1">
        <v>0</v>
      </c>
    </row>
    <row r="3243" spans="2:22" x14ac:dyDescent="0.15">
      <c r="B3243" s="1" t="str">
        <f>"157****4678"</f>
        <v>157****4678</v>
      </c>
      <c r="C3243" s="1" t="s">
        <v>23</v>
      </c>
      <c r="D3243" s="1" t="str">
        <f t="shared" si="325"/>
        <v>89177328</v>
      </c>
      <c r="E3243" s="1" t="s">
        <v>24</v>
      </c>
      <c r="F3243" s="1" t="str">
        <f t="shared" si="326"/>
        <v>0010</v>
      </c>
      <c r="G3243" s="1" t="s">
        <v>24</v>
      </c>
      <c r="H3243" s="1" t="str">
        <f>"0033"</f>
        <v>0033</v>
      </c>
      <c r="I3243" s="1" t="s">
        <v>106</v>
      </c>
      <c r="J3243" s="1" t="str">
        <f>"01043977567"</f>
        <v>01043977567</v>
      </c>
      <c r="K3243" s="1" t="str">
        <f>"2017-04-17 17:43:56"</f>
        <v>2017-04-17 17:43:56</v>
      </c>
      <c r="L3243" s="1" t="str">
        <f>"-"</f>
        <v>-</v>
      </c>
      <c r="M3243" s="2">
        <v>0</v>
      </c>
      <c r="N3243" s="1" t="s">
        <v>33</v>
      </c>
      <c r="O3243" s="1" t="s">
        <v>34</v>
      </c>
      <c r="P3243" s="2">
        <v>6.9444444444444444E-5</v>
      </c>
      <c r="Q3243" s="1" t="str">
        <f>""</f>
        <v/>
      </c>
      <c r="R3243" s="1">
        <v>0</v>
      </c>
      <c r="S3243" s="1" t="str">
        <f>""</f>
        <v/>
      </c>
      <c r="T3243" s="1" t="s">
        <v>29</v>
      </c>
      <c r="U3243" s="1" t="s">
        <v>30</v>
      </c>
      <c r="V3243" s="1">
        <v>0</v>
      </c>
    </row>
    <row r="3244" spans="2:22" x14ac:dyDescent="0.15">
      <c r="B3244" s="1" t="str">
        <f>"177****0206"</f>
        <v>177****0206</v>
      </c>
      <c r="C3244" s="1" t="s">
        <v>23</v>
      </c>
      <c r="D3244" s="1" t="str">
        <f t="shared" si="325"/>
        <v>89177328</v>
      </c>
      <c r="E3244" s="1" t="s">
        <v>24</v>
      </c>
      <c r="F3244" s="1" t="str">
        <f t="shared" si="326"/>
        <v>0010</v>
      </c>
      <c r="G3244" s="1" t="s">
        <v>24</v>
      </c>
      <c r="H3244" s="1" t="str">
        <f>"0033"</f>
        <v>0033</v>
      </c>
      <c r="I3244" s="1" t="s">
        <v>106</v>
      </c>
      <c r="J3244" s="1" t="str">
        <f>"01043977567"</f>
        <v>01043977567</v>
      </c>
      <c r="K3244" s="1" t="str">
        <f>"2017-04-17 17:42:19"</f>
        <v>2017-04-17 17:42:19</v>
      </c>
      <c r="L3244" s="1" t="str">
        <f>"-"</f>
        <v>-</v>
      </c>
      <c r="M3244" s="2">
        <v>0</v>
      </c>
      <c r="N3244" s="1" t="s">
        <v>33</v>
      </c>
      <c r="O3244" s="1" t="s">
        <v>34</v>
      </c>
      <c r="P3244" s="2">
        <v>4.6296296296296294E-5</v>
      </c>
      <c r="Q3244" s="1" t="str">
        <f>""</f>
        <v/>
      </c>
      <c r="R3244" s="1">
        <v>0</v>
      </c>
      <c r="S3244" s="1" t="str">
        <f>""</f>
        <v/>
      </c>
      <c r="T3244" s="1" t="s">
        <v>29</v>
      </c>
      <c r="U3244" s="1" t="s">
        <v>30</v>
      </c>
      <c r="V3244" s="1">
        <v>0</v>
      </c>
    </row>
    <row r="3245" spans="2:22" x14ac:dyDescent="0.15">
      <c r="B3245" s="1" t="str">
        <f>"177****0206"</f>
        <v>177****0206</v>
      </c>
      <c r="C3245" s="1" t="s">
        <v>23</v>
      </c>
      <c r="D3245" s="1" t="str">
        <f t="shared" si="325"/>
        <v>89177328</v>
      </c>
      <c r="E3245" s="1" t="s">
        <v>24</v>
      </c>
      <c r="F3245" s="1" t="str">
        <f t="shared" si="326"/>
        <v>0010</v>
      </c>
      <c r="G3245" s="1" t="s">
        <v>24</v>
      </c>
      <c r="H3245" s="1" t="str">
        <f>"0032"</f>
        <v>0032</v>
      </c>
      <c r="I3245" s="1" t="s">
        <v>119</v>
      </c>
      <c r="J3245" s="1" t="str">
        <f>"01043977566"</f>
        <v>01043977566</v>
      </c>
      <c r="K3245" s="1" t="str">
        <f>"2017-04-17 17:40:00"</f>
        <v>2017-04-17 17:40:00</v>
      </c>
      <c r="L3245" s="1" t="str">
        <f>"-"</f>
        <v>-</v>
      </c>
      <c r="M3245" s="2">
        <v>0</v>
      </c>
      <c r="N3245" s="1" t="s">
        <v>33</v>
      </c>
      <c r="O3245" s="1" t="s">
        <v>34</v>
      </c>
      <c r="P3245" s="2">
        <v>5.7870370370370366E-5</v>
      </c>
      <c r="Q3245" s="1" t="str">
        <f>""</f>
        <v/>
      </c>
      <c r="R3245" s="1">
        <v>0</v>
      </c>
      <c r="S3245" s="1" t="str">
        <f>""</f>
        <v/>
      </c>
      <c r="T3245" s="1" t="s">
        <v>29</v>
      </c>
      <c r="U3245" s="1" t="s">
        <v>30</v>
      </c>
      <c r="V3245" s="1">
        <v>0</v>
      </c>
    </row>
    <row r="3246" spans="2:22" x14ac:dyDescent="0.15">
      <c r="B3246" s="1" t="str">
        <f>"136****6811"</f>
        <v>136****6811</v>
      </c>
      <c r="C3246" s="1" t="s">
        <v>23</v>
      </c>
      <c r="D3246" s="1" t="str">
        <f t="shared" si="325"/>
        <v>89177328</v>
      </c>
      <c r="E3246" s="1" t="s">
        <v>24</v>
      </c>
      <c r="F3246" s="1" t="str">
        <f t="shared" si="326"/>
        <v>0010</v>
      </c>
      <c r="G3246" s="1" t="s">
        <v>24</v>
      </c>
      <c r="H3246" s="1" t="str">
        <f>"0017"</f>
        <v>0017</v>
      </c>
      <c r="I3246" s="1" t="s">
        <v>135</v>
      </c>
      <c r="J3246" s="1" t="str">
        <f>"01043989717"</f>
        <v>01043989717</v>
      </c>
      <c r="K3246" s="1" t="str">
        <f>"2017-04-17 17:35:43"</f>
        <v>2017-04-17 17:35:43</v>
      </c>
      <c r="L3246" s="1" t="str">
        <f>"2017-04-17 17:35:51"</f>
        <v>2017-04-17 17:35:51</v>
      </c>
      <c r="M3246" s="2">
        <v>6.053240740740741E-3</v>
      </c>
      <c r="N3246" s="1" t="s">
        <v>26</v>
      </c>
      <c r="O3246" s="1" t="s">
        <v>27</v>
      </c>
      <c r="P3246" s="2">
        <v>6.145833333333333E-3</v>
      </c>
      <c r="Q3246" s="1" t="s">
        <v>2348</v>
      </c>
      <c r="R3246" s="1">
        <v>0</v>
      </c>
      <c r="S3246" s="1" t="str">
        <f>""</f>
        <v/>
      </c>
      <c r="T3246" s="1" t="s">
        <v>29</v>
      </c>
      <c r="U3246" s="1" t="s">
        <v>30</v>
      </c>
      <c r="V3246" s="1">
        <v>0</v>
      </c>
    </row>
    <row r="3247" spans="2:22" x14ac:dyDescent="0.15">
      <c r="B3247" s="1" t="str">
        <f>"133****8089"</f>
        <v>133****8089</v>
      </c>
      <c r="C3247" s="1" t="s">
        <v>23</v>
      </c>
      <c r="D3247" s="1" t="str">
        <f t="shared" si="325"/>
        <v>89177328</v>
      </c>
      <c r="E3247" s="1" t="s">
        <v>24</v>
      </c>
      <c r="F3247" s="1" t="str">
        <f t="shared" si="326"/>
        <v>0010</v>
      </c>
      <c r="G3247" s="1" t="s">
        <v>24</v>
      </c>
      <c r="H3247" s="1" t="str">
        <f>"0035"</f>
        <v>0035</v>
      </c>
      <c r="I3247" s="1" t="s">
        <v>25</v>
      </c>
      <c r="J3247" s="1" t="str">
        <f>"01043977569"</f>
        <v>01043977569</v>
      </c>
      <c r="K3247" s="1" t="str">
        <f>"2017-04-17 17:30:46"</f>
        <v>2017-04-17 17:30:46</v>
      </c>
      <c r="L3247" s="1" t="str">
        <f>"2017-04-17 17:30:55"</f>
        <v>2017-04-17 17:30:55</v>
      </c>
      <c r="M3247" s="2">
        <v>4.31712962962963E-3</v>
      </c>
      <c r="N3247" s="1" t="s">
        <v>26</v>
      </c>
      <c r="O3247" s="1" t="s">
        <v>27</v>
      </c>
      <c r="P3247" s="2">
        <v>4.4212962962962956E-3</v>
      </c>
      <c r="Q3247" s="1" t="s">
        <v>2349</v>
      </c>
      <c r="R3247" s="1">
        <v>0</v>
      </c>
      <c r="S3247" s="1" t="str">
        <f>""</f>
        <v/>
      </c>
      <c r="T3247" s="1" t="s">
        <v>29</v>
      </c>
      <c r="U3247" s="1" t="s">
        <v>30</v>
      </c>
      <c r="V3247" s="1">
        <v>0</v>
      </c>
    </row>
    <row r="3248" spans="2:22" x14ac:dyDescent="0.15">
      <c r="B3248" s="1" t="str">
        <f>"010****1993"</f>
        <v>010****1993</v>
      </c>
      <c r="C3248" s="1" t="s">
        <v>23</v>
      </c>
      <c r="D3248" s="1" t="str">
        <f t="shared" si="325"/>
        <v>89177328</v>
      </c>
      <c r="E3248" s="1" t="s">
        <v>24</v>
      </c>
      <c r="F3248" s="1" t="str">
        <f t="shared" si="326"/>
        <v>0010</v>
      </c>
      <c r="G3248" s="1" t="s">
        <v>24</v>
      </c>
      <c r="H3248" s="1" t="str">
        <f>"0032"</f>
        <v>0032</v>
      </c>
      <c r="I3248" s="1" t="s">
        <v>119</v>
      </c>
      <c r="J3248" s="1" t="str">
        <f>"01043977566"</f>
        <v>01043977566</v>
      </c>
      <c r="K3248" s="1" t="str">
        <f>"2017-04-17 17:28:27"</f>
        <v>2017-04-17 17:28:27</v>
      </c>
      <c r="L3248" s="1" t="str">
        <f>"2017-04-17 17:28:43"</f>
        <v>2017-04-17 17:28:43</v>
      </c>
      <c r="M3248" s="2">
        <v>2.7199074074074074E-3</v>
      </c>
      <c r="N3248" s="1" t="s">
        <v>26</v>
      </c>
      <c r="O3248" s="1" t="s">
        <v>34</v>
      </c>
      <c r="P3248" s="2">
        <v>2.9050925925925928E-3</v>
      </c>
      <c r="Q3248" s="1" t="s">
        <v>2350</v>
      </c>
      <c r="R3248" s="1">
        <v>0</v>
      </c>
      <c r="S3248" s="1" t="str">
        <f>""</f>
        <v/>
      </c>
      <c r="T3248" s="1" t="s">
        <v>29</v>
      </c>
      <c r="U3248" s="1" t="s">
        <v>30</v>
      </c>
      <c r="V3248" s="1">
        <v>0</v>
      </c>
    </row>
    <row r="3249" spans="2:22" x14ac:dyDescent="0.15">
      <c r="B3249" s="1" t="str">
        <f>"157****4678"</f>
        <v>157****4678</v>
      </c>
      <c r="C3249" s="1" t="s">
        <v>23</v>
      </c>
      <c r="D3249" s="1" t="str">
        <f t="shared" si="325"/>
        <v>89177328</v>
      </c>
      <c r="E3249" s="1" t="s">
        <v>24</v>
      </c>
      <c r="F3249" s="1" t="str">
        <f t="shared" si="326"/>
        <v>0010</v>
      </c>
      <c r="G3249" s="1" t="s">
        <v>24</v>
      </c>
      <c r="H3249" s="1" t="str">
        <f>"0032"</f>
        <v>0032</v>
      </c>
      <c r="I3249" s="1" t="s">
        <v>119</v>
      </c>
      <c r="J3249" s="1" t="str">
        <f>"01043977566"</f>
        <v>01043977566</v>
      </c>
      <c r="K3249" s="1" t="str">
        <f>"2017-04-17 17:28:20"</f>
        <v>2017-04-17 17:28:20</v>
      </c>
      <c r="L3249" s="1" t="str">
        <f>"-"</f>
        <v>-</v>
      </c>
      <c r="M3249" s="2">
        <v>0</v>
      </c>
      <c r="N3249" s="1" t="s">
        <v>33</v>
      </c>
      <c r="O3249" s="1" t="s">
        <v>34</v>
      </c>
      <c r="P3249" s="2">
        <v>5.7870370370370366E-5</v>
      </c>
      <c r="Q3249" s="1" t="str">
        <f>""</f>
        <v/>
      </c>
      <c r="R3249" s="1">
        <v>0</v>
      </c>
      <c r="S3249" s="1" t="str">
        <f>""</f>
        <v/>
      </c>
      <c r="T3249" s="1" t="s">
        <v>29</v>
      </c>
      <c r="U3249" s="1" t="s">
        <v>30</v>
      </c>
      <c r="V3249" s="1">
        <v>0</v>
      </c>
    </row>
    <row r="3250" spans="2:22" x14ac:dyDescent="0.15">
      <c r="B3250" s="1" t="str">
        <f>"177****0206"</f>
        <v>177****0206</v>
      </c>
      <c r="C3250" s="1" t="s">
        <v>23</v>
      </c>
      <c r="D3250" s="1" t="str">
        <f t="shared" si="325"/>
        <v>89177328</v>
      </c>
      <c r="E3250" s="1" t="s">
        <v>24</v>
      </c>
      <c r="F3250" s="1" t="str">
        <f t="shared" si="326"/>
        <v>0010</v>
      </c>
      <c r="G3250" s="1" t="s">
        <v>24</v>
      </c>
      <c r="H3250" s="1" t="str">
        <f>"0031"</f>
        <v>0031</v>
      </c>
      <c r="I3250" s="1" t="s">
        <v>95</v>
      </c>
      <c r="J3250" s="1" t="str">
        <f>"01043977565"</f>
        <v>01043977565</v>
      </c>
      <c r="K3250" s="1" t="str">
        <f>"2017-04-17 17:24:44"</f>
        <v>2017-04-17 17:24:44</v>
      </c>
      <c r="L3250" s="1" t="str">
        <f>"-"</f>
        <v>-</v>
      </c>
      <c r="M3250" s="2">
        <v>0</v>
      </c>
      <c r="N3250" s="1" t="s">
        <v>33</v>
      </c>
      <c r="O3250" s="1" t="s">
        <v>34</v>
      </c>
      <c r="P3250" s="2">
        <v>5.7870370370370366E-5</v>
      </c>
      <c r="Q3250" s="1" t="str">
        <f>""</f>
        <v/>
      </c>
      <c r="R3250" s="1">
        <v>0</v>
      </c>
      <c r="S3250" s="1" t="str">
        <f>""</f>
        <v/>
      </c>
      <c r="T3250" s="1" t="s">
        <v>29</v>
      </c>
      <c r="U3250" s="1" t="s">
        <v>30</v>
      </c>
      <c r="V3250" s="1">
        <v>0</v>
      </c>
    </row>
    <row r="3251" spans="2:22" x14ac:dyDescent="0.15">
      <c r="B3251" s="1" t="str">
        <f>"180****9627"</f>
        <v>180****9627</v>
      </c>
      <c r="C3251" s="1" t="s">
        <v>1979</v>
      </c>
      <c r="D3251" s="1" t="str">
        <f t="shared" si="325"/>
        <v>89177328</v>
      </c>
      <c r="E3251" s="1" t="s">
        <v>24</v>
      </c>
      <c r="F3251" s="1" t="str">
        <f t="shared" si="326"/>
        <v>0010</v>
      </c>
      <c r="G3251" s="1" t="s">
        <v>24</v>
      </c>
      <c r="H3251" s="1" t="str">
        <f>"0031"</f>
        <v>0031</v>
      </c>
      <c r="I3251" s="1" t="s">
        <v>95</v>
      </c>
      <c r="J3251" s="1" t="str">
        <f>"01043977565"</f>
        <v>01043977565</v>
      </c>
      <c r="K3251" s="1" t="str">
        <f>"2017-04-17 17:12:07"</f>
        <v>2017-04-17 17:12:07</v>
      </c>
      <c r="L3251" s="1" t="str">
        <f>"2017-04-17 17:12:16"</f>
        <v>2017-04-17 17:12:16</v>
      </c>
      <c r="M3251" s="2">
        <v>3.9583333333333337E-3</v>
      </c>
      <c r="N3251" s="1" t="s">
        <v>26</v>
      </c>
      <c r="O3251" s="1" t="s">
        <v>34</v>
      </c>
      <c r="P3251" s="2">
        <v>4.0624999999999993E-3</v>
      </c>
      <c r="Q3251" s="1" t="s">
        <v>2351</v>
      </c>
      <c r="R3251" s="1">
        <v>0</v>
      </c>
      <c r="S3251" s="1" t="str">
        <f>""</f>
        <v/>
      </c>
      <c r="T3251" s="1" t="s">
        <v>29</v>
      </c>
      <c r="U3251" s="1" t="s">
        <v>30</v>
      </c>
      <c r="V3251" s="1">
        <v>0</v>
      </c>
    </row>
    <row r="3252" spans="2:22" x14ac:dyDescent="0.15">
      <c r="B3252" s="1" t="str">
        <f>"135****1071"</f>
        <v>135****1071</v>
      </c>
      <c r="C3252" s="1" t="s">
        <v>23</v>
      </c>
      <c r="D3252" s="1" t="str">
        <f t="shared" si="325"/>
        <v>89177328</v>
      </c>
      <c r="E3252" s="1" t="s">
        <v>24</v>
      </c>
      <c r="F3252" s="1" t="str">
        <f t="shared" si="326"/>
        <v>0010</v>
      </c>
      <c r="G3252" s="1" t="s">
        <v>24</v>
      </c>
      <c r="H3252" s="1" t="str">
        <f>"0033"</f>
        <v>0033</v>
      </c>
      <c r="I3252" s="1" t="s">
        <v>106</v>
      </c>
      <c r="J3252" s="1" t="str">
        <f>"01043977567"</f>
        <v>01043977567</v>
      </c>
      <c r="K3252" s="1" t="str">
        <f>"2017-04-17 17:05:21"</f>
        <v>2017-04-17 17:05:21</v>
      </c>
      <c r="L3252" s="1" t="str">
        <f>"2017-04-17 17:05:30"</f>
        <v>2017-04-17 17:05:30</v>
      </c>
      <c r="M3252" s="2">
        <v>3.1597222222222222E-3</v>
      </c>
      <c r="N3252" s="1" t="s">
        <v>26</v>
      </c>
      <c r="O3252" s="1" t="s">
        <v>27</v>
      </c>
      <c r="P3252" s="2">
        <v>3.2638888888888891E-3</v>
      </c>
      <c r="Q3252" s="1" t="s">
        <v>2352</v>
      </c>
      <c r="R3252" s="1">
        <v>0</v>
      </c>
      <c r="S3252" s="1" t="str">
        <f>""</f>
        <v/>
      </c>
      <c r="T3252" s="1" t="s">
        <v>29</v>
      </c>
      <c r="U3252" s="1" t="s">
        <v>30</v>
      </c>
      <c r="V3252" s="1">
        <v>0</v>
      </c>
    </row>
    <row r="3253" spans="2:22" x14ac:dyDescent="0.15">
      <c r="B3253" s="1" t="str">
        <f>"183****6169"</f>
        <v>183****6169</v>
      </c>
      <c r="C3253" s="1" t="s">
        <v>23</v>
      </c>
      <c r="D3253" s="1" t="str">
        <f t="shared" si="325"/>
        <v>89177328</v>
      </c>
      <c r="E3253" s="1" t="s">
        <v>24</v>
      </c>
      <c r="F3253" s="1" t="str">
        <f t="shared" si="326"/>
        <v>0010</v>
      </c>
      <c r="G3253" s="1" t="s">
        <v>24</v>
      </c>
      <c r="H3253" s="1" t="str">
        <f>"0033"</f>
        <v>0033</v>
      </c>
      <c r="I3253" s="1" t="s">
        <v>106</v>
      </c>
      <c r="J3253" s="1" t="str">
        <f>"01043977567"</f>
        <v>01043977567</v>
      </c>
      <c r="K3253" s="1" t="str">
        <f>"2017-04-17 16:59:08"</f>
        <v>2017-04-17 16:59:08</v>
      </c>
      <c r="L3253" s="1" t="str">
        <f>"2017-04-17 16:59:16"</f>
        <v>2017-04-17 16:59:16</v>
      </c>
      <c r="M3253" s="2">
        <v>2.9976851851851848E-3</v>
      </c>
      <c r="N3253" s="1" t="s">
        <v>26</v>
      </c>
      <c r="O3253" s="1" t="s">
        <v>27</v>
      </c>
      <c r="P3253" s="2">
        <v>3.0902777777777782E-3</v>
      </c>
      <c r="Q3253" s="1" t="s">
        <v>2353</v>
      </c>
      <c r="R3253" s="1">
        <v>0</v>
      </c>
      <c r="S3253" s="1" t="str">
        <f>""</f>
        <v/>
      </c>
      <c r="T3253" s="1" t="s">
        <v>29</v>
      </c>
      <c r="U3253" s="1" t="s">
        <v>30</v>
      </c>
      <c r="V3253" s="1">
        <v>0</v>
      </c>
    </row>
    <row r="3254" spans="2:22" x14ac:dyDescent="0.15">
      <c r="B3254" s="1" t="str">
        <f>"139****2965"</f>
        <v>139****2965</v>
      </c>
      <c r="C3254" s="1" t="s">
        <v>69</v>
      </c>
      <c r="D3254" s="1" t="str">
        <f t="shared" si="325"/>
        <v>89177328</v>
      </c>
      <c r="E3254" s="1" t="s">
        <v>24</v>
      </c>
      <c r="F3254" s="1" t="str">
        <f t="shared" si="326"/>
        <v>0010</v>
      </c>
      <c r="G3254" s="1" t="s">
        <v>24</v>
      </c>
      <c r="H3254" s="1" t="str">
        <f>"0018"</f>
        <v>0018</v>
      </c>
      <c r="I3254" s="1" t="s">
        <v>36</v>
      </c>
      <c r="J3254" s="1" t="str">
        <f>"01043977572"</f>
        <v>01043977572</v>
      </c>
      <c r="K3254" s="1" t="str">
        <f>"2017-04-17 16:47:53"</f>
        <v>2017-04-17 16:47:53</v>
      </c>
      <c r="L3254" s="1" t="str">
        <f>"2017-04-17 16:48:02"</f>
        <v>2017-04-17 16:48:02</v>
      </c>
      <c r="M3254" s="2">
        <v>7.6620370370370366E-3</v>
      </c>
      <c r="N3254" s="1" t="s">
        <v>26</v>
      </c>
      <c r="O3254" s="1" t="s">
        <v>34</v>
      </c>
      <c r="P3254" s="2">
        <v>7.7662037037037031E-3</v>
      </c>
      <c r="Q3254" s="1" t="s">
        <v>2354</v>
      </c>
      <c r="R3254" s="1">
        <v>0</v>
      </c>
      <c r="S3254" s="1" t="str">
        <f>""</f>
        <v/>
      </c>
      <c r="T3254" s="1" t="s">
        <v>29</v>
      </c>
      <c r="U3254" s="1" t="s">
        <v>30</v>
      </c>
      <c r="V3254" s="1">
        <v>0</v>
      </c>
    </row>
    <row r="3255" spans="2:22" x14ac:dyDescent="0.15">
      <c r="B3255" s="1" t="str">
        <f>"186****8966"</f>
        <v>186****8966</v>
      </c>
      <c r="C3255" s="1" t="s">
        <v>23</v>
      </c>
      <c r="D3255" s="1" t="str">
        <f t="shared" si="325"/>
        <v>89177328</v>
      </c>
      <c r="E3255" s="1" t="s">
        <v>24</v>
      </c>
      <c r="F3255" s="1" t="str">
        <f t="shared" si="326"/>
        <v>0010</v>
      </c>
      <c r="G3255" s="1" t="s">
        <v>24</v>
      </c>
      <c r="H3255" s="1" t="str">
        <f>"0035"</f>
        <v>0035</v>
      </c>
      <c r="I3255" s="1" t="s">
        <v>25</v>
      </c>
      <c r="J3255" s="1" t="str">
        <f>"01043977569"</f>
        <v>01043977569</v>
      </c>
      <c r="K3255" s="1" t="str">
        <f>"2017-04-17 16:40:33"</f>
        <v>2017-04-17 16:40:33</v>
      </c>
      <c r="L3255" s="1" t="str">
        <f>"-"</f>
        <v>-</v>
      </c>
      <c r="M3255" s="2">
        <v>0</v>
      </c>
      <c r="N3255" s="1" t="s">
        <v>33</v>
      </c>
      <c r="O3255" s="1" t="s">
        <v>34</v>
      </c>
      <c r="P3255" s="2">
        <v>2.3148148148148147E-5</v>
      </c>
      <c r="Q3255" s="1" t="str">
        <f>""</f>
        <v/>
      </c>
      <c r="R3255" s="1">
        <v>0</v>
      </c>
      <c r="S3255" s="1" t="str">
        <f>""</f>
        <v/>
      </c>
      <c r="T3255" s="1" t="s">
        <v>29</v>
      </c>
      <c r="U3255" s="1" t="s">
        <v>30</v>
      </c>
      <c r="V3255" s="1">
        <v>0</v>
      </c>
    </row>
    <row r="3256" spans="2:22" x14ac:dyDescent="0.15">
      <c r="B3256" s="1" t="str">
        <f>"158****8236"</f>
        <v>158****8236</v>
      </c>
      <c r="C3256" s="1" t="s">
        <v>35</v>
      </c>
      <c r="D3256" s="1" t="str">
        <f t="shared" si="325"/>
        <v>89177328</v>
      </c>
      <c r="E3256" s="1" t="s">
        <v>24</v>
      </c>
      <c r="F3256" s="1" t="str">
        <f t="shared" si="326"/>
        <v>0010</v>
      </c>
      <c r="G3256" s="1" t="s">
        <v>24</v>
      </c>
      <c r="H3256" s="1" t="str">
        <f>"0018"</f>
        <v>0018</v>
      </c>
      <c r="I3256" s="1" t="s">
        <v>36</v>
      </c>
      <c r="J3256" s="1" t="str">
        <f>"01043977572"</f>
        <v>01043977572</v>
      </c>
      <c r="K3256" s="1" t="str">
        <f>"2017-04-17 16:20:18"</f>
        <v>2017-04-17 16:20:18</v>
      </c>
      <c r="L3256" s="1" t="str">
        <f>"2017-04-17 16:20:30"</f>
        <v>2017-04-17 16:20:30</v>
      </c>
      <c r="M3256" s="2">
        <v>1.8587962962962962E-2</v>
      </c>
      <c r="N3256" s="1" t="s">
        <v>26</v>
      </c>
      <c r="O3256" s="1" t="s">
        <v>34</v>
      </c>
      <c r="P3256" s="2">
        <v>1.8726851851851852E-2</v>
      </c>
      <c r="Q3256" s="1" t="s">
        <v>2355</v>
      </c>
      <c r="R3256" s="1">
        <v>0</v>
      </c>
      <c r="S3256" s="1" t="str">
        <f>""</f>
        <v/>
      </c>
      <c r="T3256" s="1" t="s">
        <v>29</v>
      </c>
      <c r="U3256" s="1" t="s">
        <v>30</v>
      </c>
      <c r="V3256" s="1">
        <v>0</v>
      </c>
    </row>
    <row r="3257" spans="2:22" x14ac:dyDescent="0.15">
      <c r="B3257" s="1" t="str">
        <f>"136****0237"</f>
        <v>136****0237</v>
      </c>
      <c r="C3257" s="1" t="s">
        <v>23</v>
      </c>
      <c r="D3257" s="1" t="str">
        <f t="shared" si="325"/>
        <v>89177328</v>
      </c>
      <c r="E3257" s="1" t="s">
        <v>24</v>
      </c>
      <c r="F3257" s="1" t="str">
        <f t="shared" si="326"/>
        <v>0010</v>
      </c>
      <c r="G3257" s="1" t="s">
        <v>24</v>
      </c>
      <c r="H3257" s="1" t="str">
        <f>"0017"</f>
        <v>0017</v>
      </c>
      <c r="I3257" s="1" t="s">
        <v>135</v>
      </c>
      <c r="J3257" s="1" t="str">
        <f>"01043989717"</f>
        <v>01043989717</v>
      </c>
      <c r="K3257" s="1" t="str">
        <f>"2017-04-17 16:03:45"</f>
        <v>2017-04-17 16:03:45</v>
      </c>
      <c r="L3257" s="1" t="str">
        <f>"2017-04-17 16:03:53"</f>
        <v>2017-04-17 16:03:53</v>
      </c>
      <c r="M3257" s="2">
        <v>4.4675925925925933E-3</v>
      </c>
      <c r="N3257" s="1" t="s">
        <v>26</v>
      </c>
      <c r="O3257" s="1" t="s">
        <v>27</v>
      </c>
      <c r="P3257" s="2">
        <v>4.5601851851851853E-3</v>
      </c>
      <c r="Q3257" s="1" t="s">
        <v>2356</v>
      </c>
      <c r="R3257" s="1">
        <v>0</v>
      </c>
      <c r="S3257" s="1" t="str">
        <f>""</f>
        <v/>
      </c>
      <c r="T3257" s="1" t="s">
        <v>29</v>
      </c>
      <c r="U3257" s="1" t="s">
        <v>30</v>
      </c>
      <c r="V3257" s="1">
        <v>0</v>
      </c>
    </row>
    <row r="3258" spans="2:22" x14ac:dyDescent="0.15">
      <c r="B3258" s="1" t="str">
        <f>"136****2222"</f>
        <v>136****2222</v>
      </c>
      <c r="C3258" s="1" t="s">
        <v>2357</v>
      </c>
      <c r="D3258" s="1" t="str">
        <f>"4000108333"</f>
        <v>4000108333</v>
      </c>
      <c r="E3258" s="1" t="s">
        <v>53</v>
      </c>
      <c r="F3258" s="1" t="str">
        <f>"0001"</f>
        <v>0001</v>
      </c>
      <c r="G3258" s="1" t="s">
        <v>2249</v>
      </c>
      <c r="H3258" s="1" t="str">
        <f>"0005"</f>
        <v>0005</v>
      </c>
      <c r="I3258" s="1" t="s">
        <v>298</v>
      </c>
      <c r="J3258" s="1" t="str">
        <f>"18600169000"</f>
        <v>18600169000</v>
      </c>
      <c r="K3258" s="1" t="str">
        <f>"2017-04-17 15:55:35"</f>
        <v>2017-04-17 15:55:35</v>
      </c>
      <c r="L3258" s="1" t="str">
        <f>"-"</f>
        <v>-</v>
      </c>
      <c r="M3258" s="2">
        <v>0</v>
      </c>
      <c r="N3258" s="1" t="s">
        <v>33</v>
      </c>
      <c r="O3258" s="1" t="s">
        <v>27</v>
      </c>
      <c r="P3258" s="2">
        <v>2.0138888888888888E-3</v>
      </c>
      <c r="Q3258" s="1" t="str">
        <f>""</f>
        <v/>
      </c>
      <c r="R3258" s="1">
        <v>0.36</v>
      </c>
      <c r="S3258" s="1" t="str">
        <f>""</f>
        <v/>
      </c>
      <c r="T3258" s="1" t="s">
        <v>29</v>
      </c>
      <c r="U3258" s="1" t="s">
        <v>30</v>
      </c>
      <c r="V3258" s="1">
        <v>0</v>
      </c>
    </row>
    <row r="3259" spans="2:22" x14ac:dyDescent="0.15">
      <c r="B3259" s="1" t="str">
        <f>"133****9597"</f>
        <v>133****9597</v>
      </c>
      <c r="C3259" s="1" t="s">
        <v>23</v>
      </c>
      <c r="D3259" s="1" t="str">
        <f t="shared" ref="D3259:D3288" si="327">"89177328"</f>
        <v>89177328</v>
      </c>
      <c r="E3259" s="1" t="s">
        <v>24</v>
      </c>
      <c r="F3259" s="1" t="str">
        <f t="shared" ref="F3259:F3288" si="328">"0010"</f>
        <v>0010</v>
      </c>
      <c r="G3259" s="1" t="s">
        <v>24</v>
      </c>
      <c r="H3259" s="1" t="str">
        <f>"0018"</f>
        <v>0018</v>
      </c>
      <c r="I3259" s="1" t="s">
        <v>36</v>
      </c>
      <c r="J3259" s="1" t="str">
        <f>"01043977572"</f>
        <v>01043977572</v>
      </c>
      <c r="K3259" s="1" t="str">
        <f>"2017-04-17 15:40:25"</f>
        <v>2017-04-17 15:40:25</v>
      </c>
      <c r="L3259" s="1" t="str">
        <f>"-"</f>
        <v>-</v>
      </c>
      <c r="M3259" s="2">
        <v>0</v>
      </c>
      <c r="N3259" s="1" t="s">
        <v>33</v>
      </c>
      <c r="O3259" s="1" t="s">
        <v>34</v>
      </c>
      <c r="P3259" s="2">
        <v>5.7870370370370366E-5</v>
      </c>
      <c r="Q3259" s="1" t="str">
        <f>""</f>
        <v/>
      </c>
      <c r="R3259" s="1">
        <v>0</v>
      </c>
      <c r="S3259" s="1" t="str">
        <f>""</f>
        <v/>
      </c>
      <c r="T3259" s="1" t="s">
        <v>29</v>
      </c>
      <c r="U3259" s="1" t="s">
        <v>30</v>
      </c>
      <c r="V3259" s="1">
        <v>0</v>
      </c>
    </row>
    <row r="3260" spans="2:22" x14ac:dyDescent="0.15">
      <c r="B3260" s="1" t="str">
        <f>"133****9597"</f>
        <v>133****9597</v>
      </c>
      <c r="C3260" s="1" t="s">
        <v>23</v>
      </c>
      <c r="D3260" s="1" t="str">
        <f t="shared" si="327"/>
        <v>89177328</v>
      </c>
      <c r="E3260" s="1" t="s">
        <v>24</v>
      </c>
      <c r="F3260" s="1" t="str">
        <f t="shared" si="328"/>
        <v>0010</v>
      </c>
      <c r="G3260" s="1" t="s">
        <v>24</v>
      </c>
      <c r="H3260" s="1" t="str">
        <f>"0018"</f>
        <v>0018</v>
      </c>
      <c r="I3260" s="1" t="s">
        <v>36</v>
      </c>
      <c r="J3260" s="1" t="str">
        <f>"01043977572"</f>
        <v>01043977572</v>
      </c>
      <c r="K3260" s="1" t="str">
        <f>"2017-04-17 15:39:36"</f>
        <v>2017-04-17 15:39:36</v>
      </c>
      <c r="L3260" s="1" t="str">
        <f>"-"</f>
        <v>-</v>
      </c>
      <c r="M3260" s="2">
        <v>0</v>
      </c>
      <c r="N3260" s="1" t="s">
        <v>33</v>
      </c>
      <c r="O3260" s="1" t="s">
        <v>34</v>
      </c>
      <c r="P3260" s="2">
        <v>5.7870370370370366E-5</v>
      </c>
      <c r="Q3260" s="1" t="str">
        <f>""</f>
        <v/>
      </c>
      <c r="R3260" s="1">
        <v>0</v>
      </c>
      <c r="S3260" s="1" t="str">
        <f>""</f>
        <v/>
      </c>
      <c r="T3260" s="1" t="s">
        <v>29</v>
      </c>
      <c r="U3260" s="1" t="s">
        <v>30</v>
      </c>
      <c r="V3260" s="1">
        <v>0</v>
      </c>
    </row>
    <row r="3261" spans="2:22" x14ac:dyDescent="0.15">
      <c r="B3261" s="1" t="str">
        <f>"183****1520"</f>
        <v>183****1520</v>
      </c>
      <c r="C3261" s="1" t="s">
        <v>92</v>
      </c>
      <c r="D3261" s="1" t="str">
        <f t="shared" si="327"/>
        <v>89177328</v>
      </c>
      <c r="E3261" s="1" t="s">
        <v>24</v>
      </c>
      <c r="F3261" s="1" t="str">
        <f t="shared" si="328"/>
        <v>0010</v>
      </c>
      <c r="G3261" s="1" t="s">
        <v>24</v>
      </c>
      <c r="H3261" s="1" t="str">
        <f>"0034"</f>
        <v>0034</v>
      </c>
      <c r="I3261" s="1" t="s">
        <v>31</v>
      </c>
      <c r="J3261" s="1" t="str">
        <f>"01043977568"</f>
        <v>01043977568</v>
      </c>
      <c r="K3261" s="1" t="str">
        <f>"2017-04-17 15:39:18"</f>
        <v>2017-04-17 15:39:18</v>
      </c>
      <c r="L3261" s="1" t="str">
        <f>"2017-04-17 15:39:31"</f>
        <v>2017-04-17 15:39:31</v>
      </c>
      <c r="M3261" s="2">
        <v>8.8888888888888889E-3</v>
      </c>
      <c r="N3261" s="1" t="s">
        <v>26</v>
      </c>
      <c r="O3261" s="1" t="s">
        <v>34</v>
      </c>
      <c r="P3261" s="2">
        <v>9.0393518518518522E-3</v>
      </c>
      <c r="Q3261" s="1" t="s">
        <v>2358</v>
      </c>
      <c r="R3261" s="1">
        <v>0</v>
      </c>
      <c r="S3261" s="1" t="str">
        <f>""</f>
        <v/>
      </c>
      <c r="T3261" s="1" t="s">
        <v>29</v>
      </c>
      <c r="U3261" s="1" t="s">
        <v>30</v>
      </c>
      <c r="V3261" s="1">
        <v>0</v>
      </c>
    </row>
    <row r="3262" spans="2:22" x14ac:dyDescent="0.15">
      <c r="B3262" s="1" t="str">
        <f>"133****9597"</f>
        <v>133****9597</v>
      </c>
      <c r="C3262" s="1" t="s">
        <v>23</v>
      </c>
      <c r="D3262" s="1" t="str">
        <f t="shared" si="327"/>
        <v>89177328</v>
      </c>
      <c r="E3262" s="1" t="s">
        <v>24</v>
      </c>
      <c r="F3262" s="1" t="str">
        <f t="shared" si="328"/>
        <v>0010</v>
      </c>
      <c r="G3262" s="1" t="s">
        <v>24</v>
      </c>
      <c r="H3262" s="1" t="str">
        <f>"0034"</f>
        <v>0034</v>
      </c>
      <c r="I3262" s="1" t="s">
        <v>31</v>
      </c>
      <c r="J3262" s="1" t="str">
        <f>"01043977568"</f>
        <v>01043977568</v>
      </c>
      <c r="K3262" s="1" t="str">
        <f>"2017-04-17 15:37:29"</f>
        <v>2017-04-17 15:37:29</v>
      </c>
      <c r="L3262" s="1" t="str">
        <f>"-"</f>
        <v>-</v>
      </c>
      <c r="M3262" s="2">
        <v>0</v>
      </c>
      <c r="N3262" s="1" t="s">
        <v>33</v>
      </c>
      <c r="O3262" s="1" t="s">
        <v>34</v>
      </c>
      <c r="P3262" s="2">
        <v>4.6296296296296294E-5</v>
      </c>
      <c r="Q3262" s="1" t="str">
        <f>""</f>
        <v/>
      </c>
      <c r="R3262" s="1">
        <v>0</v>
      </c>
      <c r="S3262" s="1" t="str">
        <f>""</f>
        <v/>
      </c>
      <c r="T3262" s="1" t="s">
        <v>29</v>
      </c>
      <c r="U3262" s="1" t="s">
        <v>30</v>
      </c>
      <c r="V3262" s="1">
        <v>0</v>
      </c>
    </row>
    <row r="3263" spans="2:22" x14ac:dyDescent="0.15">
      <c r="B3263" s="1" t="str">
        <f>"133****9597"</f>
        <v>133****9597</v>
      </c>
      <c r="C3263" s="1" t="s">
        <v>23</v>
      </c>
      <c r="D3263" s="1" t="str">
        <f t="shared" si="327"/>
        <v>89177328</v>
      </c>
      <c r="E3263" s="1" t="s">
        <v>24</v>
      </c>
      <c r="F3263" s="1" t="str">
        <f t="shared" si="328"/>
        <v>0010</v>
      </c>
      <c r="G3263" s="1" t="s">
        <v>24</v>
      </c>
      <c r="H3263" s="1" t="str">
        <f>"0034"</f>
        <v>0034</v>
      </c>
      <c r="I3263" s="1" t="s">
        <v>31</v>
      </c>
      <c r="J3263" s="1" t="str">
        <f>"01043977568"</f>
        <v>01043977568</v>
      </c>
      <c r="K3263" s="1" t="str">
        <f>"2017-04-17 15:35:29"</f>
        <v>2017-04-17 15:35:29</v>
      </c>
      <c r="L3263" s="1" t="str">
        <f>"-"</f>
        <v>-</v>
      </c>
      <c r="M3263" s="2">
        <v>0</v>
      </c>
      <c r="N3263" s="1" t="s">
        <v>33</v>
      </c>
      <c r="O3263" s="1" t="s">
        <v>34</v>
      </c>
      <c r="P3263" s="2">
        <v>5.7870370370370366E-5</v>
      </c>
      <c r="Q3263" s="1" t="str">
        <f>""</f>
        <v/>
      </c>
      <c r="R3263" s="1">
        <v>0</v>
      </c>
      <c r="S3263" s="1" t="str">
        <f>""</f>
        <v/>
      </c>
      <c r="T3263" s="1" t="s">
        <v>29</v>
      </c>
      <c r="U3263" s="1" t="s">
        <v>30</v>
      </c>
      <c r="V3263" s="1">
        <v>0</v>
      </c>
    </row>
    <row r="3264" spans="2:22" x14ac:dyDescent="0.15">
      <c r="B3264" s="1" t="str">
        <f>"159****7461"</f>
        <v>159****7461</v>
      </c>
      <c r="C3264" s="1" t="s">
        <v>23</v>
      </c>
      <c r="D3264" s="1" t="str">
        <f t="shared" si="327"/>
        <v>89177328</v>
      </c>
      <c r="E3264" s="1" t="s">
        <v>24</v>
      </c>
      <c r="F3264" s="1" t="str">
        <f t="shared" si="328"/>
        <v>0010</v>
      </c>
      <c r="G3264" s="1" t="s">
        <v>24</v>
      </c>
      <c r="H3264" s="1" t="str">
        <f>"0018"</f>
        <v>0018</v>
      </c>
      <c r="I3264" s="1" t="s">
        <v>36</v>
      </c>
      <c r="J3264" s="1" t="str">
        <f>"01043977572"</f>
        <v>01043977572</v>
      </c>
      <c r="K3264" s="1" t="str">
        <f>"2017-04-17 15:34:05"</f>
        <v>2017-04-17 15:34:05</v>
      </c>
      <c r="L3264" s="1" t="str">
        <f>"2017-04-17 15:34:16"</f>
        <v>2017-04-17 15:34:16</v>
      </c>
      <c r="M3264" s="2">
        <v>7.0601851851851847E-4</v>
      </c>
      <c r="N3264" s="1" t="s">
        <v>26</v>
      </c>
      <c r="O3264" s="1" t="s">
        <v>34</v>
      </c>
      <c r="P3264" s="2">
        <v>8.3333333333333339E-4</v>
      </c>
      <c r="Q3264" s="1" t="s">
        <v>2359</v>
      </c>
      <c r="R3264" s="1">
        <v>0</v>
      </c>
      <c r="S3264" s="1" t="str">
        <f>""</f>
        <v/>
      </c>
      <c r="T3264" s="1" t="s">
        <v>29</v>
      </c>
      <c r="U3264" s="1" t="s">
        <v>30</v>
      </c>
      <c r="V3264" s="1">
        <v>0</v>
      </c>
    </row>
    <row r="3265" spans="2:22" x14ac:dyDescent="0.15">
      <c r="B3265" s="1" t="str">
        <f>"010****5093"</f>
        <v>010****5093</v>
      </c>
      <c r="C3265" s="1" t="s">
        <v>23</v>
      </c>
      <c r="D3265" s="1" t="str">
        <f t="shared" si="327"/>
        <v>89177328</v>
      </c>
      <c r="E3265" s="1" t="s">
        <v>24</v>
      </c>
      <c r="F3265" s="1" t="str">
        <f t="shared" si="328"/>
        <v>0010</v>
      </c>
      <c r="G3265" s="1" t="s">
        <v>24</v>
      </c>
      <c r="H3265" s="1" t="str">
        <f>"0017"</f>
        <v>0017</v>
      </c>
      <c r="I3265" s="1" t="s">
        <v>135</v>
      </c>
      <c r="J3265" s="1" t="str">
        <f>"01043989717"</f>
        <v>01043989717</v>
      </c>
      <c r="K3265" s="1" t="str">
        <f>"2017-04-17 15:32:27"</f>
        <v>2017-04-17 15:32:27</v>
      </c>
      <c r="L3265" s="1" t="str">
        <f>"2017-04-17 15:32:36"</f>
        <v>2017-04-17 15:32:36</v>
      </c>
      <c r="M3265" s="2">
        <v>5.7754629629629623E-3</v>
      </c>
      <c r="N3265" s="1" t="s">
        <v>26</v>
      </c>
      <c r="O3265" s="1" t="s">
        <v>34</v>
      </c>
      <c r="P3265" s="2">
        <v>5.8796296296296296E-3</v>
      </c>
      <c r="Q3265" s="1" t="s">
        <v>2360</v>
      </c>
      <c r="R3265" s="1">
        <v>0</v>
      </c>
      <c r="S3265" s="1" t="str">
        <f>""</f>
        <v/>
      </c>
      <c r="T3265" s="1" t="s">
        <v>29</v>
      </c>
      <c r="U3265" s="1" t="s">
        <v>30</v>
      </c>
      <c r="V3265" s="1">
        <v>0</v>
      </c>
    </row>
    <row r="3266" spans="2:22" x14ac:dyDescent="0.15">
      <c r="B3266" s="1" t="str">
        <f>"133****9597"</f>
        <v>133****9597</v>
      </c>
      <c r="C3266" s="1" t="s">
        <v>23</v>
      </c>
      <c r="D3266" s="1" t="str">
        <f t="shared" si="327"/>
        <v>89177328</v>
      </c>
      <c r="E3266" s="1" t="s">
        <v>24</v>
      </c>
      <c r="F3266" s="1" t="str">
        <f t="shared" si="328"/>
        <v>0010</v>
      </c>
      <c r="G3266" s="1" t="s">
        <v>24</v>
      </c>
      <c r="H3266" s="1" t="str">
        <f>"0031"</f>
        <v>0031</v>
      </c>
      <c r="I3266" s="1" t="s">
        <v>95</v>
      </c>
      <c r="J3266" s="1" t="str">
        <f>"01043977565"</f>
        <v>01043977565</v>
      </c>
      <c r="K3266" s="1" t="str">
        <f>"2017-04-17 15:31:41"</f>
        <v>2017-04-17 15:31:41</v>
      </c>
      <c r="L3266" s="1" t="str">
        <f t="shared" ref="L3266:L3274" si="329">"-"</f>
        <v>-</v>
      </c>
      <c r="M3266" s="2">
        <v>0</v>
      </c>
      <c r="N3266" s="1" t="s">
        <v>33</v>
      </c>
      <c r="O3266" s="1" t="s">
        <v>34</v>
      </c>
      <c r="P3266" s="2">
        <v>2.3148148148148147E-5</v>
      </c>
      <c r="Q3266" s="1" t="str">
        <f>""</f>
        <v/>
      </c>
      <c r="R3266" s="1">
        <v>0</v>
      </c>
      <c r="S3266" s="1" t="str">
        <f>""</f>
        <v/>
      </c>
      <c r="T3266" s="1" t="s">
        <v>29</v>
      </c>
      <c r="U3266" s="1" t="s">
        <v>30</v>
      </c>
      <c r="V3266" s="1">
        <v>0</v>
      </c>
    </row>
    <row r="3267" spans="2:22" x14ac:dyDescent="0.15">
      <c r="B3267" s="1" t="str">
        <f>"187****8895"</f>
        <v>187****8895</v>
      </c>
      <c r="C3267" s="1" t="s">
        <v>23</v>
      </c>
      <c r="D3267" s="1" t="str">
        <f t="shared" si="327"/>
        <v>89177328</v>
      </c>
      <c r="E3267" s="1" t="s">
        <v>24</v>
      </c>
      <c r="F3267" s="1" t="str">
        <f t="shared" si="328"/>
        <v>0010</v>
      </c>
      <c r="G3267" s="1" t="s">
        <v>24</v>
      </c>
      <c r="H3267" s="1" t="str">
        <f>"0031"</f>
        <v>0031</v>
      </c>
      <c r="I3267" s="1" t="s">
        <v>95</v>
      </c>
      <c r="J3267" s="1" t="str">
        <f>"01043977565"</f>
        <v>01043977565</v>
      </c>
      <c r="K3267" s="1" t="str">
        <f>"2017-04-17 15:31:15"</f>
        <v>2017-04-17 15:31:15</v>
      </c>
      <c r="L3267" s="1" t="str">
        <f t="shared" si="329"/>
        <v>-</v>
      </c>
      <c r="M3267" s="2">
        <v>0</v>
      </c>
      <c r="N3267" s="1" t="s">
        <v>33</v>
      </c>
      <c r="O3267" s="1" t="s">
        <v>34</v>
      </c>
      <c r="P3267" s="2">
        <v>3.4722222222222222E-5</v>
      </c>
      <c r="Q3267" s="1" t="str">
        <f>""</f>
        <v/>
      </c>
      <c r="R3267" s="1">
        <v>0</v>
      </c>
      <c r="S3267" s="1" t="str">
        <f>""</f>
        <v/>
      </c>
      <c r="T3267" s="1" t="s">
        <v>29</v>
      </c>
      <c r="U3267" s="1" t="s">
        <v>30</v>
      </c>
      <c r="V3267" s="1">
        <v>0</v>
      </c>
    </row>
    <row r="3268" spans="2:22" x14ac:dyDescent="0.15">
      <c r="B3268" s="1" t="str">
        <f>"157****4678"</f>
        <v>157****4678</v>
      </c>
      <c r="C3268" s="1" t="s">
        <v>23</v>
      </c>
      <c r="D3268" s="1" t="str">
        <f t="shared" si="327"/>
        <v>89177328</v>
      </c>
      <c r="E3268" s="1" t="s">
        <v>24</v>
      </c>
      <c r="F3268" s="1" t="str">
        <f t="shared" si="328"/>
        <v>0010</v>
      </c>
      <c r="G3268" s="1" t="s">
        <v>24</v>
      </c>
      <c r="H3268" s="1" t="str">
        <f>"0031"</f>
        <v>0031</v>
      </c>
      <c r="I3268" s="1" t="s">
        <v>95</v>
      </c>
      <c r="J3268" s="1" t="str">
        <f>"01043977565"</f>
        <v>01043977565</v>
      </c>
      <c r="K3268" s="1" t="str">
        <f>"2017-04-17 15:29:36"</f>
        <v>2017-04-17 15:29:36</v>
      </c>
      <c r="L3268" s="1" t="str">
        <f t="shared" si="329"/>
        <v>-</v>
      </c>
      <c r="M3268" s="2">
        <v>0</v>
      </c>
      <c r="N3268" s="1" t="s">
        <v>33</v>
      </c>
      <c r="O3268" s="1" t="s">
        <v>34</v>
      </c>
      <c r="P3268" s="2">
        <v>6.9444444444444444E-5</v>
      </c>
      <c r="Q3268" s="1" t="str">
        <f>""</f>
        <v/>
      </c>
      <c r="R3268" s="1">
        <v>0</v>
      </c>
      <c r="S3268" s="1" t="str">
        <f>""</f>
        <v/>
      </c>
      <c r="T3268" s="1" t="s">
        <v>29</v>
      </c>
      <c r="U3268" s="1" t="s">
        <v>30</v>
      </c>
      <c r="V3268" s="1">
        <v>0</v>
      </c>
    </row>
    <row r="3269" spans="2:22" x14ac:dyDescent="0.15">
      <c r="B3269" s="1" t="str">
        <f>"157****4678"</f>
        <v>157****4678</v>
      </c>
      <c r="C3269" s="1" t="s">
        <v>23</v>
      </c>
      <c r="D3269" s="1" t="str">
        <f t="shared" si="327"/>
        <v>89177328</v>
      </c>
      <c r="E3269" s="1" t="s">
        <v>24</v>
      </c>
      <c r="F3269" s="1" t="str">
        <f t="shared" si="328"/>
        <v>0010</v>
      </c>
      <c r="G3269" s="1" t="s">
        <v>24</v>
      </c>
      <c r="H3269" s="1" t="str">
        <f>"0031"</f>
        <v>0031</v>
      </c>
      <c r="I3269" s="1" t="s">
        <v>95</v>
      </c>
      <c r="J3269" s="1" t="str">
        <f>"01043977565"</f>
        <v>01043977565</v>
      </c>
      <c r="K3269" s="1" t="str">
        <f>"2017-04-17 15:26:33"</f>
        <v>2017-04-17 15:26:33</v>
      </c>
      <c r="L3269" s="1" t="str">
        <f t="shared" si="329"/>
        <v>-</v>
      </c>
      <c r="M3269" s="2">
        <v>0</v>
      </c>
      <c r="N3269" s="1" t="s">
        <v>33</v>
      </c>
      <c r="O3269" s="1" t="s">
        <v>34</v>
      </c>
      <c r="P3269" s="2">
        <v>5.7870370370370366E-5</v>
      </c>
      <c r="Q3269" s="1" t="str">
        <f>""</f>
        <v/>
      </c>
      <c r="R3269" s="1">
        <v>0</v>
      </c>
      <c r="S3269" s="1" t="str">
        <f>""</f>
        <v/>
      </c>
      <c r="T3269" s="1" t="s">
        <v>29</v>
      </c>
      <c r="U3269" s="1" t="s">
        <v>30</v>
      </c>
      <c r="V3269" s="1">
        <v>0</v>
      </c>
    </row>
    <row r="3270" spans="2:22" x14ac:dyDescent="0.15">
      <c r="B3270" s="1" t="str">
        <f>"130****5656"</f>
        <v>130****5656</v>
      </c>
      <c r="C3270" s="1" t="s">
        <v>112</v>
      </c>
      <c r="D3270" s="1" t="str">
        <f t="shared" si="327"/>
        <v>89177328</v>
      </c>
      <c r="E3270" s="1" t="s">
        <v>24</v>
      </c>
      <c r="F3270" s="1" t="str">
        <f t="shared" si="328"/>
        <v>0010</v>
      </c>
      <c r="G3270" s="1" t="s">
        <v>24</v>
      </c>
      <c r="H3270" s="1" t="str">
        <f>"0017"</f>
        <v>0017</v>
      </c>
      <c r="I3270" s="1" t="s">
        <v>135</v>
      </c>
      <c r="J3270" s="1" t="str">
        <f>"01043989717"</f>
        <v>01043989717</v>
      </c>
      <c r="K3270" s="1" t="str">
        <f>"2017-04-17 15:24:49"</f>
        <v>2017-04-17 15:24:49</v>
      </c>
      <c r="L3270" s="1" t="str">
        <f t="shared" si="329"/>
        <v>-</v>
      </c>
      <c r="M3270" s="2">
        <v>0</v>
      </c>
      <c r="N3270" s="1" t="s">
        <v>33</v>
      </c>
      <c r="O3270" s="1" t="s">
        <v>34</v>
      </c>
      <c r="P3270" s="2">
        <v>1.0416666666666667E-4</v>
      </c>
      <c r="Q3270" s="1" t="str">
        <f>""</f>
        <v/>
      </c>
      <c r="R3270" s="1">
        <v>0</v>
      </c>
      <c r="S3270" s="1" t="str">
        <f>""</f>
        <v/>
      </c>
      <c r="T3270" s="1" t="s">
        <v>29</v>
      </c>
      <c r="U3270" s="1" t="s">
        <v>30</v>
      </c>
      <c r="V3270" s="1">
        <v>0</v>
      </c>
    </row>
    <row r="3271" spans="2:22" x14ac:dyDescent="0.15">
      <c r="B3271" s="1" t="str">
        <f>"130****5656"</f>
        <v>130****5656</v>
      </c>
      <c r="C3271" s="1" t="s">
        <v>112</v>
      </c>
      <c r="D3271" s="1" t="str">
        <f t="shared" si="327"/>
        <v>89177328</v>
      </c>
      <c r="E3271" s="1" t="s">
        <v>24</v>
      </c>
      <c r="F3271" s="1" t="str">
        <f t="shared" si="328"/>
        <v>0010</v>
      </c>
      <c r="G3271" s="1" t="s">
        <v>24</v>
      </c>
      <c r="H3271" s="1" t="str">
        <f>"0031"</f>
        <v>0031</v>
      </c>
      <c r="I3271" s="1" t="s">
        <v>95</v>
      </c>
      <c r="J3271" s="1" t="str">
        <f>"01043977565"</f>
        <v>01043977565</v>
      </c>
      <c r="K3271" s="1" t="str">
        <f>"2017-04-17 15:23:00"</f>
        <v>2017-04-17 15:23:00</v>
      </c>
      <c r="L3271" s="1" t="str">
        <f t="shared" si="329"/>
        <v>-</v>
      </c>
      <c r="M3271" s="2">
        <v>0</v>
      </c>
      <c r="N3271" s="1" t="s">
        <v>33</v>
      </c>
      <c r="O3271" s="1" t="s">
        <v>34</v>
      </c>
      <c r="P3271" s="2">
        <v>4.6296296296296294E-5</v>
      </c>
      <c r="Q3271" s="1" t="str">
        <f>""</f>
        <v/>
      </c>
      <c r="R3271" s="1">
        <v>0</v>
      </c>
      <c r="S3271" s="1" t="str">
        <f>""</f>
        <v/>
      </c>
      <c r="T3271" s="1" t="s">
        <v>29</v>
      </c>
      <c r="U3271" s="1" t="s">
        <v>30</v>
      </c>
      <c r="V3271" s="1">
        <v>0</v>
      </c>
    </row>
    <row r="3272" spans="2:22" x14ac:dyDescent="0.15">
      <c r="B3272" s="1" t="str">
        <f>"130****5656"</f>
        <v>130****5656</v>
      </c>
      <c r="C3272" s="1" t="s">
        <v>112</v>
      </c>
      <c r="D3272" s="1" t="str">
        <f t="shared" si="327"/>
        <v>89177328</v>
      </c>
      <c r="E3272" s="1" t="s">
        <v>24</v>
      </c>
      <c r="F3272" s="1" t="str">
        <f t="shared" si="328"/>
        <v>0010</v>
      </c>
      <c r="G3272" s="1" t="s">
        <v>24</v>
      </c>
      <c r="H3272" s="1" t="str">
        <f>"0031"</f>
        <v>0031</v>
      </c>
      <c r="I3272" s="1" t="s">
        <v>95</v>
      </c>
      <c r="J3272" s="1" t="str">
        <f>"01043977565"</f>
        <v>01043977565</v>
      </c>
      <c r="K3272" s="1" t="str">
        <f>"2017-04-17 15:21:22"</f>
        <v>2017-04-17 15:21:22</v>
      </c>
      <c r="L3272" s="1" t="str">
        <f t="shared" si="329"/>
        <v>-</v>
      </c>
      <c r="M3272" s="2">
        <v>0</v>
      </c>
      <c r="N3272" s="1" t="s">
        <v>33</v>
      </c>
      <c r="O3272" s="1" t="s">
        <v>34</v>
      </c>
      <c r="P3272" s="2">
        <v>6.9444444444444444E-5</v>
      </c>
      <c r="Q3272" s="1" t="str">
        <f>""</f>
        <v/>
      </c>
      <c r="R3272" s="1">
        <v>0</v>
      </c>
      <c r="S3272" s="1" t="str">
        <f>""</f>
        <v/>
      </c>
      <c r="T3272" s="1" t="s">
        <v>29</v>
      </c>
      <c r="U3272" s="1" t="s">
        <v>30</v>
      </c>
      <c r="V3272" s="1">
        <v>0</v>
      </c>
    </row>
    <row r="3273" spans="2:22" x14ac:dyDescent="0.15">
      <c r="B3273" s="1" t="str">
        <f>"157****4678"</f>
        <v>157****4678</v>
      </c>
      <c r="C3273" s="1" t="s">
        <v>23</v>
      </c>
      <c r="D3273" s="1" t="str">
        <f t="shared" si="327"/>
        <v>89177328</v>
      </c>
      <c r="E3273" s="1" t="s">
        <v>24</v>
      </c>
      <c r="F3273" s="1" t="str">
        <f t="shared" si="328"/>
        <v>0010</v>
      </c>
      <c r="G3273" s="1" t="s">
        <v>24</v>
      </c>
      <c r="H3273" s="1" t="str">
        <f>"0017"</f>
        <v>0017</v>
      </c>
      <c r="I3273" s="1" t="s">
        <v>135</v>
      </c>
      <c r="J3273" s="1" t="str">
        <f>"01043989717"</f>
        <v>01043989717</v>
      </c>
      <c r="K3273" s="1" t="str">
        <f>"2017-04-17 15:20:35"</f>
        <v>2017-04-17 15:20:35</v>
      </c>
      <c r="L3273" s="1" t="str">
        <f t="shared" si="329"/>
        <v>-</v>
      </c>
      <c r="M3273" s="2">
        <v>0</v>
      </c>
      <c r="N3273" s="1" t="s">
        <v>33</v>
      </c>
      <c r="O3273" s="1" t="s">
        <v>34</v>
      </c>
      <c r="P3273" s="2">
        <v>6.9444444444444444E-5</v>
      </c>
      <c r="Q3273" s="1" t="str">
        <f>""</f>
        <v/>
      </c>
      <c r="R3273" s="1">
        <v>0</v>
      </c>
      <c r="S3273" s="1" t="str">
        <f>""</f>
        <v/>
      </c>
      <c r="T3273" s="1" t="s">
        <v>29</v>
      </c>
      <c r="U3273" s="1" t="s">
        <v>30</v>
      </c>
      <c r="V3273" s="1">
        <v>0</v>
      </c>
    </row>
    <row r="3274" spans="2:22" x14ac:dyDescent="0.15">
      <c r="B3274" s="1" t="str">
        <f>"188****7867"</f>
        <v>188****7867</v>
      </c>
      <c r="C3274" s="1" t="s">
        <v>23</v>
      </c>
      <c r="D3274" s="1" t="str">
        <f t="shared" si="327"/>
        <v>89177328</v>
      </c>
      <c r="E3274" s="1" t="s">
        <v>24</v>
      </c>
      <c r="F3274" s="1" t="str">
        <f t="shared" si="328"/>
        <v>0010</v>
      </c>
      <c r="G3274" s="1" t="s">
        <v>24</v>
      </c>
      <c r="H3274" s="1" t="str">
        <f>"0017"</f>
        <v>0017</v>
      </c>
      <c r="I3274" s="1" t="s">
        <v>135</v>
      </c>
      <c r="J3274" s="1" t="str">
        <f>"01043989717"</f>
        <v>01043989717</v>
      </c>
      <c r="K3274" s="1" t="str">
        <f>"2017-04-17 15:20:10"</f>
        <v>2017-04-17 15:20:10</v>
      </c>
      <c r="L3274" s="1" t="str">
        <f t="shared" si="329"/>
        <v>-</v>
      </c>
      <c r="M3274" s="2">
        <v>0</v>
      </c>
      <c r="N3274" s="1" t="s">
        <v>33</v>
      </c>
      <c r="O3274" s="1" t="s">
        <v>34</v>
      </c>
      <c r="P3274" s="2">
        <v>6.9444444444444444E-5</v>
      </c>
      <c r="Q3274" s="1" t="str">
        <f>""</f>
        <v/>
      </c>
      <c r="R3274" s="1">
        <v>0</v>
      </c>
      <c r="S3274" s="1" t="str">
        <f>""</f>
        <v/>
      </c>
      <c r="T3274" s="1" t="s">
        <v>29</v>
      </c>
      <c r="U3274" s="1" t="s">
        <v>30</v>
      </c>
      <c r="V3274" s="1">
        <v>0</v>
      </c>
    </row>
    <row r="3275" spans="2:22" x14ac:dyDescent="0.15">
      <c r="B3275" s="1" t="str">
        <f>"136****8903"</f>
        <v>136****8903</v>
      </c>
      <c r="C3275" s="1" t="s">
        <v>23</v>
      </c>
      <c r="D3275" s="1" t="str">
        <f t="shared" si="327"/>
        <v>89177328</v>
      </c>
      <c r="E3275" s="1" t="s">
        <v>24</v>
      </c>
      <c r="F3275" s="1" t="str">
        <f t="shared" si="328"/>
        <v>0010</v>
      </c>
      <c r="G3275" s="1" t="s">
        <v>24</v>
      </c>
      <c r="H3275" s="1" t="str">
        <f t="shared" ref="H3275:H3280" si="330">"0018"</f>
        <v>0018</v>
      </c>
      <c r="I3275" s="1" t="s">
        <v>36</v>
      </c>
      <c r="J3275" s="1" t="str">
        <f t="shared" ref="J3275:J3280" si="331">"01043977572"</f>
        <v>01043977572</v>
      </c>
      <c r="K3275" s="1" t="str">
        <f>"2017-04-17 15:19:55"</f>
        <v>2017-04-17 15:19:55</v>
      </c>
      <c r="L3275" s="1" t="str">
        <f>"2017-04-17 15:20:07"</f>
        <v>2017-04-17 15:20:07</v>
      </c>
      <c r="M3275" s="2">
        <v>7.4768518518518526E-3</v>
      </c>
      <c r="N3275" s="1" t="s">
        <v>26</v>
      </c>
      <c r="O3275" s="1" t="s">
        <v>34</v>
      </c>
      <c r="P3275" s="2">
        <v>7.6157407407407415E-3</v>
      </c>
      <c r="Q3275" s="1" t="s">
        <v>2361</v>
      </c>
      <c r="R3275" s="1">
        <v>0</v>
      </c>
      <c r="S3275" s="1" t="str">
        <f>""</f>
        <v/>
      </c>
      <c r="T3275" s="1" t="s">
        <v>29</v>
      </c>
      <c r="U3275" s="1" t="s">
        <v>30</v>
      </c>
      <c r="V3275" s="1">
        <v>0</v>
      </c>
    </row>
    <row r="3276" spans="2:22" x14ac:dyDescent="0.15">
      <c r="B3276" s="1" t="str">
        <f>"130****5656"</f>
        <v>130****5656</v>
      </c>
      <c r="C3276" s="1" t="s">
        <v>112</v>
      </c>
      <c r="D3276" s="1" t="str">
        <f t="shared" si="327"/>
        <v>89177328</v>
      </c>
      <c r="E3276" s="1" t="s">
        <v>24</v>
      </c>
      <c r="F3276" s="1" t="str">
        <f t="shared" si="328"/>
        <v>0010</v>
      </c>
      <c r="G3276" s="1" t="s">
        <v>24</v>
      </c>
      <c r="H3276" s="1" t="str">
        <f t="shared" si="330"/>
        <v>0018</v>
      </c>
      <c r="I3276" s="1" t="s">
        <v>36</v>
      </c>
      <c r="J3276" s="1" t="str">
        <f t="shared" si="331"/>
        <v>01043977572</v>
      </c>
      <c r="K3276" s="1" t="str">
        <f>"2017-04-17 15:19:07"</f>
        <v>2017-04-17 15:19:07</v>
      </c>
      <c r="L3276" s="1" t="str">
        <f t="shared" ref="L3276:L3285" si="332">"-"</f>
        <v>-</v>
      </c>
      <c r="M3276" s="2">
        <v>0</v>
      </c>
      <c r="N3276" s="1" t="s">
        <v>33</v>
      </c>
      <c r="O3276" s="1" t="s">
        <v>34</v>
      </c>
      <c r="P3276" s="2">
        <v>4.6296296296296294E-5</v>
      </c>
      <c r="Q3276" s="1" t="str">
        <f>""</f>
        <v/>
      </c>
      <c r="R3276" s="1">
        <v>0</v>
      </c>
      <c r="S3276" s="1" t="str">
        <f>""</f>
        <v/>
      </c>
      <c r="T3276" s="1" t="s">
        <v>29</v>
      </c>
      <c r="U3276" s="1" t="s">
        <v>30</v>
      </c>
      <c r="V3276" s="1">
        <v>0</v>
      </c>
    </row>
    <row r="3277" spans="2:22" x14ac:dyDescent="0.15">
      <c r="B3277" s="1" t="str">
        <f>"157****4678"</f>
        <v>157****4678</v>
      </c>
      <c r="C3277" s="1" t="s">
        <v>23</v>
      </c>
      <c r="D3277" s="1" t="str">
        <f t="shared" si="327"/>
        <v>89177328</v>
      </c>
      <c r="E3277" s="1" t="s">
        <v>24</v>
      </c>
      <c r="F3277" s="1" t="str">
        <f t="shared" si="328"/>
        <v>0010</v>
      </c>
      <c r="G3277" s="1" t="s">
        <v>24</v>
      </c>
      <c r="H3277" s="1" t="str">
        <f t="shared" si="330"/>
        <v>0018</v>
      </c>
      <c r="I3277" s="1" t="s">
        <v>36</v>
      </c>
      <c r="J3277" s="1" t="str">
        <f t="shared" si="331"/>
        <v>01043977572</v>
      </c>
      <c r="K3277" s="1" t="str">
        <f>"2017-04-17 15:17:27"</f>
        <v>2017-04-17 15:17:27</v>
      </c>
      <c r="L3277" s="1" t="str">
        <f t="shared" si="332"/>
        <v>-</v>
      </c>
      <c r="M3277" s="2">
        <v>0</v>
      </c>
      <c r="N3277" s="1" t="s">
        <v>33</v>
      </c>
      <c r="O3277" s="1" t="s">
        <v>34</v>
      </c>
      <c r="P3277" s="2">
        <v>5.7870370370370366E-5</v>
      </c>
      <c r="Q3277" s="1" t="str">
        <f>""</f>
        <v/>
      </c>
      <c r="R3277" s="1">
        <v>0</v>
      </c>
      <c r="S3277" s="1" t="str">
        <f>""</f>
        <v/>
      </c>
      <c r="T3277" s="1" t="s">
        <v>29</v>
      </c>
      <c r="U3277" s="1" t="s">
        <v>30</v>
      </c>
      <c r="V3277" s="1">
        <v>0</v>
      </c>
    </row>
    <row r="3278" spans="2:22" x14ac:dyDescent="0.15">
      <c r="B3278" s="1" t="str">
        <f>"183****4280"</f>
        <v>183****4280</v>
      </c>
      <c r="C3278" s="1" t="s">
        <v>23</v>
      </c>
      <c r="D3278" s="1" t="str">
        <f t="shared" si="327"/>
        <v>89177328</v>
      </c>
      <c r="E3278" s="1" t="s">
        <v>24</v>
      </c>
      <c r="F3278" s="1" t="str">
        <f t="shared" si="328"/>
        <v>0010</v>
      </c>
      <c r="G3278" s="1" t="s">
        <v>24</v>
      </c>
      <c r="H3278" s="1" t="str">
        <f t="shared" si="330"/>
        <v>0018</v>
      </c>
      <c r="I3278" s="1" t="s">
        <v>36</v>
      </c>
      <c r="J3278" s="1" t="str">
        <f t="shared" si="331"/>
        <v>01043977572</v>
      </c>
      <c r="K3278" s="1" t="str">
        <f>"2017-04-17 15:17:19"</f>
        <v>2017-04-17 15:17:19</v>
      </c>
      <c r="L3278" s="1" t="str">
        <f t="shared" si="332"/>
        <v>-</v>
      </c>
      <c r="M3278" s="2">
        <v>0</v>
      </c>
      <c r="N3278" s="1" t="s">
        <v>33</v>
      </c>
      <c r="O3278" s="1" t="s">
        <v>34</v>
      </c>
      <c r="P3278" s="2">
        <v>6.9444444444444444E-5</v>
      </c>
      <c r="Q3278" s="1" t="str">
        <f>""</f>
        <v/>
      </c>
      <c r="R3278" s="1">
        <v>0</v>
      </c>
      <c r="S3278" s="1" t="str">
        <f>""</f>
        <v/>
      </c>
      <c r="T3278" s="1" t="s">
        <v>29</v>
      </c>
      <c r="U3278" s="1" t="s">
        <v>30</v>
      </c>
      <c r="V3278" s="1">
        <v>0</v>
      </c>
    </row>
    <row r="3279" spans="2:22" x14ac:dyDescent="0.15">
      <c r="B3279" s="1" t="str">
        <f>"188****7867"</f>
        <v>188****7867</v>
      </c>
      <c r="C3279" s="1" t="s">
        <v>23</v>
      </c>
      <c r="D3279" s="1" t="str">
        <f t="shared" si="327"/>
        <v>89177328</v>
      </c>
      <c r="E3279" s="1" t="s">
        <v>24</v>
      </c>
      <c r="F3279" s="1" t="str">
        <f t="shared" si="328"/>
        <v>0010</v>
      </c>
      <c r="G3279" s="1" t="s">
        <v>24</v>
      </c>
      <c r="H3279" s="1" t="str">
        <f t="shared" si="330"/>
        <v>0018</v>
      </c>
      <c r="I3279" s="1" t="s">
        <v>36</v>
      </c>
      <c r="J3279" s="1" t="str">
        <f t="shared" si="331"/>
        <v>01043977572</v>
      </c>
      <c r="K3279" s="1" t="str">
        <f>"2017-04-17 15:17:03"</f>
        <v>2017-04-17 15:17:03</v>
      </c>
      <c r="L3279" s="1" t="str">
        <f t="shared" si="332"/>
        <v>-</v>
      </c>
      <c r="M3279" s="2">
        <v>0</v>
      </c>
      <c r="N3279" s="1" t="s">
        <v>33</v>
      </c>
      <c r="O3279" s="1" t="s">
        <v>34</v>
      </c>
      <c r="P3279" s="2">
        <v>6.9444444444444444E-5</v>
      </c>
      <c r="Q3279" s="1" t="str">
        <f>""</f>
        <v/>
      </c>
      <c r="R3279" s="1">
        <v>0</v>
      </c>
      <c r="S3279" s="1" t="str">
        <f>""</f>
        <v/>
      </c>
      <c r="T3279" s="1" t="s">
        <v>29</v>
      </c>
      <c r="U3279" s="1" t="s">
        <v>30</v>
      </c>
      <c r="V3279" s="1">
        <v>0</v>
      </c>
    </row>
    <row r="3280" spans="2:22" x14ac:dyDescent="0.15">
      <c r="B3280" s="1" t="str">
        <f>"130****5656"</f>
        <v>130****5656</v>
      </c>
      <c r="C3280" s="1" t="s">
        <v>112</v>
      </c>
      <c r="D3280" s="1" t="str">
        <f t="shared" si="327"/>
        <v>89177328</v>
      </c>
      <c r="E3280" s="1" t="s">
        <v>24</v>
      </c>
      <c r="F3280" s="1" t="str">
        <f t="shared" si="328"/>
        <v>0010</v>
      </c>
      <c r="G3280" s="1" t="s">
        <v>24</v>
      </c>
      <c r="H3280" s="1" t="str">
        <f t="shared" si="330"/>
        <v>0018</v>
      </c>
      <c r="I3280" s="1" t="s">
        <v>36</v>
      </c>
      <c r="J3280" s="1" t="str">
        <f t="shared" si="331"/>
        <v>01043977572</v>
      </c>
      <c r="K3280" s="1" t="str">
        <f>"2017-04-17 15:16:37"</f>
        <v>2017-04-17 15:16:37</v>
      </c>
      <c r="L3280" s="1" t="str">
        <f t="shared" si="332"/>
        <v>-</v>
      </c>
      <c r="M3280" s="2">
        <v>0</v>
      </c>
      <c r="N3280" s="1" t="s">
        <v>33</v>
      </c>
      <c r="O3280" s="1" t="s">
        <v>34</v>
      </c>
      <c r="P3280" s="2">
        <v>3.4722222222222222E-5</v>
      </c>
      <c r="Q3280" s="1" t="str">
        <f>""</f>
        <v/>
      </c>
      <c r="R3280" s="1">
        <v>0</v>
      </c>
      <c r="S3280" s="1" t="str">
        <f>""</f>
        <v/>
      </c>
      <c r="T3280" s="1" t="s">
        <v>29</v>
      </c>
      <c r="U3280" s="1" t="s">
        <v>30</v>
      </c>
      <c r="V3280" s="1">
        <v>0</v>
      </c>
    </row>
    <row r="3281" spans="2:22" x14ac:dyDescent="0.15">
      <c r="B3281" s="1" t="str">
        <f>"157****4678"</f>
        <v>157****4678</v>
      </c>
      <c r="C3281" s="1" t="s">
        <v>23</v>
      </c>
      <c r="D3281" s="1" t="str">
        <f t="shared" si="327"/>
        <v>89177328</v>
      </c>
      <c r="E3281" s="1" t="s">
        <v>24</v>
      </c>
      <c r="F3281" s="1" t="str">
        <f t="shared" si="328"/>
        <v>0010</v>
      </c>
      <c r="G3281" s="1" t="s">
        <v>24</v>
      </c>
      <c r="H3281" s="1" t="str">
        <f>"0035"</f>
        <v>0035</v>
      </c>
      <c r="I3281" s="1" t="s">
        <v>25</v>
      </c>
      <c r="J3281" s="1" t="str">
        <f>"01043977569"</f>
        <v>01043977569</v>
      </c>
      <c r="K3281" s="1" t="str">
        <f>"2017-04-17 15:14:02"</f>
        <v>2017-04-17 15:14:02</v>
      </c>
      <c r="L3281" s="1" t="str">
        <f t="shared" si="332"/>
        <v>-</v>
      </c>
      <c r="M3281" s="2">
        <v>0</v>
      </c>
      <c r="N3281" s="1" t="s">
        <v>33</v>
      </c>
      <c r="O3281" s="1" t="s">
        <v>34</v>
      </c>
      <c r="P3281" s="2">
        <v>6.9444444444444444E-5</v>
      </c>
      <c r="Q3281" s="1" t="str">
        <f>""</f>
        <v/>
      </c>
      <c r="R3281" s="1">
        <v>0</v>
      </c>
      <c r="S3281" s="1" t="str">
        <f>""</f>
        <v/>
      </c>
      <c r="T3281" s="1" t="s">
        <v>29</v>
      </c>
      <c r="U3281" s="1" t="s">
        <v>30</v>
      </c>
      <c r="V3281" s="1">
        <v>0</v>
      </c>
    </row>
    <row r="3282" spans="2:22" x14ac:dyDescent="0.15">
      <c r="B3282" s="1" t="str">
        <f>"183****4280"</f>
        <v>183****4280</v>
      </c>
      <c r="C3282" s="1" t="s">
        <v>23</v>
      </c>
      <c r="D3282" s="1" t="str">
        <f t="shared" si="327"/>
        <v>89177328</v>
      </c>
      <c r="E3282" s="1" t="s">
        <v>24</v>
      </c>
      <c r="F3282" s="1" t="str">
        <f t="shared" si="328"/>
        <v>0010</v>
      </c>
      <c r="G3282" s="1" t="s">
        <v>24</v>
      </c>
      <c r="H3282" s="1" t="str">
        <f>"0035"</f>
        <v>0035</v>
      </c>
      <c r="I3282" s="1" t="s">
        <v>25</v>
      </c>
      <c r="J3282" s="1" t="str">
        <f>"01043977569"</f>
        <v>01043977569</v>
      </c>
      <c r="K3282" s="1" t="str">
        <f>"2017-04-17 15:13:44"</f>
        <v>2017-04-17 15:13:44</v>
      </c>
      <c r="L3282" s="1" t="str">
        <f t="shared" si="332"/>
        <v>-</v>
      </c>
      <c r="M3282" s="2">
        <v>0</v>
      </c>
      <c r="N3282" s="1" t="s">
        <v>33</v>
      </c>
      <c r="O3282" s="1" t="s">
        <v>34</v>
      </c>
      <c r="P3282" s="2">
        <v>8.1018518518518516E-5</v>
      </c>
      <c r="Q3282" s="1" t="str">
        <f>""</f>
        <v/>
      </c>
      <c r="R3282" s="1">
        <v>0</v>
      </c>
      <c r="S3282" s="1" t="str">
        <f>""</f>
        <v/>
      </c>
      <c r="T3282" s="1" t="s">
        <v>29</v>
      </c>
      <c r="U3282" s="1" t="s">
        <v>30</v>
      </c>
      <c r="V3282" s="1">
        <v>0</v>
      </c>
    </row>
    <row r="3283" spans="2:22" x14ac:dyDescent="0.15">
      <c r="B3283" s="1" t="str">
        <f>"183****4280"</f>
        <v>183****4280</v>
      </c>
      <c r="C3283" s="1" t="s">
        <v>23</v>
      </c>
      <c r="D3283" s="1" t="str">
        <f t="shared" si="327"/>
        <v>89177328</v>
      </c>
      <c r="E3283" s="1" t="s">
        <v>24</v>
      </c>
      <c r="F3283" s="1" t="str">
        <f t="shared" si="328"/>
        <v>0010</v>
      </c>
      <c r="G3283" s="1" t="s">
        <v>24</v>
      </c>
      <c r="H3283" s="1" t="str">
        <f>"0018"</f>
        <v>0018</v>
      </c>
      <c r="I3283" s="1" t="s">
        <v>36</v>
      </c>
      <c r="J3283" s="1" t="str">
        <f>"01043977572"</f>
        <v>01043977572</v>
      </c>
      <c r="K3283" s="1" t="str">
        <f>"2017-04-17 15:10:10"</f>
        <v>2017-04-17 15:10:10</v>
      </c>
      <c r="L3283" s="1" t="str">
        <f t="shared" si="332"/>
        <v>-</v>
      </c>
      <c r="M3283" s="2">
        <v>0</v>
      </c>
      <c r="N3283" s="1" t="s">
        <v>33</v>
      </c>
      <c r="O3283" s="1" t="s">
        <v>34</v>
      </c>
      <c r="P3283" s="2">
        <v>6.9444444444444444E-5</v>
      </c>
      <c r="Q3283" s="1" t="str">
        <f>""</f>
        <v/>
      </c>
      <c r="R3283" s="1">
        <v>0</v>
      </c>
      <c r="S3283" s="1" t="str">
        <f>""</f>
        <v/>
      </c>
      <c r="T3283" s="1" t="s">
        <v>29</v>
      </c>
      <c r="U3283" s="1" t="s">
        <v>30</v>
      </c>
      <c r="V3283" s="1">
        <v>0</v>
      </c>
    </row>
    <row r="3284" spans="2:22" x14ac:dyDescent="0.15">
      <c r="B3284" s="1" t="str">
        <f>"183****4280"</f>
        <v>183****4280</v>
      </c>
      <c r="C3284" s="1" t="s">
        <v>23</v>
      </c>
      <c r="D3284" s="1" t="str">
        <f t="shared" si="327"/>
        <v>89177328</v>
      </c>
      <c r="E3284" s="1" t="s">
        <v>24</v>
      </c>
      <c r="F3284" s="1" t="str">
        <f t="shared" si="328"/>
        <v>0010</v>
      </c>
      <c r="G3284" s="1" t="s">
        <v>24</v>
      </c>
      <c r="H3284" s="1" t="str">
        <f>"0018"</f>
        <v>0018</v>
      </c>
      <c r="I3284" s="1" t="s">
        <v>36</v>
      </c>
      <c r="J3284" s="1" t="str">
        <f>"01043977572"</f>
        <v>01043977572</v>
      </c>
      <c r="K3284" s="1" t="str">
        <f>"2017-04-17 15:06:28"</f>
        <v>2017-04-17 15:06:28</v>
      </c>
      <c r="L3284" s="1" t="str">
        <f t="shared" si="332"/>
        <v>-</v>
      </c>
      <c r="M3284" s="2">
        <v>0</v>
      </c>
      <c r="N3284" s="1" t="s">
        <v>33</v>
      </c>
      <c r="O3284" s="1" t="s">
        <v>34</v>
      </c>
      <c r="P3284" s="2">
        <v>5.7870370370370366E-5</v>
      </c>
      <c r="Q3284" s="1" t="str">
        <f>""</f>
        <v/>
      </c>
      <c r="R3284" s="1">
        <v>0</v>
      </c>
      <c r="S3284" s="1" t="str">
        <f>""</f>
        <v/>
      </c>
      <c r="T3284" s="1" t="s">
        <v>29</v>
      </c>
      <c r="U3284" s="1" t="s">
        <v>30</v>
      </c>
      <c r="V3284" s="1">
        <v>0</v>
      </c>
    </row>
    <row r="3285" spans="2:22" x14ac:dyDescent="0.15">
      <c r="B3285" s="1" t="str">
        <f>"188****7867"</f>
        <v>188****7867</v>
      </c>
      <c r="C3285" s="1" t="s">
        <v>23</v>
      </c>
      <c r="D3285" s="1" t="str">
        <f t="shared" si="327"/>
        <v>89177328</v>
      </c>
      <c r="E3285" s="1" t="s">
        <v>24</v>
      </c>
      <c r="F3285" s="1" t="str">
        <f t="shared" si="328"/>
        <v>0010</v>
      </c>
      <c r="G3285" s="1" t="s">
        <v>24</v>
      </c>
      <c r="H3285" s="1" t="str">
        <f>""</f>
        <v/>
      </c>
      <c r="I3285" s="1" t="str">
        <f>""</f>
        <v/>
      </c>
      <c r="J3285" s="1" t="str">
        <f>""</f>
        <v/>
      </c>
      <c r="K3285" s="1" t="str">
        <f>"2017-04-17 15:05:32"</f>
        <v>2017-04-17 15:05:32</v>
      </c>
      <c r="L3285" s="1" t="str">
        <f t="shared" si="332"/>
        <v>-</v>
      </c>
      <c r="M3285" s="2">
        <v>0</v>
      </c>
      <c r="N3285" s="1" t="s">
        <v>55</v>
      </c>
      <c r="O3285" s="1" t="s">
        <v>27</v>
      </c>
      <c r="P3285" s="2">
        <v>5.7870370370370366E-5</v>
      </c>
      <c r="Q3285" s="1" t="str">
        <f>""</f>
        <v/>
      </c>
      <c r="R3285" s="1">
        <v>0</v>
      </c>
      <c r="S3285" s="1" t="str">
        <f>""</f>
        <v/>
      </c>
      <c r="T3285" s="1" t="s">
        <v>29</v>
      </c>
      <c r="U3285" s="1" t="s">
        <v>30</v>
      </c>
      <c r="V3285" s="1">
        <v>0</v>
      </c>
    </row>
    <row r="3286" spans="2:22" x14ac:dyDescent="0.15">
      <c r="B3286" s="1" t="str">
        <f>"136****8903"</f>
        <v>136****8903</v>
      </c>
      <c r="C3286" s="1" t="s">
        <v>23</v>
      </c>
      <c r="D3286" s="1" t="str">
        <f t="shared" si="327"/>
        <v>89177328</v>
      </c>
      <c r="E3286" s="1" t="s">
        <v>24</v>
      </c>
      <c r="F3286" s="1" t="str">
        <f t="shared" si="328"/>
        <v>0010</v>
      </c>
      <c r="G3286" s="1" t="s">
        <v>24</v>
      </c>
      <c r="H3286" s="1" t="str">
        <f>"0035"</f>
        <v>0035</v>
      </c>
      <c r="I3286" s="1" t="s">
        <v>25</v>
      </c>
      <c r="J3286" s="1" t="str">
        <f>"01043977569"</f>
        <v>01043977569</v>
      </c>
      <c r="K3286" s="1" t="str">
        <f>"2017-04-17 15:05:14"</f>
        <v>2017-04-17 15:05:14</v>
      </c>
      <c r="L3286" s="1" t="str">
        <f>"2017-04-17 15:05:28"</f>
        <v>2017-04-17 15:05:28</v>
      </c>
      <c r="M3286" s="2">
        <v>4.8726851851851856E-3</v>
      </c>
      <c r="N3286" s="1" t="s">
        <v>26</v>
      </c>
      <c r="O3286" s="1" t="s">
        <v>27</v>
      </c>
      <c r="P3286" s="2">
        <v>5.0347222222222225E-3</v>
      </c>
      <c r="Q3286" s="1" t="s">
        <v>2362</v>
      </c>
      <c r="R3286" s="1">
        <v>0</v>
      </c>
      <c r="S3286" s="1" t="str">
        <f>""</f>
        <v/>
      </c>
      <c r="T3286" s="1" t="s">
        <v>29</v>
      </c>
      <c r="U3286" s="1" t="s">
        <v>30</v>
      </c>
      <c r="V3286" s="1">
        <v>0</v>
      </c>
    </row>
    <row r="3287" spans="2:22" x14ac:dyDescent="0.15">
      <c r="B3287" s="1" t="str">
        <f>"139****2936"</f>
        <v>139****2936</v>
      </c>
      <c r="C3287" s="1" t="s">
        <v>23</v>
      </c>
      <c r="D3287" s="1" t="str">
        <f t="shared" si="327"/>
        <v>89177328</v>
      </c>
      <c r="E3287" s="1" t="s">
        <v>24</v>
      </c>
      <c r="F3287" s="1" t="str">
        <f t="shared" si="328"/>
        <v>0010</v>
      </c>
      <c r="G3287" s="1" t="s">
        <v>24</v>
      </c>
      <c r="H3287" s="1" t="str">
        <f>"0017"</f>
        <v>0017</v>
      </c>
      <c r="I3287" s="1" t="s">
        <v>135</v>
      </c>
      <c r="J3287" s="1" t="str">
        <f>"01043989717"</f>
        <v>01043989717</v>
      </c>
      <c r="K3287" s="1" t="str">
        <f>"2017-04-17 15:03:30"</f>
        <v>2017-04-17 15:03:30</v>
      </c>
      <c r="L3287" s="1" t="str">
        <f>"2017-04-17 15:03:41"</f>
        <v>2017-04-17 15:03:41</v>
      </c>
      <c r="M3287" s="2">
        <v>3.8657407407407408E-3</v>
      </c>
      <c r="N3287" s="1" t="s">
        <v>26</v>
      </c>
      <c r="O3287" s="1" t="s">
        <v>27</v>
      </c>
      <c r="P3287" s="2">
        <v>3.9930555555555561E-3</v>
      </c>
      <c r="Q3287" s="1" t="s">
        <v>2363</v>
      </c>
      <c r="R3287" s="1">
        <v>0</v>
      </c>
      <c r="S3287" s="1" t="str">
        <f>""</f>
        <v/>
      </c>
      <c r="T3287" s="1" t="s">
        <v>29</v>
      </c>
      <c r="U3287" s="1" t="s">
        <v>30</v>
      </c>
      <c r="V3287" s="1">
        <v>0</v>
      </c>
    </row>
    <row r="3288" spans="2:22" x14ac:dyDescent="0.15">
      <c r="B3288" s="1" t="str">
        <f>"136****8903"</f>
        <v>136****8903</v>
      </c>
      <c r="C3288" s="1" t="s">
        <v>23</v>
      </c>
      <c r="D3288" s="1" t="str">
        <f t="shared" si="327"/>
        <v>89177328</v>
      </c>
      <c r="E3288" s="1" t="s">
        <v>24</v>
      </c>
      <c r="F3288" s="1" t="str">
        <f t="shared" si="328"/>
        <v>0010</v>
      </c>
      <c r="G3288" s="1" t="s">
        <v>24</v>
      </c>
      <c r="H3288" s="1" t="str">
        <f>"0017"</f>
        <v>0017</v>
      </c>
      <c r="I3288" s="1" t="s">
        <v>135</v>
      </c>
      <c r="J3288" s="1" t="str">
        <f>"01043989717"</f>
        <v>01043989717</v>
      </c>
      <c r="K3288" s="1" t="str">
        <f>"2017-04-17 15:00:17"</f>
        <v>2017-04-17 15:00:17</v>
      </c>
      <c r="L3288" s="1" t="str">
        <f>"-"</f>
        <v>-</v>
      </c>
      <c r="M3288" s="2">
        <v>0</v>
      </c>
      <c r="N3288" s="1" t="s">
        <v>33</v>
      </c>
      <c r="O3288" s="1" t="s">
        <v>34</v>
      </c>
      <c r="P3288" s="2">
        <v>9.2592592592592588E-5</v>
      </c>
      <c r="Q3288" s="1" t="str">
        <f>""</f>
        <v/>
      </c>
      <c r="R3288" s="1">
        <v>0</v>
      </c>
      <c r="S3288" s="1" t="str">
        <f>""</f>
        <v/>
      </c>
      <c r="T3288" s="1" t="s">
        <v>29</v>
      </c>
      <c r="U3288" s="1" t="s">
        <v>30</v>
      </c>
      <c r="V3288" s="1">
        <v>0</v>
      </c>
    </row>
    <row r="3289" spans="2:22" x14ac:dyDescent="0.15">
      <c r="B3289" s="1" t="str">
        <f>"138****2005"</f>
        <v>138****2005</v>
      </c>
      <c r="C3289" s="1" t="s">
        <v>785</v>
      </c>
      <c r="D3289" s="1" t="str">
        <f>"4000108333"</f>
        <v>4000108333</v>
      </c>
      <c r="E3289" s="1" t="s">
        <v>53</v>
      </c>
      <c r="F3289" s="1" t="str">
        <f>"0000"</f>
        <v>0000</v>
      </c>
      <c r="G3289" s="1" t="s">
        <v>53</v>
      </c>
      <c r="H3289" s="1" t="str">
        <f>"1010"</f>
        <v>1010</v>
      </c>
      <c r="I3289" s="1" t="s">
        <v>148</v>
      </c>
      <c r="J3289" s="1" t="str">
        <f>"13718091869"</f>
        <v>13718091869</v>
      </c>
      <c r="K3289" s="1" t="str">
        <f>"2017-04-17 14:59:20"</f>
        <v>2017-04-17 14:59:20</v>
      </c>
      <c r="L3289" s="1" t="str">
        <f>"2017-04-17 15:00:02"</f>
        <v>2017-04-17 15:00:02</v>
      </c>
      <c r="M3289" s="2">
        <v>1.0069444444444444E-3</v>
      </c>
      <c r="N3289" s="1" t="s">
        <v>26</v>
      </c>
      <c r="O3289" s="1" t="s">
        <v>34</v>
      </c>
      <c r="P3289" s="2">
        <v>1.4930555555555556E-3</v>
      </c>
      <c r="Q3289" s="1" t="s">
        <v>2364</v>
      </c>
      <c r="R3289" s="1">
        <v>0.36</v>
      </c>
      <c r="S3289" s="1" t="str">
        <f>""</f>
        <v/>
      </c>
      <c r="T3289" s="1" t="s">
        <v>29</v>
      </c>
      <c r="U3289" s="1" t="s">
        <v>30</v>
      </c>
      <c r="V3289" s="1">
        <v>0</v>
      </c>
    </row>
    <row r="3290" spans="2:22" x14ac:dyDescent="0.15">
      <c r="B3290" s="1" t="str">
        <f>"186****1818"</f>
        <v>186****1818</v>
      </c>
      <c r="C3290" s="1" t="s">
        <v>23</v>
      </c>
      <c r="D3290" s="1" t="str">
        <f t="shared" ref="D3290:D3308" si="333">"89177328"</f>
        <v>89177328</v>
      </c>
      <c r="E3290" s="1" t="s">
        <v>24</v>
      </c>
      <c r="F3290" s="1" t="str">
        <f t="shared" ref="F3290:F3308" si="334">"0010"</f>
        <v>0010</v>
      </c>
      <c r="G3290" s="1" t="s">
        <v>24</v>
      </c>
      <c r="H3290" s="1" t="str">
        <f>"0033"</f>
        <v>0033</v>
      </c>
      <c r="I3290" s="1" t="s">
        <v>106</v>
      </c>
      <c r="J3290" s="1" t="str">
        <f>"01043977567"</f>
        <v>01043977567</v>
      </c>
      <c r="K3290" s="1" t="str">
        <f>"2017-04-17 14:50:48"</f>
        <v>2017-04-17 14:50:48</v>
      </c>
      <c r="L3290" s="1" t="str">
        <f>"2017-04-17 14:50:58"</f>
        <v>2017-04-17 14:50:58</v>
      </c>
      <c r="M3290" s="2">
        <v>2.1261574074074075E-2</v>
      </c>
      <c r="N3290" s="1" t="s">
        <v>26</v>
      </c>
      <c r="O3290" s="1" t="s">
        <v>27</v>
      </c>
      <c r="P3290" s="2">
        <v>2.1377314814814818E-2</v>
      </c>
      <c r="Q3290" s="1" t="s">
        <v>2365</v>
      </c>
      <c r="R3290" s="1">
        <v>0</v>
      </c>
      <c r="S3290" s="1" t="str">
        <f>""</f>
        <v/>
      </c>
      <c r="T3290" s="1" t="s">
        <v>29</v>
      </c>
      <c r="U3290" s="1" t="s">
        <v>30</v>
      </c>
      <c r="V3290" s="1">
        <v>0</v>
      </c>
    </row>
    <row r="3291" spans="2:22" x14ac:dyDescent="0.15">
      <c r="B3291" s="1" t="str">
        <f>"177****3555"</f>
        <v>177****3555</v>
      </c>
      <c r="C3291" s="1" t="s">
        <v>188</v>
      </c>
      <c r="D3291" s="1" t="str">
        <f t="shared" si="333"/>
        <v>89177328</v>
      </c>
      <c r="E3291" s="1" t="s">
        <v>24</v>
      </c>
      <c r="F3291" s="1" t="str">
        <f t="shared" si="334"/>
        <v>0010</v>
      </c>
      <c r="G3291" s="1" t="s">
        <v>24</v>
      </c>
      <c r="H3291" s="1" t="str">
        <f>"0033"</f>
        <v>0033</v>
      </c>
      <c r="I3291" s="1" t="s">
        <v>106</v>
      </c>
      <c r="J3291" s="1" t="str">
        <f>"01043977567"</f>
        <v>01043977567</v>
      </c>
      <c r="K3291" s="1" t="str">
        <f>"2017-04-17 14:38:25"</f>
        <v>2017-04-17 14:38:25</v>
      </c>
      <c r="L3291" s="1" t="str">
        <f>"2017-04-17 14:38:35"</f>
        <v>2017-04-17 14:38:35</v>
      </c>
      <c r="M3291" s="2">
        <v>2.3148148148148147E-5</v>
      </c>
      <c r="N3291" s="1" t="s">
        <v>26</v>
      </c>
      <c r="O3291" s="1" t="s">
        <v>34</v>
      </c>
      <c r="P3291" s="2">
        <v>1.3888888888888889E-4</v>
      </c>
      <c r="Q3291" s="1" t="str">
        <f>""</f>
        <v/>
      </c>
      <c r="R3291" s="1">
        <v>0</v>
      </c>
      <c r="S3291" s="1" t="str">
        <f>""</f>
        <v/>
      </c>
      <c r="T3291" s="1" t="s">
        <v>29</v>
      </c>
      <c r="U3291" s="1" t="s">
        <v>30</v>
      </c>
      <c r="V3291" s="1">
        <v>0</v>
      </c>
    </row>
    <row r="3292" spans="2:22" x14ac:dyDescent="0.15">
      <c r="B3292" s="1" t="str">
        <f>"138****2670"</f>
        <v>138****2670</v>
      </c>
      <c r="C3292" s="1" t="s">
        <v>99</v>
      </c>
      <c r="D3292" s="1" t="str">
        <f t="shared" si="333"/>
        <v>89177328</v>
      </c>
      <c r="E3292" s="1" t="s">
        <v>24</v>
      </c>
      <c r="F3292" s="1" t="str">
        <f t="shared" si="334"/>
        <v>0010</v>
      </c>
      <c r="G3292" s="1" t="s">
        <v>24</v>
      </c>
      <c r="H3292" s="1" t="str">
        <f>"0018"</f>
        <v>0018</v>
      </c>
      <c r="I3292" s="1" t="s">
        <v>36</v>
      </c>
      <c r="J3292" s="1" t="str">
        <f>"01043977572"</f>
        <v>01043977572</v>
      </c>
      <c r="K3292" s="1" t="str">
        <f>"2017-04-17 13:56:59"</f>
        <v>2017-04-17 13:56:59</v>
      </c>
      <c r="L3292" s="1" t="str">
        <f>"2017-04-17 13:57:09"</f>
        <v>2017-04-17 13:57:09</v>
      </c>
      <c r="M3292" s="2">
        <v>8.1828703703703699E-3</v>
      </c>
      <c r="N3292" s="1" t="s">
        <v>26</v>
      </c>
      <c r="O3292" s="1" t="s">
        <v>34</v>
      </c>
      <c r="P3292" s="2">
        <v>8.2986111111111108E-3</v>
      </c>
      <c r="Q3292" s="1" t="s">
        <v>2366</v>
      </c>
      <c r="R3292" s="1">
        <v>0</v>
      </c>
      <c r="S3292" s="1" t="str">
        <f>""</f>
        <v/>
      </c>
      <c r="T3292" s="1" t="s">
        <v>29</v>
      </c>
      <c r="U3292" s="1" t="s">
        <v>30</v>
      </c>
      <c r="V3292" s="1">
        <v>0</v>
      </c>
    </row>
    <row r="3293" spans="2:22" x14ac:dyDescent="0.15">
      <c r="B3293" s="1" t="str">
        <f>"153****0087"</f>
        <v>153****0087</v>
      </c>
      <c r="C3293" s="1" t="s">
        <v>23</v>
      </c>
      <c r="D3293" s="1" t="str">
        <f t="shared" si="333"/>
        <v>89177328</v>
      </c>
      <c r="E3293" s="1" t="s">
        <v>24</v>
      </c>
      <c r="F3293" s="1" t="str">
        <f t="shared" si="334"/>
        <v>0010</v>
      </c>
      <c r="G3293" s="1" t="s">
        <v>24</v>
      </c>
      <c r="H3293" s="1" t="str">
        <f>""</f>
        <v/>
      </c>
      <c r="I3293" s="1" t="str">
        <f>""</f>
        <v/>
      </c>
      <c r="J3293" s="1" t="str">
        <f>""</f>
        <v/>
      </c>
      <c r="K3293" s="1" t="str">
        <f>"2017-04-17 13:44:42"</f>
        <v>2017-04-17 13:44:42</v>
      </c>
      <c r="L3293" s="1" t="str">
        <f>"-"</f>
        <v>-</v>
      </c>
      <c r="M3293" s="2">
        <v>0</v>
      </c>
      <c r="N3293" s="1" t="s">
        <v>55</v>
      </c>
      <c r="O3293" s="1" t="s">
        <v>27</v>
      </c>
      <c r="P3293" s="2">
        <v>4.6296296296296294E-5</v>
      </c>
      <c r="Q3293" s="1" t="str">
        <f>""</f>
        <v/>
      </c>
      <c r="R3293" s="1">
        <v>0</v>
      </c>
      <c r="S3293" s="1" t="str">
        <f>""</f>
        <v/>
      </c>
      <c r="T3293" s="1" t="s">
        <v>29</v>
      </c>
      <c r="U3293" s="1" t="s">
        <v>30</v>
      </c>
      <c r="V3293" s="1">
        <v>0</v>
      </c>
    </row>
    <row r="3294" spans="2:22" x14ac:dyDescent="0.15">
      <c r="B3294" s="1" t="str">
        <f>"183****7860"</f>
        <v>183****7860</v>
      </c>
      <c r="C3294" s="1" t="s">
        <v>2229</v>
      </c>
      <c r="D3294" s="1" t="str">
        <f t="shared" si="333"/>
        <v>89177328</v>
      </c>
      <c r="E3294" s="1" t="s">
        <v>24</v>
      </c>
      <c r="F3294" s="1" t="str">
        <f t="shared" si="334"/>
        <v>0010</v>
      </c>
      <c r="G3294" s="1" t="s">
        <v>24</v>
      </c>
      <c r="H3294" s="1" t="str">
        <f>"0018"</f>
        <v>0018</v>
      </c>
      <c r="I3294" s="1" t="s">
        <v>36</v>
      </c>
      <c r="J3294" s="1" t="str">
        <f>"01043977572"</f>
        <v>01043977572</v>
      </c>
      <c r="K3294" s="1" t="str">
        <f>"2017-04-17 13:38:30"</f>
        <v>2017-04-17 13:38:30</v>
      </c>
      <c r="L3294" s="1" t="str">
        <f>"2017-04-17 13:38:41"</f>
        <v>2017-04-17 13:38:41</v>
      </c>
      <c r="M3294" s="2">
        <v>5.9722222222222225E-3</v>
      </c>
      <c r="N3294" s="1" t="s">
        <v>26</v>
      </c>
      <c r="O3294" s="1" t="s">
        <v>34</v>
      </c>
      <c r="P3294" s="2">
        <v>6.0995370370370361E-3</v>
      </c>
      <c r="Q3294" s="1" t="s">
        <v>2367</v>
      </c>
      <c r="R3294" s="1">
        <v>0</v>
      </c>
      <c r="S3294" s="1" t="str">
        <f>""</f>
        <v/>
      </c>
      <c r="T3294" s="1" t="s">
        <v>29</v>
      </c>
      <c r="U3294" s="1" t="s">
        <v>30</v>
      </c>
      <c r="V3294" s="1">
        <v>0</v>
      </c>
    </row>
    <row r="3295" spans="2:22" x14ac:dyDescent="0.15">
      <c r="B3295" s="1" t="str">
        <f>"134****8816"</f>
        <v>134****8816</v>
      </c>
      <c r="C3295" s="1" t="s">
        <v>23</v>
      </c>
      <c r="D3295" s="1" t="str">
        <f t="shared" si="333"/>
        <v>89177328</v>
      </c>
      <c r="E3295" s="1" t="s">
        <v>24</v>
      </c>
      <c r="F3295" s="1" t="str">
        <f t="shared" si="334"/>
        <v>0010</v>
      </c>
      <c r="G3295" s="1" t="s">
        <v>24</v>
      </c>
      <c r="H3295" s="1" t="str">
        <f>"0035"</f>
        <v>0035</v>
      </c>
      <c r="I3295" s="1" t="s">
        <v>25</v>
      </c>
      <c r="J3295" s="1" t="str">
        <f>"01043977569"</f>
        <v>01043977569</v>
      </c>
      <c r="K3295" s="1" t="str">
        <f>"2017-04-17 13:27:28"</f>
        <v>2017-04-17 13:27:28</v>
      </c>
      <c r="L3295" s="1" t="str">
        <f>"2017-04-17 13:27:37"</f>
        <v>2017-04-17 13:27:37</v>
      </c>
      <c r="M3295" s="2">
        <v>1.4745370370370372E-2</v>
      </c>
      <c r="N3295" s="1" t="s">
        <v>26</v>
      </c>
      <c r="O3295" s="1" t="s">
        <v>27</v>
      </c>
      <c r="P3295" s="2">
        <v>1.4849537037037036E-2</v>
      </c>
      <c r="Q3295" s="1" t="s">
        <v>2368</v>
      </c>
      <c r="R3295" s="1">
        <v>0</v>
      </c>
      <c r="S3295" s="1" t="str">
        <f>""</f>
        <v/>
      </c>
      <c r="T3295" s="1" t="s">
        <v>29</v>
      </c>
      <c r="U3295" s="1" t="s">
        <v>30</v>
      </c>
      <c r="V3295" s="1">
        <v>0</v>
      </c>
    </row>
    <row r="3296" spans="2:22" x14ac:dyDescent="0.15">
      <c r="B3296" s="1" t="str">
        <f>"188****9894"</f>
        <v>188****9894</v>
      </c>
      <c r="C3296" s="1" t="s">
        <v>23</v>
      </c>
      <c r="D3296" s="1" t="str">
        <f t="shared" si="333"/>
        <v>89177328</v>
      </c>
      <c r="E3296" s="1" t="s">
        <v>24</v>
      </c>
      <c r="F3296" s="1" t="str">
        <f t="shared" si="334"/>
        <v>0010</v>
      </c>
      <c r="G3296" s="1" t="s">
        <v>24</v>
      </c>
      <c r="H3296" s="1" t="str">
        <f>"0018"</f>
        <v>0018</v>
      </c>
      <c r="I3296" s="1" t="s">
        <v>36</v>
      </c>
      <c r="J3296" s="1" t="str">
        <f>"01043977572"</f>
        <v>01043977572</v>
      </c>
      <c r="K3296" s="1" t="str">
        <f>"2017-04-17 13:14:56"</f>
        <v>2017-04-17 13:14:56</v>
      </c>
      <c r="L3296" s="1" t="str">
        <f>"2017-04-17 13:15:08"</f>
        <v>2017-04-17 13:15:08</v>
      </c>
      <c r="M3296" s="2">
        <v>9.1203703703703707E-3</v>
      </c>
      <c r="N3296" s="1" t="s">
        <v>26</v>
      </c>
      <c r="O3296" s="1" t="s">
        <v>34</v>
      </c>
      <c r="P3296" s="2">
        <v>9.2592592592592605E-3</v>
      </c>
      <c r="Q3296" s="1" t="s">
        <v>2369</v>
      </c>
      <c r="R3296" s="1">
        <v>0</v>
      </c>
      <c r="S3296" s="1" t="str">
        <f>""</f>
        <v/>
      </c>
      <c r="T3296" s="1" t="s">
        <v>29</v>
      </c>
      <c r="U3296" s="1" t="s">
        <v>30</v>
      </c>
      <c r="V3296" s="1">
        <v>0</v>
      </c>
    </row>
    <row r="3297" spans="2:22" x14ac:dyDescent="0.15">
      <c r="B3297" s="1" t="str">
        <f>"010****8457"</f>
        <v>010****8457</v>
      </c>
      <c r="C3297" s="1" t="s">
        <v>23</v>
      </c>
      <c r="D3297" s="1" t="str">
        <f t="shared" si="333"/>
        <v>89177328</v>
      </c>
      <c r="E3297" s="1" t="s">
        <v>24</v>
      </c>
      <c r="F3297" s="1" t="str">
        <f t="shared" si="334"/>
        <v>0010</v>
      </c>
      <c r="G3297" s="1" t="s">
        <v>24</v>
      </c>
      <c r="H3297" s="1" t="str">
        <f>"0018"</f>
        <v>0018</v>
      </c>
      <c r="I3297" s="1" t="s">
        <v>36</v>
      </c>
      <c r="J3297" s="1" t="str">
        <f>"01043977572"</f>
        <v>01043977572</v>
      </c>
      <c r="K3297" s="1" t="str">
        <f>"2017-04-17 12:58:55"</f>
        <v>2017-04-17 12:58:55</v>
      </c>
      <c r="L3297" s="1" t="str">
        <f>"2017-04-17 12:59:06"</f>
        <v>2017-04-17 12:59:06</v>
      </c>
      <c r="M3297" s="2">
        <v>4.6180555555555558E-3</v>
      </c>
      <c r="N3297" s="1" t="s">
        <v>26</v>
      </c>
      <c r="O3297" s="1" t="s">
        <v>34</v>
      </c>
      <c r="P3297" s="2">
        <v>4.7453703703703703E-3</v>
      </c>
      <c r="Q3297" s="1" t="s">
        <v>2370</v>
      </c>
      <c r="R3297" s="1">
        <v>0</v>
      </c>
      <c r="S3297" s="1" t="str">
        <f>""</f>
        <v/>
      </c>
      <c r="T3297" s="1" t="s">
        <v>29</v>
      </c>
      <c r="U3297" s="1" t="s">
        <v>30</v>
      </c>
      <c r="V3297" s="1">
        <v>0</v>
      </c>
    </row>
    <row r="3298" spans="2:22" x14ac:dyDescent="0.15">
      <c r="B3298" s="1" t="str">
        <f>"139****2142"</f>
        <v>139****2142</v>
      </c>
      <c r="C3298" s="1" t="s">
        <v>23</v>
      </c>
      <c r="D3298" s="1" t="str">
        <f t="shared" si="333"/>
        <v>89177328</v>
      </c>
      <c r="E3298" s="1" t="s">
        <v>24</v>
      </c>
      <c r="F3298" s="1" t="str">
        <f t="shared" si="334"/>
        <v>0010</v>
      </c>
      <c r="G3298" s="1" t="s">
        <v>24</v>
      </c>
      <c r="H3298" s="1" t="str">
        <f>"0017"</f>
        <v>0017</v>
      </c>
      <c r="I3298" s="1" t="s">
        <v>135</v>
      </c>
      <c r="J3298" s="1" t="str">
        <f>"01043989717"</f>
        <v>01043989717</v>
      </c>
      <c r="K3298" s="1" t="str">
        <f>"2017-04-17 11:58:25"</f>
        <v>2017-04-17 11:58:25</v>
      </c>
      <c r="L3298" s="1" t="str">
        <f>"2017-04-17 11:58:35"</f>
        <v>2017-04-17 11:58:35</v>
      </c>
      <c r="M3298" s="2">
        <v>1.6087962962962963E-3</v>
      </c>
      <c r="N3298" s="1" t="s">
        <v>26</v>
      </c>
      <c r="O3298" s="1" t="s">
        <v>27</v>
      </c>
      <c r="P3298" s="2">
        <v>1.7245370370370372E-3</v>
      </c>
      <c r="Q3298" s="1" t="s">
        <v>2371</v>
      </c>
      <c r="R3298" s="1">
        <v>0</v>
      </c>
      <c r="S3298" s="1" t="str">
        <f>""</f>
        <v/>
      </c>
      <c r="T3298" s="1" t="s">
        <v>29</v>
      </c>
      <c r="U3298" s="1" t="s">
        <v>30</v>
      </c>
      <c r="V3298" s="1">
        <v>0</v>
      </c>
    </row>
    <row r="3299" spans="2:22" x14ac:dyDescent="0.15">
      <c r="B3299" s="1" t="str">
        <f>"010****7918"</f>
        <v>010****7918</v>
      </c>
      <c r="C3299" s="1" t="s">
        <v>23</v>
      </c>
      <c r="D3299" s="1" t="str">
        <f t="shared" si="333"/>
        <v>89177328</v>
      </c>
      <c r="E3299" s="1" t="s">
        <v>24</v>
      </c>
      <c r="F3299" s="1" t="str">
        <f t="shared" si="334"/>
        <v>0010</v>
      </c>
      <c r="G3299" s="1" t="s">
        <v>24</v>
      </c>
      <c r="H3299" s="1" t="str">
        <f>"0017"</f>
        <v>0017</v>
      </c>
      <c r="I3299" s="1" t="s">
        <v>135</v>
      </c>
      <c r="J3299" s="1" t="str">
        <f>"01043989717"</f>
        <v>01043989717</v>
      </c>
      <c r="K3299" s="1" t="str">
        <f>"2017-04-17 11:40:35"</f>
        <v>2017-04-17 11:40:35</v>
      </c>
      <c r="L3299" s="1" t="str">
        <f>"2017-04-17 11:40:42"</f>
        <v>2017-04-17 11:40:42</v>
      </c>
      <c r="M3299" s="2">
        <v>5.162037037037037E-3</v>
      </c>
      <c r="N3299" s="1" t="s">
        <v>26</v>
      </c>
      <c r="O3299" s="1" t="s">
        <v>27</v>
      </c>
      <c r="P3299" s="2">
        <v>5.2430555555555555E-3</v>
      </c>
      <c r="Q3299" s="1" t="s">
        <v>2372</v>
      </c>
      <c r="R3299" s="1">
        <v>0</v>
      </c>
      <c r="S3299" s="1" t="str">
        <f>""</f>
        <v/>
      </c>
      <c r="T3299" s="1" t="s">
        <v>29</v>
      </c>
      <c r="U3299" s="1" t="s">
        <v>30</v>
      </c>
      <c r="V3299" s="1">
        <v>0</v>
      </c>
    </row>
    <row r="3300" spans="2:22" x14ac:dyDescent="0.15">
      <c r="B3300" s="1" t="str">
        <f>"134****2131"</f>
        <v>134****2131</v>
      </c>
      <c r="C3300" s="1" t="s">
        <v>200</v>
      </c>
      <c r="D3300" s="1" t="str">
        <f t="shared" si="333"/>
        <v>89177328</v>
      </c>
      <c r="E3300" s="1" t="s">
        <v>24</v>
      </c>
      <c r="F3300" s="1" t="str">
        <f t="shared" si="334"/>
        <v>0010</v>
      </c>
      <c r="G3300" s="1" t="s">
        <v>24</v>
      </c>
      <c r="H3300" s="1" t="str">
        <f>"0035"</f>
        <v>0035</v>
      </c>
      <c r="I3300" s="1" t="s">
        <v>25</v>
      </c>
      <c r="J3300" s="1" t="str">
        <f>"01043977569"</f>
        <v>01043977569</v>
      </c>
      <c r="K3300" s="1" t="str">
        <f>"2017-04-17 11:39:28"</f>
        <v>2017-04-17 11:39:28</v>
      </c>
      <c r="L3300" s="1" t="str">
        <f>"2017-04-17 11:39:38"</f>
        <v>2017-04-17 11:39:38</v>
      </c>
      <c r="M3300" s="2">
        <v>1.2604166666666666E-2</v>
      </c>
      <c r="N3300" s="1" t="s">
        <v>26</v>
      </c>
      <c r="O3300" s="1" t="s">
        <v>27</v>
      </c>
      <c r="P3300" s="2">
        <v>1.2719907407407407E-2</v>
      </c>
      <c r="Q3300" s="1" t="s">
        <v>2373</v>
      </c>
      <c r="R3300" s="1">
        <v>0</v>
      </c>
      <c r="S3300" s="1" t="str">
        <f>""</f>
        <v/>
      </c>
      <c r="T3300" s="1" t="s">
        <v>29</v>
      </c>
      <c r="U3300" s="1" t="s">
        <v>30</v>
      </c>
      <c r="V3300" s="1">
        <v>0</v>
      </c>
    </row>
    <row r="3301" spans="2:22" x14ac:dyDescent="0.15">
      <c r="B3301" s="1" t="str">
        <f>"138****8005"</f>
        <v>138****8005</v>
      </c>
      <c r="C3301" s="1" t="s">
        <v>23</v>
      </c>
      <c r="D3301" s="1" t="str">
        <f t="shared" si="333"/>
        <v>89177328</v>
      </c>
      <c r="E3301" s="1" t="s">
        <v>24</v>
      </c>
      <c r="F3301" s="1" t="str">
        <f t="shared" si="334"/>
        <v>0010</v>
      </c>
      <c r="G3301" s="1" t="s">
        <v>24</v>
      </c>
      <c r="H3301" s="1" t="str">
        <f>"0034"</f>
        <v>0034</v>
      </c>
      <c r="I3301" s="1" t="s">
        <v>31</v>
      </c>
      <c r="J3301" s="1" t="str">
        <f>"01043977568"</f>
        <v>01043977568</v>
      </c>
      <c r="K3301" s="1" t="str">
        <f>"2017-04-17 11:36:04"</f>
        <v>2017-04-17 11:36:04</v>
      </c>
      <c r="L3301" s="1" t="str">
        <f>"2017-04-17 11:36:14"</f>
        <v>2017-04-17 11:36:14</v>
      </c>
      <c r="M3301" s="2">
        <v>3.1249999999999997E-3</v>
      </c>
      <c r="N3301" s="1" t="s">
        <v>26</v>
      </c>
      <c r="O3301" s="1" t="s">
        <v>34</v>
      </c>
      <c r="P3301" s="2">
        <v>3.2407407407407406E-3</v>
      </c>
      <c r="Q3301" s="1" t="s">
        <v>2374</v>
      </c>
      <c r="R3301" s="1">
        <v>0</v>
      </c>
      <c r="S3301" s="1" t="str">
        <f>""</f>
        <v/>
      </c>
      <c r="T3301" s="1" t="s">
        <v>29</v>
      </c>
      <c r="U3301" s="1" t="s">
        <v>30</v>
      </c>
      <c r="V3301" s="1">
        <v>0</v>
      </c>
    </row>
    <row r="3302" spans="2:22" x14ac:dyDescent="0.15">
      <c r="B3302" s="1" t="str">
        <f>"134****6499"</f>
        <v>134****6499</v>
      </c>
      <c r="C3302" s="1" t="s">
        <v>23</v>
      </c>
      <c r="D3302" s="1" t="str">
        <f t="shared" si="333"/>
        <v>89177328</v>
      </c>
      <c r="E3302" s="1" t="s">
        <v>24</v>
      </c>
      <c r="F3302" s="1" t="str">
        <f t="shared" si="334"/>
        <v>0010</v>
      </c>
      <c r="G3302" s="1" t="s">
        <v>24</v>
      </c>
      <c r="H3302" s="1" t="str">
        <f>"0032"</f>
        <v>0032</v>
      </c>
      <c r="I3302" s="1" t="s">
        <v>119</v>
      </c>
      <c r="J3302" s="1" t="str">
        <f>"01043977566"</f>
        <v>01043977566</v>
      </c>
      <c r="K3302" s="1" t="str">
        <f>"2017-04-17 11:31:36"</f>
        <v>2017-04-17 11:31:36</v>
      </c>
      <c r="L3302" s="1" t="str">
        <f>"2017-04-17 11:31:51"</f>
        <v>2017-04-17 11:31:51</v>
      </c>
      <c r="M3302" s="2">
        <v>8.7499999999999991E-3</v>
      </c>
      <c r="N3302" s="1" t="s">
        <v>26</v>
      </c>
      <c r="O3302" s="1" t="s">
        <v>34</v>
      </c>
      <c r="P3302" s="2">
        <v>8.9236111111111113E-3</v>
      </c>
      <c r="Q3302" s="1" t="s">
        <v>2375</v>
      </c>
      <c r="R3302" s="1">
        <v>0</v>
      </c>
      <c r="S3302" s="1" t="str">
        <f>""</f>
        <v/>
      </c>
      <c r="T3302" s="1" t="s">
        <v>29</v>
      </c>
      <c r="U3302" s="1" t="s">
        <v>30</v>
      </c>
      <c r="V3302" s="1">
        <v>0</v>
      </c>
    </row>
    <row r="3303" spans="2:22" x14ac:dyDescent="0.15">
      <c r="B3303" s="1" t="str">
        <f>"183****8163"</f>
        <v>183****8163</v>
      </c>
      <c r="C3303" s="1" t="s">
        <v>23</v>
      </c>
      <c r="D3303" s="1" t="str">
        <f t="shared" si="333"/>
        <v>89177328</v>
      </c>
      <c r="E3303" s="1" t="s">
        <v>24</v>
      </c>
      <c r="F3303" s="1" t="str">
        <f t="shared" si="334"/>
        <v>0010</v>
      </c>
      <c r="G3303" s="1" t="s">
        <v>24</v>
      </c>
      <c r="H3303" s="1" t="str">
        <f>"0017"</f>
        <v>0017</v>
      </c>
      <c r="I3303" s="1" t="s">
        <v>135</v>
      </c>
      <c r="J3303" s="1" t="str">
        <f>"01043989717"</f>
        <v>01043989717</v>
      </c>
      <c r="K3303" s="1" t="str">
        <f>"2017-04-17 11:24:33"</f>
        <v>2017-04-17 11:24:33</v>
      </c>
      <c r="L3303" s="1" t="str">
        <f>"2017-04-17 11:24:42"</f>
        <v>2017-04-17 11:24:42</v>
      </c>
      <c r="M3303" s="2">
        <v>8.9120370370370362E-4</v>
      </c>
      <c r="N3303" s="1" t="s">
        <v>26</v>
      </c>
      <c r="O3303" s="1" t="s">
        <v>27</v>
      </c>
      <c r="P3303" s="2">
        <v>9.9537037037037042E-4</v>
      </c>
      <c r="Q3303" s="1" t="s">
        <v>2376</v>
      </c>
      <c r="R3303" s="1">
        <v>0</v>
      </c>
      <c r="S3303" s="1" t="str">
        <f>""</f>
        <v/>
      </c>
      <c r="T3303" s="1" t="s">
        <v>29</v>
      </c>
      <c r="U3303" s="1" t="s">
        <v>30</v>
      </c>
      <c r="V3303" s="1">
        <v>0</v>
      </c>
    </row>
    <row r="3304" spans="2:22" x14ac:dyDescent="0.15">
      <c r="B3304" s="1" t="str">
        <f>"177****3500"</f>
        <v>177****3500</v>
      </c>
      <c r="C3304" s="1" t="s">
        <v>23</v>
      </c>
      <c r="D3304" s="1" t="str">
        <f t="shared" si="333"/>
        <v>89177328</v>
      </c>
      <c r="E3304" s="1" t="s">
        <v>24</v>
      </c>
      <c r="F3304" s="1" t="str">
        <f t="shared" si="334"/>
        <v>0010</v>
      </c>
      <c r="G3304" s="1" t="s">
        <v>24</v>
      </c>
      <c r="H3304" s="1" t="str">
        <f>"0018"</f>
        <v>0018</v>
      </c>
      <c r="I3304" s="1" t="s">
        <v>36</v>
      </c>
      <c r="J3304" s="1" t="str">
        <f>"01043977572"</f>
        <v>01043977572</v>
      </c>
      <c r="K3304" s="1" t="str">
        <f>"2017-04-17 11:20:28"</f>
        <v>2017-04-17 11:20:28</v>
      </c>
      <c r="L3304" s="1" t="str">
        <f>"2017-04-17 11:20:36"</f>
        <v>2017-04-17 11:20:36</v>
      </c>
      <c r="M3304" s="2">
        <v>1.1469907407407408E-2</v>
      </c>
      <c r="N3304" s="1" t="s">
        <v>26</v>
      </c>
      <c r="O3304" s="1" t="s">
        <v>34</v>
      </c>
      <c r="P3304" s="2">
        <v>1.1562499999999998E-2</v>
      </c>
      <c r="Q3304" s="1" t="s">
        <v>2377</v>
      </c>
      <c r="R3304" s="1">
        <v>0</v>
      </c>
      <c r="S3304" s="1" t="str">
        <f>""</f>
        <v/>
      </c>
      <c r="T3304" s="1" t="s">
        <v>29</v>
      </c>
      <c r="U3304" s="1" t="s">
        <v>30</v>
      </c>
      <c r="V3304" s="1">
        <v>0</v>
      </c>
    </row>
    <row r="3305" spans="2:22" x14ac:dyDescent="0.15">
      <c r="B3305" s="1" t="str">
        <f>"138****2627"</f>
        <v>138****2627</v>
      </c>
      <c r="C3305" s="1" t="s">
        <v>23</v>
      </c>
      <c r="D3305" s="1" t="str">
        <f t="shared" si="333"/>
        <v>89177328</v>
      </c>
      <c r="E3305" s="1" t="s">
        <v>24</v>
      </c>
      <c r="F3305" s="1" t="str">
        <f t="shared" si="334"/>
        <v>0010</v>
      </c>
      <c r="G3305" s="1" t="s">
        <v>24</v>
      </c>
      <c r="H3305" s="1" t="str">
        <f>"0033"</f>
        <v>0033</v>
      </c>
      <c r="I3305" s="1" t="s">
        <v>106</v>
      </c>
      <c r="J3305" s="1" t="str">
        <f>"01043977567"</f>
        <v>01043977567</v>
      </c>
      <c r="K3305" s="1" t="str">
        <f>"2017-04-17 11:17:18"</f>
        <v>2017-04-17 11:17:18</v>
      </c>
      <c r="L3305" s="1" t="str">
        <f>"2017-04-17 11:17:34"</f>
        <v>2017-04-17 11:17:34</v>
      </c>
      <c r="M3305" s="2">
        <v>1.6562500000000001E-2</v>
      </c>
      <c r="N3305" s="1" t="s">
        <v>26</v>
      </c>
      <c r="O3305" s="1" t="s">
        <v>27</v>
      </c>
      <c r="P3305" s="2">
        <v>1.6747685185185185E-2</v>
      </c>
      <c r="Q3305" s="1" t="s">
        <v>2378</v>
      </c>
      <c r="R3305" s="1">
        <v>0</v>
      </c>
      <c r="S3305" s="1" t="str">
        <f>""</f>
        <v/>
      </c>
      <c r="T3305" s="1" t="s">
        <v>29</v>
      </c>
      <c r="U3305" s="1" t="s">
        <v>30</v>
      </c>
      <c r="V3305" s="1">
        <v>0</v>
      </c>
    </row>
    <row r="3306" spans="2:22" x14ac:dyDescent="0.15">
      <c r="B3306" s="1" t="str">
        <f>"139****6851"</f>
        <v>139****6851</v>
      </c>
      <c r="C3306" s="1" t="s">
        <v>51</v>
      </c>
      <c r="D3306" s="1" t="str">
        <f t="shared" si="333"/>
        <v>89177328</v>
      </c>
      <c r="E3306" s="1" t="s">
        <v>24</v>
      </c>
      <c r="F3306" s="1" t="str">
        <f t="shared" si="334"/>
        <v>0010</v>
      </c>
      <c r="G3306" s="1" t="s">
        <v>24</v>
      </c>
      <c r="H3306" s="1" t="str">
        <f>"0017"</f>
        <v>0017</v>
      </c>
      <c r="I3306" s="1" t="s">
        <v>135</v>
      </c>
      <c r="J3306" s="1" t="str">
        <f>"01043989717"</f>
        <v>01043989717</v>
      </c>
      <c r="K3306" s="1" t="str">
        <f>"2017-04-17 11:15:48"</f>
        <v>2017-04-17 11:15:48</v>
      </c>
      <c r="L3306" s="1" t="str">
        <f>"2017-04-17 11:15:54"</f>
        <v>2017-04-17 11:15:54</v>
      </c>
      <c r="M3306" s="2">
        <v>4.9421296296296288E-3</v>
      </c>
      <c r="N3306" s="1" t="s">
        <v>26</v>
      </c>
      <c r="O3306" s="1" t="s">
        <v>27</v>
      </c>
      <c r="P3306" s="2">
        <v>5.0115740740740737E-3</v>
      </c>
      <c r="Q3306" s="1" t="s">
        <v>2379</v>
      </c>
      <c r="R3306" s="1">
        <v>0</v>
      </c>
      <c r="S3306" s="1" t="str">
        <f>""</f>
        <v/>
      </c>
      <c r="T3306" s="1" t="s">
        <v>29</v>
      </c>
      <c r="U3306" s="1" t="s">
        <v>30</v>
      </c>
      <c r="V3306" s="1">
        <v>0</v>
      </c>
    </row>
    <row r="3307" spans="2:22" x14ac:dyDescent="0.15">
      <c r="B3307" s="1" t="str">
        <f>"185****2817"</f>
        <v>185****2817</v>
      </c>
      <c r="C3307" s="1" t="s">
        <v>113</v>
      </c>
      <c r="D3307" s="1" t="str">
        <f t="shared" si="333"/>
        <v>89177328</v>
      </c>
      <c r="E3307" s="1" t="s">
        <v>24</v>
      </c>
      <c r="F3307" s="1" t="str">
        <f t="shared" si="334"/>
        <v>0010</v>
      </c>
      <c r="G3307" s="1" t="s">
        <v>24</v>
      </c>
      <c r="H3307" s="1" t="str">
        <f>"0035"</f>
        <v>0035</v>
      </c>
      <c r="I3307" s="1" t="s">
        <v>25</v>
      </c>
      <c r="J3307" s="1" t="str">
        <f>"01043977569"</f>
        <v>01043977569</v>
      </c>
      <c r="K3307" s="1" t="str">
        <f>"2017-04-17 11:15:30"</f>
        <v>2017-04-17 11:15:30</v>
      </c>
      <c r="L3307" s="1" t="str">
        <f>"2017-04-17 11:15:40"</f>
        <v>2017-04-17 11:15:40</v>
      </c>
      <c r="M3307" s="2">
        <v>7.4537037037037028E-3</v>
      </c>
      <c r="N3307" s="1" t="s">
        <v>26</v>
      </c>
      <c r="O3307" s="1" t="s">
        <v>27</v>
      </c>
      <c r="P3307" s="2">
        <v>7.5694444444444446E-3</v>
      </c>
      <c r="Q3307" s="1" t="s">
        <v>2380</v>
      </c>
      <c r="R3307" s="1">
        <v>0</v>
      </c>
      <c r="S3307" s="1" t="str">
        <f>""</f>
        <v/>
      </c>
      <c r="T3307" s="1" t="s">
        <v>29</v>
      </c>
      <c r="U3307" s="1" t="s">
        <v>30</v>
      </c>
      <c r="V3307" s="1">
        <v>0</v>
      </c>
    </row>
    <row r="3308" spans="2:22" x14ac:dyDescent="0.15">
      <c r="B3308" s="1" t="str">
        <f>"186****7886"</f>
        <v>186****7886</v>
      </c>
      <c r="C3308" s="1" t="s">
        <v>102</v>
      </c>
      <c r="D3308" s="1" t="str">
        <f t="shared" si="333"/>
        <v>89177328</v>
      </c>
      <c r="E3308" s="1" t="s">
        <v>24</v>
      </c>
      <c r="F3308" s="1" t="str">
        <f t="shared" si="334"/>
        <v>0010</v>
      </c>
      <c r="G3308" s="1" t="s">
        <v>24</v>
      </c>
      <c r="H3308" s="1" t="str">
        <f>"0031"</f>
        <v>0031</v>
      </c>
      <c r="I3308" s="1" t="s">
        <v>95</v>
      </c>
      <c r="J3308" s="1" t="str">
        <f>"01043977565"</f>
        <v>01043977565</v>
      </c>
      <c r="K3308" s="1" t="str">
        <f>"2017-04-17 11:09:59"</f>
        <v>2017-04-17 11:09:59</v>
      </c>
      <c r="L3308" s="1" t="str">
        <f>"2017-04-17 11:10:08"</f>
        <v>2017-04-17 11:10:08</v>
      </c>
      <c r="M3308" s="2">
        <v>1.9027777777777779E-2</v>
      </c>
      <c r="N3308" s="1" t="s">
        <v>26</v>
      </c>
      <c r="O3308" s="1" t="s">
        <v>27</v>
      </c>
      <c r="P3308" s="2">
        <v>1.9131944444444444E-2</v>
      </c>
      <c r="Q3308" s="1" t="s">
        <v>2381</v>
      </c>
      <c r="R3308" s="1">
        <v>0</v>
      </c>
      <c r="S3308" s="1" t="str">
        <f>""</f>
        <v/>
      </c>
      <c r="T3308" s="1" t="s">
        <v>29</v>
      </c>
      <c r="U3308" s="1" t="s">
        <v>30</v>
      </c>
      <c r="V3308" s="1">
        <v>0</v>
      </c>
    </row>
    <row r="3309" spans="2:22" x14ac:dyDescent="0.15">
      <c r="B3309" s="1" t="str">
        <f>"0755****8962"</f>
        <v>0755****8962</v>
      </c>
      <c r="C3309" s="1" t="s">
        <v>193</v>
      </c>
      <c r="D3309" s="1" t="str">
        <f>"4000108333"</f>
        <v>4000108333</v>
      </c>
      <c r="E3309" s="1" t="s">
        <v>53</v>
      </c>
      <c r="F3309" s="1" t="str">
        <f>"0001"</f>
        <v>0001</v>
      </c>
      <c r="G3309" s="1" t="s">
        <v>2249</v>
      </c>
      <c r="H3309" s="1" t="str">
        <f>"0005"</f>
        <v>0005</v>
      </c>
      <c r="I3309" s="1" t="s">
        <v>298</v>
      </c>
      <c r="J3309" s="1" t="str">
        <f>"18600169000"</f>
        <v>18600169000</v>
      </c>
      <c r="K3309" s="1" t="str">
        <f>"2017-04-17 11:08:56"</f>
        <v>2017-04-17 11:08:56</v>
      </c>
      <c r="L3309" s="1" t="str">
        <f>"-"</f>
        <v>-</v>
      </c>
      <c r="M3309" s="2">
        <v>0</v>
      </c>
      <c r="N3309" s="1" t="s">
        <v>33</v>
      </c>
      <c r="O3309" s="1" t="s">
        <v>27</v>
      </c>
      <c r="P3309" s="2">
        <v>2.1064814814814813E-3</v>
      </c>
      <c r="Q3309" s="1" t="str">
        <f>""</f>
        <v/>
      </c>
      <c r="R3309" s="1">
        <v>0.48</v>
      </c>
      <c r="S3309" s="1" t="str">
        <f>""</f>
        <v/>
      </c>
      <c r="T3309" s="1" t="s">
        <v>29</v>
      </c>
      <c r="U3309" s="1" t="s">
        <v>30</v>
      </c>
      <c r="V3309" s="1">
        <v>0</v>
      </c>
    </row>
    <row r="3310" spans="2:22" x14ac:dyDescent="0.15">
      <c r="B3310" s="1" t="str">
        <f>"010****2888"</f>
        <v>010****2888</v>
      </c>
      <c r="C3310" s="1" t="s">
        <v>23</v>
      </c>
      <c r="D3310" s="1" t="str">
        <f>"89177328"</f>
        <v>89177328</v>
      </c>
      <c r="E3310" s="1" t="s">
        <v>24</v>
      </c>
      <c r="F3310" s="1" t="str">
        <f>"0010"</f>
        <v>0010</v>
      </c>
      <c r="G3310" s="1" t="s">
        <v>24</v>
      </c>
      <c r="H3310" s="1" t="str">
        <f>"0032"</f>
        <v>0032</v>
      </c>
      <c r="I3310" s="1" t="s">
        <v>119</v>
      </c>
      <c r="J3310" s="1" t="str">
        <f>"01043977566"</f>
        <v>01043977566</v>
      </c>
      <c r="K3310" s="1" t="str">
        <f>"2017-04-17 11:02:23"</f>
        <v>2017-04-17 11:02:23</v>
      </c>
      <c r="L3310" s="1" t="str">
        <f>"2017-04-17 11:02:38"</f>
        <v>2017-04-17 11:02:38</v>
      </c>
      <c r="M3310" s="2">
        <v>9.0624999999999994E-3</v>
      </c>
      <c r="N3310" s="1" t="s">
        <v>26</v>
      </c>
      <c r="O3310" s="1" t="s">
        <v>34</v>
      </c>
      <c r="P3310" s="2">
        <v>9.2361111111111116E-3</v>
      </c>
      <c r="Q3310" s="1" t="s">
        <v>2382</v>
      </c>
      <c r="R3310" s="1">
        <v>0</v>
      </c>
      <c r="S3310" s="1" t="str">
        <f>""</f>
        <v/>
      </c>
      <c r="T3310" s="1" t="s">
        <v>29</v>
      </c>
      <c r="U3310" s="1" t="s">
        <v>30</v>
      </c>
      <c r="V3310" s="1">
        <v>0</v>
      </c>
    </row>
    <row r="3311" spans="2:22" x14ac:dyDescent="0.15">
      <c r="B3311" s="1" t="str">
        <f>"010****7158"</f>
        <v>010****7158</v>
      </c>
      <c r="C3311" s="1" t="s">
        <v>23</v>
      </c>
      <c r="D3311" s="1" t="str">
        <f>"89177328"</f>
        <v>89177328</v>
      </c>
      <c r="E3311" s="1" t="s">
        <v>24</v>
      </c>
      <c r="F3311" s="1" t="str">
        <f>"0010"</f>
        <v>0010</v>
      </c>
      <c r="G3311" s="1" t="s">
        <v>24</v>
      </c>
      <c r="H3311" s="1" t="str">
        <f>"0035"</f>
        <v>0035</v>
      </c>
      <c r="I3311" s="1" t="s">
        <v>25</v>
      </c>
      <c r="J3311" s="1" t="str">
        <f>"01043977569"</f>
        <v>01043977569</v>
      </c>
      <c r="K3311" s="1" t="str">
        <f>"2017-04-17 11:00:30"</f>
        <v>2017-04-17 11:00:30</v>
      </c>
      <c r="L3311" s="1" t="str">
        <f>"2017-04-17 11:00:42"</f>
        <v>2017-04-17 11:00:42</v>
      </c>
      <c r="M3311" s="2">
        <v>1.4120370370370369E-3</v>
      </c>
      <c r="N3311" s="1" t="s">
        <v>26</v>
      </c>
      <c r="O3311" s="1" t="s">
        <v>27</v>
      </c>
      <c r="P3311" s="2">
        <v>1.5509259259259261E-3</v>
      </c>
      <c r="Q3311" s="1" t="s">
        <v>2383</v>
      </c>
      <c r="R3311" s="1">
        <v>0</v>
      </c>
      <c r="S3311" s="1" t="str">
        <f>""</f>
        <v/>
      </c>
      <c r="T3311" s="1" t="s">
        <v>29</v>
      </c>
      <c r="U3311" s="1" t="s">
        <v>30</v>
      </c>
      <c r="V3311" s="1">
        <v>0</v>
      </c>
    </row>
    <row r="3312" spans="2:22" x14ac:dyDescent="0.15">
      <c r="B3312" s="1" t="str">
        <f>"183****2323"</f>
        <v>183****2323</v>
      </c>
      <c r="C3312" s="1" t="s">
        <v>2384</v>
      </c>
      <c r="D3312" s="1" t="str">
        <f>"89177328"</f>
        <v>89177328</v>
      </c>
      <c r="E3312" s="1" t="s">
        <v>24</v>
      </c>
      <c r="F3312" s="1" t="str">
        <f>"0010"</f>
        <v>0010</v>
      </c>
      <c r="G3312" s="1" t="s">
        <v>24</v>
      </c>
      <c r="H3312" s="1" t="str">
        <f>"0017"</f>
        <v>0017</v>
      </c>
      <c r="I3312" s="1" t="s">
        <v>135</v>
      </c>
      <c r="J3312" s="1" t="str">
        <f>"01043989717"</f>
        <v>01043989717</v>
      </c>
      <c r="K3312" s="1" t="str">
        <f>"2017-04-17 10:59:26"</f>
        <v>2017-04-17 10:59:26</v>
      </c>
      <c r="L3312" s="1" t="str">
        <f>"2017-04-17 10:59:35"</f>
        <v>2017-04-17 10:59:35</v>
      </c>
      <c r="M3312" s="2">
        <v>2.1759259259259258E-3</v>
      </c>
      <c r="N3312" s="1" t="s">
        <v>26</v>
      </c>
      <c r="O3312" s="1" t="s">
        <v>27</v>
      </c>
      <c r="P3312" s="2">
        <v>2.2800925925925927E-3</v>
      </c>
      <c r="Q3312" s="1" t="s">
        <v>2385</v>
      </c>
      <c r="R3312" s="1">
        <v>0</v>
      </c>
      <c r="S3312" s="1" t="str">
        <f>""</f>
        <v/>
      </c>
      <c r="T3312" s="1" t="s">
        <v>29</v>
      </c>
      <c r="U3312" s="1" t="s">
        <v>30</v>
      </c>
      <c r="V3312" s="1">
        <v>0</v>
      </c>
    </row>
    <row r="3313" spans="2:22" x14ac:dyDescent="0.15">
      <c r="B3313" s="1" t="str">
        <f>"176****1892"</f>
        <v>176****1892</v>
      </c>
      <c r="C3313" s="1" t="s">
        <v>102</v>
      </c>
      <c r="D3313" s="1" t="str">
        <f>"89177328"</f>
        <v>89177328</v>
      </c>
      <c r="E3313" s="1" t="s">
        <v>24</v>
      </c>
      <c r="F3313" s="1" t="str">
        <f>"0010"</f>
        <v>0010</v>
      </c>
      <c r="G3313" s="1" t="s">
        <v>24</v>
      </c>
      <c r="H3313" s="1" t="str">
        <f>"0035"</f>
        <v>0035</v>
      </c>
      <c r="I3313" s="1" t="s">
        <v>25</v>
      </c>
      <c r="J3313" s="1" t="str">
        <f>"01043977569"</f>
        <v>01043977569</v>
      </c>
      <c r="K3313" s="1" t="str">
        <f>"2017-04-17 10:49:26"</f>
        <v>2017-04-17 10:49:26</v>
      </c>
      <c r="L3313" s="1" t="str">
        <f>"-"</f>
        <v>-</v>
      </c>
      <c r="M3313" s="2">
        <v>0</v>
      </c>
      <c r="N3313" s="1" t="s">
        <v>33</v>
      </c>
      <c r="O3313" s="1" t="s">
        <v>34</v>
      </c>
      <c r="P3313" s="2">
        <v>2.3148148148148147E-5</v>
      </c>
      <c r="Q3313" s="1" t="str">
        <f>""</f>
        <v/>
      </c>
      <c r="R3313" s="1">
        <v>0</v>
      </c>
      <c r="S3313" s="1" t="str">
        <f>""</f>
        <v/>
      </c>
      <c r="T3313" s="1" t="s">
        <v>29</v>
      </c>
      <c r="U3313" s="1" t="s">
        <v>30</v>
      </c>
      <c r="V3313" s="1">
        <v>0</v>
      </c>
    </row>
    <row r="3314" spans="2:22" x14ac:dyDescent="0.15">
      <c r="B3314" s="1" t="str">
        <f>"180****9923"</f>
        <v>180****9923</v>
      </c>
      <c r="C3314" s="1" t="s">
        <v>2343</v>
      </c>
      <c r="D3314" s="1" t="str">
        <f>"4000108333"</f>
        <v>4000108333</v>
      </c>
      <c r="E3314" s="1" t="s">
        <v>53</v>
      </c>
      <c r="F3314" s="1" t="str">
        <f>"0001"</f>
        <v>0001</v>
      </c>
      <c r="G3314" s="1" t="s">
        <v>2249</v>
      </c>
      <c r="H3314" s="1" t="str">
        <f>"0001"</f>
        <v>0001</v>
      </c>
      <c r="I3314" s="1" t="s">
        <v>129</v>
      </c>
      <c r="J3314" s="1" t="str">
        <f>"13699138136"</f>
        <v>13699138136</v>
      </c>
      <c r="K3314" s="1" t="str">
        <f>"2017-04-17 10:43:45"</f>
        <v>2017-04-17 10:43:45</v>
      </c>
      <c r="L3314" s="1" t="str">
        <f>"2017-04-17 10:46:08"</f>
        <v>2017-04-17 10:46:08</v>
      </c>
      <c r="M3314" s="2">
        <v>2.3576388888888893E-2</v>
      </c>
      <c r="N3314" s="1" t="s">
        <v>26</v>
      </c>
      <c r="O3314" s="1" t="s">
        <v>27</v>
      </c>
      <c r="P3314" s="2">
        <v>2.5231481481481483E-2</v>
      </c>
      <c r="Q3314" s="1" t="s">
        <v>2386</v>
      </c>
      <c r="R3314" s="1">
        <v>4.4400000000000004</v>
      </c>
      <c r="S3314" s="1" t="str">
        <f>""</f>
        <v/>
      </c>
      <c r="T3314" s="1" t="s">
        <v>29</v>
      </c>
      <c r="U3314" s="1" t="s">
        <v>30</v>
      </c>
      <c r="V3314" s="1">
        <v>0</v>
      </c>
    </row>
    <row r="3315" spans="2:22" x14ac:dyDescent="0.15">
      <c r="B3315" s="1" t="str">
        <f>"180****9923"</f>
        <v>180****9923</v>
      </c>
      <c r="C3315" s="1" t="s">
        <v>2343</v>
      </c>
      <c r="D3315" s="1" t="str">
        <f>"4000108333"</f>
        <v>4000108333</v>
      </c>
      <c r="E3315" s="1" t="s">
        <v>53</v>
      </c>
      <c r="F3315" s="1" t="str">
        <f>""</f>
        <v/>
      </c>
      <c r="G3315" s="1" t="str">
        <f>""</f>
        <v/>
      </c>
      <c r="H3315" s="1" t="str">
        <f>""</f>
        <v/>
      </c>
      <c r="I3315" s="1" t="str">
        <f>""</f>
        <v/>
      </c>
      <c r="J3315" s="1" t="str">
        <f>""</f>
        <v/>
      </c>
      <c r="K3315" s="1" t="str">
        <f>"2017-04-17 10:43:17"</f>
        <v>2017-04-17 10:43:17</v>
      </c>
      <c r="L3315" s="1" t="str">
        <f>"-"</f>
        <v>-</v>
      </c>
      <c r="M3315" s="2">
        <v>0</v>
      </c>
      <c r="N3315" s="1" t="s">
        <v>55</v>
      </c>
      <c r="O3315" s="1" t="s">
        <v>34</v>
      </c>
      <c r="P3315" s="2">
        <v>2.199074074074074E-4</v>
      </c>
      <c r="Q3315" s="1" t="str">
        <f>""</f>
        <v/>
      </c>
      <c r="R3315" s="1">
        <v>0.12</v>
      </c>
      <c r="S3315" s="1" t="str">
        <f>""</f>
        <v/>
      </c>
      <c r="T3315" s="1" t="s">
        <v>29</v>
      </c>
      <c r="U3315" s="1" t="s">
        <v>30</v>
      </c>
      <c r="V3315" s="1">
        <v>0</v>
      </c>
    </row>
    <row r="3316" spans="2:22" x14ac:dyDescent="0.15">
      <c r="B3316" s="1" t="str">
        <f>"186****1325"</f>
        <v>186****1325</v>
      </c>
      <c r="C3316" s="1" t="s">
        <v>23</v>
      </c>
      <c r="D3316" s="1" t="str">
        <f>"89177328"</f>
        <v>89177328</v>
      </c>
      <c r="E3316" s="1" t="s">
        <v>24</v>
      </c>
      <c r="F3316" s="1" t="str">
        <f>"0010"</f>
        <v>0010</v>
      </c>
      <c r="G3316" s="1" t="s">
        <v>24</v>
      </c>
      <c r="H3316" s="1" t="str">
        <f>"0018"</f>
        <v>0018</v>
      </c>
      <c r="I3316" s="1" t="s">
        <v>36</v>
      </c>
      <c r="J3316" s="1" t="str">
        <f>"01043977572"</f>
        <v>01043977572</v>
      </c>
      <c r="K3316" s="1" t="str">
        <f>"2017-04-17 10:40:13"</f>
        <v>2017-04-17 10:40:13</v>
      </c>
      <c r="L3316" s="1" t="str">
        <f>"2017-04-17 10:40:21"</f>
        <v>2017-04-17 10:40:21</v>
      </c>
      <c r="M3316" s="2">
        <v>1.5162037037037036E-2</v>
      </c>
      <c r="N3316" s="1" t="s">
        <v>26</v>
      </c>
      <c r="O3316" s="1" t="s">
        <v>34</v>
      </c>
      <c r="P3316" s="2">
        <v>1.525462962962963E-2</v>
      </c>
      <c r="Q3316" s="1" t="s">
        <v>2387</v>
      </c>
      <c r="R3316" s="1">
        <v>0</v>
      </c>
      <c r="S3316" s="1" t="str">
        <f>""</f>
        <v/>
      </c>
      <c r="T3316" s="1" t="s">
        <v>29</v>
      </c>
      <c r="U3316" s="1" t="s">
        <v>30</v>
      </c>
      <c r="V3316" s="1">
        <v>0</v>
      </c>
    </row>
    <row r="3317" spans="2:22" x14ac:dyDescent="0.15">
      <c r="B3317" s="1" t="str">
        <f>"010****1592"</f>
        <v>010****1592</v>
      </c>
      <c r="C3317" s="1" t="s">
        <v>23</v>
      </c>
      <c r="D3317" s="1" t="str">
        <f>"89177328"</f>
        <v>89177328</v>
      </c>
      <c r="E3317" s="1" t="s">
        <v>24</v>
      </c>
      <c r="F3317" s="1" t="str">
        <f>"0010"</f>
        <v>0010</v>
      </c>
      <c r="G3317" s="1" t="s">
        <v>24</v>
      </c>
      <c r="H3317" s="1" t="str">
        <f>"0032"</f>
        <v>0032</v>
      </c>
      <c r="I3317" s="1" t="s">
        <v>119</v>
      </c>
      <c r="J3317" s="1" t="str">
        <f>"01043977566"</f>
        <v>01043977566</v>
      </c>
      <c r="K3317" s="1" t="str">
        <f>"2017-04-17 10:39:43"</f>
        <v>2017-04-17 10:39:43</v>
      </c>
      <c r="L3317" s="1" t="str">
        <f>"2017-04-17 10:39:57"</f>
        <v>2017-04-17 10:39:57</v>
      </c>
      <c r="M3317" s="2">
        <v>1.5509259259259261E-3</v>
      </c>
      <c r="N3317" s="1" t="s">
        <v>26</v>
      </c>
      <c r="O3317" s="1" t="s">
        <v>34</v>
      </c>
      <c r="P3317" s="2">
        <v>1.712962962962963E-3</v>
      </c>
      <c r="Q3317" s="1" t="s">
        <v>2388</v>
      </c>
      <c r="R3317" s="1">
        <v>0</v>
      </c>
      <c r="S3317" s="1" t="str">
        <f>""</f>
        <v/>
      </c>
      <c r="T3317" s="1" t="s">
        <v>29</v>
      </c>
      <c r="U3317" s="1" t="s">
        <v>30</v>
      </c>
      <c r="V3317" s="1">
        <v>0</v>
      </c>
    </row>
    <row r="3318" spans="2:22" x14ac:dyDescent="0.15">
      <c r="B3318" s="1" t="str">
        <f>"137****2377"</f>
        <v>137****2377</v>
      </c>
      <c r="C3318" s="1" t="s">
        <v>193</v>
      </c>
      <c r="D3318" s="1" t="str">
        <f>"89177328"</f>
        <v>89177328</v>
      </c>
      <c r="E3318" s="1" t="s">
        <v>24</v>
      </c>
      <c r="F3318" s="1" t="str">
        <f>"0010"</f>
        <v>0010</v>
      </c>
      <c r="G3318" s="1" t="s">
        <v>24</v>
      </c>
      <c r="H3318" s="1" t="str">
        <f>"0034"</f>
        <v>0034</v>
      </c>
      <c r="I3318" s="1" t="s">
        <v>31</v>
      </c>
      <c r="J3318" s="1" t="str">
        <f>"01043977568"</f>
        <v>01043977568</v>
      </c>
      <c r="K3318" s="1" t="str">
        <f>"2017-04-17 10:36:41"</f>
        <v>2017-04-17 10:36:41</v>
      </c>
      <c r="L3318" s="1" t="str">
        <f>"2017-04-17 10:36:54"</f>
        <v>2017-04-17 10:36:54</v>
      </c>
      <c r="M3318" s="2">
        <v>4.1898148148148146E-3</v>
      </c>
      <c r="N3318" s="1" t="s">
        <v>26</v>
      </c>
      <c r="O3318" s="1" t="s">
        <v>27</v>
      </c>
      <c r="P3318" s="2">
        <v>4.340277777777778E-3</v>
      </c>
      <c r="Q3318" s="1" t="s">
        <v>2389</v>
      </c>
      <c r="R3318" s="1">
        <v>0</v>
      </c>
      <c r="S3318" s="1" t="str">
        <f>""</f>
        <v/>
      </c>
      <c r="T3318" s="1" t="s">
        <v>29</v>
      </c>
      <c r="U3318" s="1" t="s">
        <v>30</v>
      </c>
      <c r="V3318" s="1">
        <v>0</v>
      </c>
    </row>
    <row r="3319" spans="2:22" x14ac:dyDescent="0.15">
      <c r="B3319" s="1" t="str">
        <f>"186****6578"</f>
        <v>186****6578</v>
      </c>
      <c r="C3319" s="1" t="s">
        <v>23</v>
      </c>
      <c r="D3319" s="1" t="str">
        <f>"89177328"</f>
        <v>89177328</v>
      </c>
      <c r="E3319" s="1" t="s">
        <v>24</v>
      </c>
      <c r="F3319" s="1" t="str">
        <f>"0010"</f>
        <v>0010</v>
      </c>
      <c r="G3319" s="1" t="s">
        <v>24</v>
      </c>
      <c r="H3319" s="1" t="str">
        <f>"0031"</f>
        <v>0031</v>
      </c>
      <c r="I3319" s="1" t="s">
        <v>95</v>
      </c>
      <c r="J3319" s="1" t="str">
        <f>"01043977565"</f>
        <v>01043977565</v>
      </c>
      <c r="K3319" s="1" t="str">
        <f>"2017-04-17 10:32:01"</f>
        <v>2017-04-17 10:32:01</v>
      </c>
      <c r="L3319" s="1" t="str">
        <f>"2017-04-17 10:32:32"</f>
        <v>2017-04-17 10:32:32</v>
      </c>
      <c r="M3319" s="2">
        <v>1.3368055555555557E-2</v>
      </c>
      <c r="N3319" s="1" t="s">
        <v>26</v>
      </c>
      <c r="O3319" s="1" t="s">
        <v>34</v>
      </c>
      <c r="P3319" s="2">
        <v>1.3726851851851851E-2</v>
      </c>
      <c r="Q3319" s="1" t="s">
        <v>2390</v>
      </c>
      <c r="R3319" s="1">
        <v>0</v>
      </c>
      <c r="S3319" s="1" t="str">
        <f>""</f>
        <v/>
      </c>
      <c r="T3319" s="1" t="s">
        <v>29</v>
      </c>
      <c r="U3319" s="1" t="s">
        <v>30</v>
      </c>
      <c r="V3319" s="1">
        <v>0</v>
      </c>
    </row>
    <row r="3320" spans="2:22" x14ac:dyDescent="0.15">
      <c r="B3320" s="1" t="str">
        <f>"189****8258"</f>
        <v>189****8258</v>
      </c>
      <c r="C3320" s="1" t="s">
        <v>102</v>
      </c>
      <c r="D3320" s="1" t="str">
        <f>"4000108333"</f>
        <v>4000108333</v>
      </c>
      <c r="E3320" s="1" t="s">
        <v>53</v>
      </c>
      <c r="F3320" s="1" t="str">
        <f>"0000"</f>
        <v>0000</v>
      </c>
      <c r="G3320" s="1" t="s">
        <v>53</v>
      </c>
      <c r="H3320" s="1" t="str">
        <f>"1010"</f>
        <v>1010</v>
      </c>
      <c r="I3320" s="1" t="s">
        <v>148</v>
      </c>
      <c r="J3320" s="1" t="str">
        <f>"13718091869"</f>
        <v>13718091869</v>
      </c>
      <c r="K3320" s="1" t="str">
        <f>"2017-04-17 10:31:09"</f>
        <v>2017-04-17 10:31:09</v>
      </c>
      <c r="L3320" s="1" t="str">
        <f>"2017-04-17 10:31:47"</f>
        <v>2017-04-17 10:31:47</v>
      </c>
      <c r="M3320" s="2">
        <v>1.5011574074074075E-2</v>
      </c>
      <c r="N3320" s="1" t="s">
        <v>26</v>
      </c>
      <c r="O3320" s="1" t="s">
        <v>27</v>
      </c>
      <c r="P3320" s="2">
        <v>1.545138888888889E-2</v>
      </c>
      <c r="Q3320" s="1" t="s">
        <v>2391</v>
      </c>
      <c r="R3320" s="1">
        <v>2.76</v>
      </c>
      <c r="S3320" s="1" t="str">
        <f>""</f>
        <v/>
      </c>
      <c r="T3320" s="1" t="s">
        <v>29</v>
      </c>
      <c r="U3320" s="1" t="s">
        <v>30</v>
      </c>
      <c r="V3320" s="1">
        <v>0</v>
      </c>
    </row>
    <row r="3321" spans="2:22" x14ac:dyDescent="0.15">
      <c r="B3321" s="1" t="str">
        <f>"156****2430"</f>
        <v>156****2430</v>
      </c>
      <c r="C3321" s="1" t="s">
        <v>23</v>
      </c>
      <c r="D3321" s="1" t="str">
        <f t="shared" ref="D3321:D3327" si="335">"89177328"</f>
        <v>89177328</v>
      </c>
      <c r="E3321" s="1" t="s">
        <v>24</v>
      </c>
      <c r="F3321" s="1" t="str">
        <f t="shared" ref="F3321:F3327" si="336">"0010"</f>
        <v>0010</v>
      </c>
      <c r="G3321" s="1" t="s">
        <v>24</v>
      </c>
      <c r="H3321" s="1" t="str">
        <f>"0032"</f>
        <v>0032</v>
      </c>
      <c r="I3321" s="1" t="s">
        <v>119</v>
      </c>
      <c r="J3321" s="1" t="str">
        <f>"01043977566"</f>
        <v>01043977566</v>
      </c>
      <c r="K3321" s="1" t="str">
        <f>"2017-04-17 10:29:38"</f>
        <v>2017-04-17 10:29:38</v>
      </c>
      <c r="L3321" s="1" t="str">
        <f>"-"</f>
        <v>-</v>
      </c>
      <c r="M3321" s="2">
        <v>0</v>
      </c>
      <c r="N3321" s="1" t="s">
        <v>33</v>
      </c>
      <c r="O3321" s="1" t="s">
        <v>34</v>
      </c>
      <c r="P3321" s="2">
        <v>1.3888888888888889E-4</v>
      </c>
      <c r="Q3321" s="1" t="str">
        <f>""</f>
        <v/>
      </c>
      <c r="R3321" s="1">
        <v>0</v>
      </c>
      <c r="S3321" s="1" t="str">
        <f>""</f>
        <v/>
      </c>
      <c r="T3321" s="1" t="s">
        <v>29</v>
      </c>
      <c r="U3321" s="1" t="s">
        <v>30</v>
      </c>
      <c r="V3321" s="1">
        <v>0</v>
      </c>
    </row>
    <row r="3322" spans="2:22" x14ac:dyDescent="0.15">
      <c r="B3322" s="1" t="str">
        <f>"010****5965"</f>
        <v>010****5965</v>
      </c>
      <c r="C3322" s="1" t="s">
        <v>23</v>
      </c>
      <c r="D3322" s="1" t="str">
        <f t="shared" si="335"/>
        <v>89177328</v>
      </c>
      <c r="E3322" s="1" t="s">
        <v>24</v>
      </c>
      <c r="F3322" s="1" t="str">
        <f t="shared" si="336"/>
        <v>0010</v>
      </c>
      <c r="G3322" s="1" t="s">
        <v>24</v>
      </c>
      <c r="H3322" s="1" t="str">
        <f>"0034"</f>
        <v>0034</v>
      </c>
      <c r="I3322" s="1" t="s">
        <v>31</v>
      </c>
      <c r="J3322" s="1" t="str">
        <f>"01043977568"</f>
        <v>01043977568</v>
      </c>
      <c r="K3322" s="1" t="str">
        <f>"2017-04-17 10:27:02"</f>
        <v>2017-04-17 10:27:02</v>
      </c>
      <c r="L3322" s="1" t="str">
        <f>"2017-04-17 10:27:12"</f>
        <v>2017-04-17 10:27:12</v>
      </c>
      <c r="M3322" s="2">
        <v>2.1643518518518518E-3</v>
      </c>
      <c r="N3322" s="1" t="s">
        <v>26</v>
      </c>
      <c r="O3322" s="1" t="s">
        <v>27</v>
      </c>
      <c r="P3322" s="2">
        <v>2.2800925925925927E-3</v>
      </c>
      <c r="Q3322" s="1" t="s">
        <v>2392</v>
      </c>
      <c r="R3322" s="1">
        <v>0</v>
      </c>
      <c r="S3322" s="1" t="str">
        <f>""</f>
        <v/>
      </c>
      <c r="T3322" s="1" t="s">
        <v>29</v>
      </c>
      <c r="U3322" s="1" t="s">
        <v>30</v>
      </c>
      <c r="V3322" s="1">
        <v>0</v>
      </c>
    </row>
    <row r="3323" spans="2:22" x14ac:dyDescent="0.15">
      <c r="B3323" s="1" t="str">
        <f>"186****0427"</f>
        <v>186****0427</v>
      </c>
      <c r="C3323" s="1" t="s">
        <v>23</v>
      </c>
      <c r="D3323" s="1" t="str">
        <f t="shared" si="335"/>
        <v>89177328</v>
      </c>
      <c r="E3323" s="1" t="s">
        <v>24</v>
      </c>
      <c r="F3323" s="1" t="str">
        <f t="shared" si="336"/>
        <v>0010</v>
      </c>
      <c r="G3323" s="1" t="s">
        <v>24</v>
      </c>
      <c r="H3323" s="1" t="str">
        <f>"0031"</f>
        <v>0031</v>
      </c>
      <c r="I3323" s="1" t="s">
        <v>95</v>
      </c>
      <c r="J3323" s="1" t="str">
        <f>"01043977565"</f>
        <v>01043977565</v>
      </c>
      <c r="K3323" s="1" t="str">
        <f>"2017-04-17 10:26:53"</f>
        <v>2017-04-17 10:26:53</v>
      </c>
      <c r="L3323" s="1" t="str">
        <f>"2017-04-17 10:27:02"</f>
        <v>2017-04-17 10:27:02</v>
      </c>
      <c r="M3323" s="2">
        <v>3.2291666666666666E-3</v>
      </c>
      <c r="N3323" s="1" t="s">
        <v>26</v>
      </c>
      <c r="O3323" s="1" t="s">
        <v>34</v>
      </c>
      <c r="P3323" s="2">
        <v>3.3333333333333335E-3</v>
      </c>
      <c r="Q3323" s="1" t="s">
        <v>2393</v>
      </c>
      <c r="R3323" s="1">
        <v>0</v>
      </c>
      <c r="S3323" s="1" t="str">
        <f>""</f>
        <v/>
      </c>
      <c r="T3323" s="1" t="s">
        <v>29</v>
      </c>
      <c r="U3323" s="1" t="s">
        <v>30</v>
      </c>
      <c r="V3323" s="1">
        <v>0</v>
      </c>
    </row>
    <row r="3324" spans="2:22" x14ac:dyDescent="0.15">
      <c r="B3324" s="1" t="str">
        <f>"136****4388"</f>
        <v>136****4388</v>
      </c>
      <c r="C3324" s="1" t="s">
        <v>23</v>
      </c>
      <c r="D3324" s="1" t="str">
        <f t="shared" si="335"/>
        <v>89177328</v>
      </c>
      <c r="E3324" s="1" t="s">
        <v>24</v>
      </c>
      <c r="F3324" s="1" t="str">
        <f t="shared" si="336"/>
        <v>0010</v>
      </c>
      <c r="G3324" s="1" t="s">
        <v>24</v>
      </c>
      <c r="H3324" s="1" t="str">
        <f>"0010"</f>
        <v>0010</v>
      </c>
      <c r="I3324" s="1" t="s">
        <v>71</v>
      </c>
      <c r="J3324" s="1" t="str">
        <f>"01043977571"</f>
        <v>01043977571</v>
      </c>
      <c r="K3324" s="1" t="str">
        <f>"2017-04-17 10:18:33"</f>
        <v>2017-04-17 10:18:33</v>
      </c>
      <c r="L3324" s="1" t="str">
        <f>"2017-04-17 10:18:47"</f>
        <v>2017-04-17 10:18:47</v>
      </c>
      <c r="M3324" s="2">
        <v>4.0740740740740746E-3</v>
      </c>
      <c r="N3324" s="1" t="s">
        <v>26</v>
      </c>
      <c r="O3324" s="1" t="s">
        <v>34</v>
      </c>
      <c r="P3324" s="2">
        <v>4.2361111111111106E-3</v>
      </c>
      <c r="Q3324" s="1" t="s">
        <v>2394</v>
      </c>
      <c r="R3324" s="1">
        <v>0</v>
      </c>
      <c r="S3324" s="1" t="str">
        <f>""</f>
        <v/>
      </c>
      <c r="T3324" s="1" t="s">
        <v>29</v>
      </c>
      <c r="U3324" s="1" t="s">
        <v>30</v>
      </c>
      <c r="V3324" s="1">
        <v>0</v>
      </c>
    </row>
    <row r="3325" spans="2:22" x14ac:dyDescent="0.15">
      <c r="B3325" s="1" t="str">
        <f>"135****1731"</f>
        <v>135****1731</v>
      </c>
      <c r="C3325" s="1" t="s">
        <v>23</v>
      </c>
      <c r="D3325" s="1" t="str">
        <f t="shared" si="335"/>
        <v>89177328</v>
      </c>
      <c r="E3325" s="1" t="s">
        <v>24</v>
      </c>
      <c r="F3325" s="1" t="str">
        <f t="shared" si="336"/>
        <v>0010</v>
      </c>
      <c r="G3325" s="1" t="s">
        <v>24</v>
      </c>
      <c r="H3325" s="1" t="str">
        <f>"0031"</f>
        <v>0031</v>
      </c>
      <c r="I3325" s="1" t="s">
        <v>95</v>
      </c>
      <c r="J3325" s="1" t="str">
        <f>"01043977565"</f>
        <v>01043977565</v>
      </c>
      <c r="K3325" s="1" t="str">
        <f>"2017-04-17 10:11:24"</f>
        <v>2017-04-17 10:11:24</v>
      </c>
      <c r="L3325" s="1" t="str">
        <f>"2017-04-17 10:11:34"</f>
        <v>2017-04-17 10:11:34</v>
      </c>
      <c r="M3325" s="2">
        <v>1.5856481481481479E-3</v>
      </c>
      <c r="N3325" s="1" t="s">
        <v>26</v>
      </c>
      <c r="O3325" s="1" t="s">
        <v>34</v>
      </c>
      <c r="P3325" s="2">
        <v>1.7013888888888892E-3</v>
      </c>
      <c r="Q3325" s="1" t="s">
        <v>2395</v>
      </c>
      <c r="R3325" s="1">
        <v>0</v>
      </c>
      <c r="S3325" s="1" t="str">
        <f>""</f>
        <v/>
      </c>
      <c r="T3325" s="1" t="s">
        <v>29</v>
      </c>
      <c r="U3325" s="1" t="s">
        <v>30</v>
      </c>
      <c r="V3325" s="1">
        <v>0</v>
      </c>
    </row>
    <row r="3326" spans="2:22" x14ac:dyDescent="0.15">
      <c r="B3326" s="1" t="str">
        <f>"137****5170"</f>
        <v>137****5170</v>
      </c>
      <c r="C3326" s="1" t="s">
        <v>592</v>
      </c>
      <c r="D3326" s="1" t="str">
        <f t="shared" si="335"/>
        <v>89177328</v>
      </c>
      <c r="E3326" s="1" t="s">
        <v>24</v>
      </c>
      <c r="F3326" s="1" t="str">
        <f t="shared" si="336"/>
        <v>0010</v>
      </c>
      <c r="G3326" s="1" t="s">
        <v>24</v>
      </c>
      <c r="H3326" s="1" t="str">
        <f>"0034"</f>
        <v>0034</v>
      </c>
      <c r="I3326" s="1" t="s">
        <v>31</v>
      </c>
      <c r="J3326" s="1" t="str">
        <f>"01043977568"</f>
        <v>01043977568</v>
      </c>
      <c r="K3326" s="1" t="str">
        <f>"2017-04-17 10:06:58"</f>
        <v>2017-04-17 10:06:58</v>
      </c>
      <c r="L3326" s="1" t="str">
        <f>"2017-04-17 10:07:09"</f>
        <v>2017-04-17 10:07:09</v>
      </c>
      <c r="M3326" s="2">
        <v>1.3703703703703704E-2</v>
      </c>
      <c r="N3326" s="1" t="s">
        <v>26</v>
      </c>
      <c r="O3326" s="1" t="s">
        <v>34</v>
      </c>
      <c r="P3326" s="2">
        <v>1.383101851851852E-2</v>
      </c>
      <c r="Q3326" s="1" t="s">
        <v>2396</v>
      </c>
      <c r="R3326" s="1">
        <v>0</v>
      </c>
      <c r="S3326" s="1" t="str">
        <f>""</f>
        <v/>
      </c>
      <c r="T3326" s="1" t="s">
        <v>29</v>
      </c>
      <c r="U3326" s="1" t="s">
        <v>30</v>
      </c>
      <c r="V3326" s="1">
        <v>0</v>
      </c>
    </row>
    <row r="3327" spans="2:22" x14ac:dyDescent="0.15">
      <c r="B3327" s="1" t="str">
        <f>"186****5049"</f>
        <v>186****5049</v>
      </c>
      <c r="C3327" s="1" t="s">
        <v>1021</v>
      </c>
      <c r="D3327" s="1" t="str">
        <f t="shared" si="335"/>
        <v>89177328</v>
      </c>
      <c r="E3327" s="1" t="s">
        <v>24</v>
      </c>
      <c r="F3327" s="1" t="str">
        <f t="shared" si="336"/>
        <v>0010</v>
      </c>
      <c r="G3327" s="1" t="s">
        <v>24</v>
      </c>
      <c r="H3327" s="1" t="str">
        <f>"0034"</f>
        <v>0034</v>
      </c>
      <c r="I3327" s="1" t="s">
        <v>31</v>
      </c>
      <c r="J3327" s="1" t="str">
        <f>"01043977568"</f>
        <v>01043977568</v>
      </c>
      <c r="K3327" s="1" t="str">
        <f>"2017-04-17 09:54:04"</f>
        <v>2017-04-17 09:54:04</v>
      </c>
      <c r="L3327" s="1" t="str">
        <f>"2017-04-17 09:54:14"</f>
        <v>2017-04-17 09:54:14</v>
      </c>
      <c r="M3327" s="2">
        <v>6.9444444444444447E-4</v>
      </c>
      <c r="N3327" s="1" t="s">
        <v>26</v>
      </c>
      <c r="O3327" s="1" t="s">
        <v>27</v>
      </c>
      <c r="P3327" s="2">
        <v>8.1018518518518516E-4</v>
      </c>
      <c r="Q3327" s="1" t="s">
        <v>2397</v>
      </c>
      <c r="R3327" s="1">
        <v>0</v>
      </c>
      <c r="S3327" s="1" t="str">
        <f>""</f>
        <v/>
      </c>
      <c r="T3327" s="1" t="s">
        <v>29</v>
      </c>
      <c r="U3327" s="1" t="s">
        <v>30</v>
      </c>
      <c r="V3327" s="1">
        <v>0</v>
      </c>
    </row>
    <row r="3328" spans="2:22" x14ac:dyDescent="0.15">
      <c r="B3328" s="1" t="str">
        <f>"188****7656"</f>
        <v>188****7656</v>
      </c>
      <c r="C3328" s="1" t="s">
        <v>1439</v>
      </c>
      <c r="D3328" s="1" t="str">
        <f>"4000108333"</f>
        <v>4000108333</v>
      </c>
      <c r="E3328" s="1" t="s">
        <v>53</v>
      </c>
      <c r="F3328" s="1" t="str">
        <f>"0000"</f>
        <v>0000</v>
      </c>
      <c r="G3328" s="1" t="s">
        <v>53</v>
      </c>
      <c r="H3328" s="1" t="str">
        <f>"1010"</f>
        <v>1010</v>
      </c>
      <c r="I3328" s="1" t="s">
        <v>148</v>
      </c>
      <c r="J3328" s="1" t="str">
        <f>"13718091869"</f>
        <v>13718091869</v>
      </c>
      <c r="K3328" s="1" t="str">
        <f>"2017-04-17 09:35:38"</f>
        <v>2017-04-17 09:35:38</v>
      </c>
      <c r="L3328" s="1" t="str">
        <f>"2017-04-17 09:36:13"</f>
        <v>2017-04-17 09:36:13</v>
      </c>
      <c r="M3328" s="2">
        <v>7.8009259259259256E-3</v>
      </c>
      <c r="N3328" s="1" t="s">
        <v>26</v>
      </c>
      <c r="O3328" s="1" t="s">
        <v>34</v>
      </c>
      <c r="P3328" s="2">
        <v>8.2060185185185187E-3</v>
      </c>
      <c r="Q3328" s="1" t="s">
        <v>2398</v>
      </c>
      <c r="R3328" s="1">
        <v>1.44</v>
      </c>
      <c r="S3328" s="1" t="str">
        <f>""</f>
        <v/>
      </c>
      <c r="T3328" s="1" t="s">
        <v>29</v>
      </c>
      <c r="U3328" s="1" t="s">
        <v>30</v>
      </c>
      <c r="V3328" s="1">
        <v>0</v>
      </c>
    </row>
    <row r="3329" spans="2:22" x14ac:dyDescent="0.15">
      <c r="B3329" s="1" t="str">
        <f>"010****0429"</f>
        <v>010****0429</v>
      </c>
      <c r="C3329" s="1" t="s">
        <v>23</v>
      </c>
      <c r="D3329" s="1" t="str">
        <f t="shared" ref="D3329:D3337" si="337">"89177328"</f>
        <v>89177328</v>
      </c>
      <c r="E3329" s="1" t="s">
        <v>24</v>
      </c>
      <c r="F3329" s="1" t="str">
        <f t="shared" ref="F3329:F3337" si="338">"0010"</f>
        <v>0010</v>
      </c>
      <c r="G3329" s="1" t="s">
        <v>24</v>
      </c>
      <c r="H3329" s="1" t="str">
        <f>"0032"</f>
        <v>0032</v>
      </c>
      <c r="I3329" s="1" t="s">
        <v>119</v>
      </c>
      <c r="J3329" s="1" t="str">
        <f>"01043977566"</f>
        <v>01043977566</v>
      </c>
      <c r="K3329" s="1" t="str">
        <f>"2017-04-17 09:30:23"</f>
        <v>2017-04-17 09:30:23</v>
      </c>
      <c r="L3329" s="1" t="str">
        <f>"2017-04-17 09:30:38"</f>
        <v>2017-04-17 09:30:38</v>
      </c>
      <c r="M3329" s="2">
        <v>3.9699074074074072E-3</v>
      </c>
      <c r="N3329" s="1" t="s">
        <v>26</v>
      </c>
      <c r="O3329" s="1" t="s">
        <v>34</v>
      </c>
      <c r="P3329" s="2">
        <v>4.1435185185185186E-3</v>
      </c>
      <c r="Q3329" s="1" t="s">
        <v>2399</v>
      </c>
      <c r="R3329" s="1">
        <v>0</v>
      </c>
      <c r="S3329" s="1" t="str">
        <f>""</f>
        <v/>
      </c>
      <c r="T3329" s="1" t="s">
        <v>29</v>
      </c>
      <c r="U3329" s="1" t="s">
        <v>30</v>
      </c>
      <c r="V3329" s="1">
        <v>0</v>
      </c>
    </row>
    <row r="3330" spans="2:22" x14ac:dyDescent="0.15">
      <c r="B3330" s="1" t="str">
        <f>"188****6374"</f>
        <v>188****6374</v>
      </c>
      <c r="C3330" s="1" t="s">
        <v>23</v>
      </c>
      <c r="D3330" s="1" t="str">
        <f t="shared" si="337"/>
        <v>89177328</v>
      </c>
      <c r="E3330" s="1" t="s">
        <v>24</v>
      </c>
      <c r="F3330" s="1" t="str">
        <f t="shared" si="338"/>
        <v>0010</v>
      </c>
      <c r="G3330" s="1" t="s">
        <v>24</v>
      </c>
      <c r="H3330" s="1" t="str">
        <f>"0031"</f>
        <v>0031</v>
      </c>
      <c r="I3330" s="1" t="s">
        <v>95</v>
      </c>
      <c r="J3330" s="1" t="str">
        <f>"01043977565"</f>
        <v>01043977565</v>
      </c>
      <c r="K3330" s="1" t="str">
        <f>"2017-04-17 09:30:02"</f>
        <v>2017-04-17 09:30:02</v>
      </c>
      <c r="L3330" s="1" t="str">
        <f>"2017-04-17 09:30:10"</f>
        <v>2017-04-17 09:30:10</v>
      </c>
      <c r="M3330" s="2">
        <v>3.9467592592592592E-3</v>
      </c>
      <c r="N3330" s="1" t="s">
        <v>26</v>
      </c>
      <c r="O3330" s="1" t="s">
        <v>27</v>
      </c>
      <c r="P3330" s="2">
        <v>4.0393518518518521E-3</v>
      </c>
      <c r="Q3330" s="1" t="s">
        <v>2400</v>
      </c>
      <c r="R3330" s="1">
        <v>0</v>
      </c>
      <c r="S3330" s="1" t="str">
        <f>""</f>
        <v/>
      </c>
      <c r="T3330" s="1" t="s">
        <v>29</v>
      </c>
      <c r="U3330" s="1" t="s">
        <v>30</v>
      </c>
      <c r="V3330" s="1">
        <v>0</v>
      </c>
    </row>
    <row r="3331" spans="2:22" x14ac:dyDescent="0.15">
      <c r="B3331" s="1" t="str">
        <f>"188****8593"</f>
        <v>188****8593</v>
      </c>
      <c r="C3331" s="1" t="s">
        <v>23</v>
      </c>
      <c r="D3331" s="1" t="str">
        <f t="shared" si="337"/>
        <v>89177328</v>
      </c>
      <c r="E3331" s="1" t="s">
        <v>24</v>
      </c>
      <c r="F3331" s="1" t="str">
        <f t="shared" si="338"/>
        <v>0010</v>
      </c>
      <c r="G3331" s="1" t="s">
        <v>24</v>
      </c>
      <c r="H3331" s="1" t="str">
        <f>"0034"</f>
        <v>0034</v>
      </c>
      <c r="I3331" s="1" t="s">
        <v>31</v>
      </c>
      <c r="J3331" s="1" t="str">
        <f>"01043977568"</f>
        <v>01043977568</v>
      </c>
      <c r="K3331" s="1" t="str">
        <f>"2017-04-17 09:24:50"</f>
        <v>2017-04-17 09:24:50</v>
      </c>
      <c r="L3331" s="1" t="str">
        <f>"2017-04-17 09:25:03"</f>
        <v>2017-04-17 09:25:03</v>
      </c>
      <c r="M3331" s="2">
        <v>5.4745370370370373E-3</v>
      </c>
      <c r="N3331" s="1" t="s">
        <v>26</v>
      </c>
      <c r="O3331" s="1" t="s">
        <v>27</v>
      </c>
      <c r="P3331" s="2">
        <v>5.6249999999999989E-3</v>
      </c>
      <c r="Q3331" s="1" t="s">
        <v>2401</v>
      </c>
      <c r="R3331" s="1">
        <v>0</v>
      </c>
      <c r="S3331" s="1" t="str">
        <f>""</f>
        <v/>
      </c>
      <c r="T3331" s="1" t="s">
        <v>29</v>
      </c>
      <c r="U3331" s="1" t="s">
        <v>30</v>
      </c>
      <c r="V3331" s="1">
        <v>0</v>
      </c>
    </row>
    <row r="3332" spans="2:22" x14ac:dyDescent="0.15">
      <c r="B3332" s="1" t="str">
        <f>"010****1522"</f>
        <v>010****1522</v>
      </c>
      <c r="C3332" s="1" t="s">
        <v>23</v>
      </c>
      <c r="D3332" s="1" t="str">
        <f t="shared" si="337"/>
        <v>89177328</v>
      </c>
      <c r="E3332" s="1" t="s">
        <v>24</v>
      </c>
      <c r="F3332" s="1" t="str">
        <f t="shared" si="338"/>
        <v>0010</v>
      </c>
      <c r="G3332" s="1" t="s">
        <v>24</v>
      </c>
      <c r="H3332" s="1" t="str">
        <f>"0031"</f>
        <v>0031</v>
      </c>
      <c r="I3332" s="1" t="s">
        <v>95</v>
      </c>
      <c r="J3332" s="1" t="str">
        <f>"01043977565"</f>
        <v>01043977565</v>
      </c>
      <c r="K3332" s="1" t="str">
        <f>"2017-04-17 09:13:10"</f>
        <v>2017-04-17 09:13:10</v>
      </c>
      <c r="L3332" s="1" t="str">
        <f>"2017-04-17 09:13:19"</f>
        <v>2017-04-17 09:13:19</v>
      </c>
      <c r="M3332" s="2">
        <v>5.5555555555555556E-4</v>
      </c>
      <c r="N3332" s="1" t="s">
        <v>26</v>
      </c>
      <c r="O3332" s="1" t="s">
        <v>27</v>
      </c>
      <c r="P3332" s="2">
        <v>6.5972222222222213E-4</v>
      </c>
      <c r="Q3332" s="1" t="s">
        <v>2402</v>
      </c>
      <c r="R3332" s="1">
        <v>0</v>
      </c>
      <c r="S3332" s="1" t="str">
        <f>""</f>
        <v/>
      </c>
      <c r="T3332" s="1" t="s">
        <v>29</v>
      </c>
      <c r="U3332" s="1" t="s">
        <v>30</v>
      </c>
      <c r="V3332" s="1">
        <v>0</v>
      </c>
    </row>
    <row r="3333" spans="2:22" x14ac:dyDescent="0.15">
      <c r="B3333" s="1" t="str">
        <f>"139****5188"</f>
        <v>139****5188</v>
      </c>
      <c r="C3333" s="1" t="s">
        <v>775</v>
      </c>
      <c r="D3333" s="1" t="str">
        <f t="shared" si="337"/>
        <v>89177328</v>
      </c>
      <c r="E3333" s="1" t="s">
        <v>24</v>
      </c>
      <c r="F3333" s="1" t="str">
        <f t="shared" si="338"/>
        <v>0010</v>
      </c>
      <c r="G3333" s="1" t="s">
        <v>24</v>
      </c>
      <c r="H3333" s="1" t="str">
        <f>"0032"</f>
        <v>0032</v>
      </c>
      <c r="I3333" s="1" t="s">
        <v>119</v>
      </c>
      <c r="J3333" s="1" t="str">
        <f>"01043977566"</f>
        <v>01043977566</v>
      </c>
      <c r="K3333" s="1" t="str">
        <f>"2017-04-17 09:00:47"</f>
        <v>2017-04-17 09:00:47</v>
      </c>
      <c r="L3333" s="1" t="str">
        <f>"-"</f>
        <v>-</v>
      </c>
      <c r="M3333" s="2">
        <v>0</v>
      </c>
      <c r="N3333" s="1" t="s">
        <v>33</v>
      </c>
      <c r="O3333" s="1" t="s">
        <v>34</v>
      </c>
      <c r="P3333" s="2">
        <v>2.3148148148148147E-5</v>
      </c>
      <c r="Q3333" s="1" t="str">
        <f>""</f>
        <v/>
      </c>
      <c r="R3333" s="1">
        <v>0</v>
      </c>
      <c r="S3333" s="1" t="str">
        <f>""</f>
        <v/>
      </c>
      <c r="T3333" s="1" t="s">
        <v>29</v>
      </c>
      <c r="U3333" s="1" t="s">
        <v>30</v>
      </c>
      <c r="V3333" s="1">
        <v>0</v>
      </c>
    </row>
    <row r="3334" spans="2:22" x14ac:dyDescent="0.15">
      <c r="B3334" s="1" t="str">
        <f>"159****7725"</f>
        <v>159****7725</v>
      </c>
      <c r="C3334" s="1" t="s">
        <v>23</v>
      </c>
      <c r="D3334" s="1" t="str">
        <f t="shared" si="337"/>
        <v>89177328</v>
      </c>
      <c r="E3334" s="1" t="s">
        <v>24</v>
      </c>
      <c r="F3334" s="1" t="str">
        <f t="shared" si="338"/>
        <v>0010</v>
      </c>
      <c r="G3334" s="1" t="s">
        <v>24</v>
      </c>
      <c r="H3334" s="1" t="str">
        <f>"0031"</f>
        <v>0031</v>
      </c>
      <c r="I3334" s="1" t="s">
        <v>95</v>
      </c>
      <c r="J3334" s="1" t="str">
        <f>"01043977565"</f>
        <v>01043977565</v>
      </c>
      <c r="K3334" s="1" t="str">
        <f>"2017-04-17 08:59:49"</f>
        <v>2017-04-17 08:59:49</v>
      </c>
      <c r="L3334" s="1" t="str">
        <f>"2017-04-17 08:59:59"</f>
        <v>2017-04-17 08:59:59</v>
      </c>
      <c r="M3334" s="2">
        <v>1.4583333333333334E-3</v>
      </c>
      <c r="N3334" s="1" t="s">
        <v>26</v>
      </c>
      <c r="O3334" s="1" t="s">
        <v>27</v>
      </c>
      <c r="P3334" s="2">
        <v>1.5740740740740741E-3</v>
      </c>
      <c r="Q3334" s="1" t="s">
        <v>2403</v>
      </c>
      <c r="R3334" s="1">
        <v>0</v>
      </c>
      <c r="S3334" s="1" t="str">
        <f>""</f>
        <v/>
      </c>
      <c r="T3334" s="1" t="s">
        <v>29</v>
      </c>
      <c r="U3334" s="1" t="s">
        <v>30</v>
      </c>
      <c r="V3334" s="1">
        <v>0</v>
      </c>
    </row>
    <row r="3335" spans="2:22" x14ac:dyDescent="0.15">
      <c r="B3335" s="1" t="str">
        <f>"010****7369"</f>
        <v>010****7369</v>
      </c>
      <c r="C3335" s="1" t="s">
        <v>23</v>
      </c>
      <c r="D3335" s="1" t="str">
        <f t="shared" si="337"/>
        <v>89177328</v>
      </c>
      <c r="E3335" s="1" t="s">
        <v>24</v>
      </c>
      <c r="F3335" s="1" t="str">
        <f t="shared" si="338"/>
        <v>0010</v>
      </c>
      <c r="G3335" s="1" t="s">
        <v>24</v>
      </c>
      <c r="H3335" s="1" t="str">
        <f>"0034"</f>
        <v>0034</v>
      </c>
      <c r="I3335" s="1" t="s">
        <v>31</v>
      </c>
      <c r="J3335" s="1" t="str">
        <f>"01043977568"</f>
        <v>01043977568</v>
      </c>
      <c r="K3335" s="1" t="str">
        <f>"2017-04-17 08:58:55"</f>
        <v>2017-04-17 08:58:55</v>
      </c>
      <c r="L3335" s="1" t="str">
        <f>"2017-04-17 08:59:05"</f>
        <v>2017-04-17 08:59:05</v>
      </c>
      <c r="M3335" s="2">
        <v>6.5624999999999998E-3</v>
      </c>
      <c r="N3335" s="1" t="s">
        <v>26</v>
      </c>
      <c r="O3335" s="1" t="s">
        <v>27</v>
      </c>
      <c r="P3335" s="2">
        <v>6.6782407407407415E-3</v>
      </c>
      <c r="Q3335" s="1" t="s">
        <v>2404</v>
      </c>
      <c r="R3335" s="1">
        <v>0</v>
      </c>
      <c r="S3335" s="1" t="str">
        <f>""</f>
        <v/>
      </c>
      <c r="T3335" s="1" t="s">
        <v>29</v>
      </c>
      <c r="U3335" s="1" t="s">
        <v>30</v>
      </c>
      <c r="V3335" s="1">
        <v>0</v>
      </c>
    </row>
    <row r="3336" spans="2:22" x14ac:dyDescent="0.15">
      <c r="B3336" s="1" t="str">
        <f>"139****5836"</f>
        <v>139****5836</v>
      </c>
      <c r="C3336" s="1" t="s">
        <v>102</v>
      </c>
      <c r="D3336" s="1" t="str">
        <f t="shared" si="337"/>
        <v>89177328</v>
      </c>
      <c r="E3336" s="1" t="s">
        <v>24</v>
      </c>
      <c r="F3336" s="1" t="str">
        <f t="shared" si="338"/>
        <v>0010</v>
      </c>
      <c r="G3336" s="1" t="s">
        <v>24</v>
      </c>
      <c r="H3336" s="1" t="str">
        <f>"0034"</f>
        <v>0034</v>
      </c>
      <c r="I3336" s="1" t="s">
        <v>31</v>
      </c>
      <c r="J3336" s="1" t="str">
        <f>"01043977568"</f>
        <v>01043977568</v>
      </c>
      <c r="K3336" s="1" t="str">
        <f>"2017-04-17 08:56:07"</f>
        <v>2017-04-17 08:56:07</v>
      </c>
      <c r="L3336" s="1" t="str">
        <f>"2017-04-17 08:56:18"</f>
        <v>2017-04-17 08:56:18</v>
      </c>
      <c r="M3336" s="2">
        <v>3.4722222222222224E-4</v>
      </c>
      <c r="N3336" s="1" t="s">
        <v>26</v>
      </c>
      <c r="O3336" s="1" t="s">
        <v>27</v>
      </c>
      <c r="P3336" s="2">
        <v>4.7453703703703704E-4</v>
      </c>
      <c r="Q3336" s="1" t="s">
        <v>2405</v>
      </c>
      <c r="R3336" s="1">
        <v>0</v>
      </c>
      <c r="S3336" s="1" t="str">
        <f>""</f>
        <v/>
      </c>
      <c r="T3336" s="1" t="s">
        <v>29</v>
      </c>
      <c r="U3336" s="1" t="s">
        <v>30</v>
      </c>
      <c r="V3336" s="1">
        <v>0</v>
      </c>
    </row>
    <row r="3337" spans="2:22" x14ac:dyDescent="0.15">
      <c r="B3337" s="1" t="str">
        <f>"138****3195"</f>
        <v>138****3195</v>
      </c>
      <c r="C3337" s="1" t="s">
        <v>1512</v>
      </c>
      <c r="D3337" s="1" t="str">
        <f t="shared" si="337"/>
        <v>89177328</v>
      </c>
      <c r="E3337" s="1" t="s">
        <v>24</v>
      </c>
      <c r="F3337" s="1" t="str">
        <f t="shared" si="338"/>
        <v>0010</v>
      </c>
      <c r="G3337" s="1" t="s">
        <v>24</v>
      </c>
      <c r="H3337" s="1" t="str">
        <f>""</f>
        <v/>
      </c>
      <c r="I3337" s="1" t="str">
        <f>""</f>
        <v/>
      </c>
      <c r="J3337" s="1" t="str">
        <f>""</f>
        <v/>
      </c>
      <c r="K3337" s="1" t="str">
        <f>"2017-04-17 08:40:08"</f>
        <v>2017-04-17 08:40:08</v>
      </c>
      <c r="L3337" s="1" t="str">
        <f>"-"</f>
        <v>-</v>
      </c>
      <c r="M3337" s="2">
        <v>0</v>
      </c>
      <c r="N3337" s="1" t="s">
        <v>55</v>
      </c>
      <c r="O3337" s="1" t="s">
        <v>27</v>
      </c>
      <c r="P3337" s="2">
        <v>4.6296296296296294E-5</v>
      </c>
      <c r="Q3337" s="1" t="str">
        <f>""</f>
        <v/>
      </c>
      <c r="R3337" s="1">
        <v>0</v>
      </c>
      <c r="S3337" s="1" t="str">
        <f>""</f>
        <v/>
      </c>
      <c r="T3337" s="1" t="s">
        <v>29</v>
      </c>
      <c r="U3337" s="1" t="s">
        <v>30</v>
      </c>
      <c r="V3337" s="1">
        <v>0</v>
      </c>
    </row>
    <row r="3338" spans="2:22" x14ac:dyDescent="0.15">
      <c r="B3338" s="1" t="str">
        <f>"138****6898"</f>
        <v>138****6898</v>
      </c>
      <c r="C3338" s="1" t="s">
        <v>341</v>
      </c>
      <c r="D3338" s="1" t="str">
        <f>"4000108333"</f>
        <v>4000108333</v>
      </c>
      <c r="E3338" s="1" t="s">
        <v>53</v>
      </c>
      <c r="F3338" s="1" t="str">
        <f>"0000"</f>
        <v>0000</v>
      </c>
      <c r="G3338" s="1" t="s">
        <v>53</v>
      </c>
      <c r="H3338" s="1" t="str">
        <f>"1010"</f>
        <v>1010</v>
      </c>
      <c r="I3338" s="1" t="s">
        <v>148</v>
      </c>
      <c r="J3338" s="1" t="str">
        <f>"13718091869"</f>
        <v>13718091869</v>
      </c>
      <c r="K3338" s="1" t="str">
        <f>"2017-04-17 08:38:02"</f>
        <v>2017-04-17 08:38:02</v>
      </c>
      <c r="L3338" s="1" t="str">
        <f>"2017-04-17 08:38:32"</f>
        <v>2017-04-17 08:38:32</v>
      </c>
      <c r="M3338" s="2">
        <v>5.5671296296296302E-3</v>
      </c>
      <c r="N3338" s="1" t="s">
        <v>26</v>
      </c>
      <c r="O3338" s="1" t="s">
        <v>27</v>
      </c>
      <c r="P3338" s="2">
        <v>5.9143518518518521E-3</v>
      </c>
      <c r="Q3338" s="1" t="s">
        <v>2406</v>
      </c>
      <c r="R3338" s="1">
        <v>1.08</v>
      </c>
      <c r="S3338" s="1" t="str">
        <f>""</f>
        <v/>
      </c>
      <c r="T3338" s="1" t="s">
        <v>29</v>
      </c>
      <c r="U3338" s="1" t="s">
        <v>30</v>
      </c>
      <c r="V3338" s="1">
        <v>0</v>
      </c>
    </row>
    <row r="3339" spans="2:22" x14ac:dyDescent="0.15">
      <c r="B3339" s="1" t="str">
        <f>"176****5771"</f>
        <v>176****5771</v>
      </c>
      <c r="C3339" s="1" t="s">
        <v>23</v>
      </c>
      <c r="D3339" s="1" t="str">
        <f t="shared" ref="D3339:D3382" si="339">"89177328"</f>
        <v>89177328</v>
      </c>
      <c r="E3339" s="1" t="s">
        <v>24</v>
      </c>
      <c r="F3339" s="1" t="str">
        <f>"0010"</f>
        <v>0010</v>
      </c>
      <c r="G3339" s="1" t="s">
        <v>24</v>
      </c>
      <c r="H3339" s="1" t="str">
        <f>"0034"</f>
        <v>0034</v>
      </c>
      <c r="I3339" s="1" t="s">
        <v>31</v>
      </c>
      <c r="J3339" s="1" t="str">
        <f>"01043977568"</f>
        <v>01043977568</v>
      </c>
      <c r="K3339" s="1" t="str">
        <f>"2017-04-17 08:36:02"</f>
        <v>2017-04-17 08:36:02</v>
      </c>
      <c r="L3339" s="1" t="str">
        <f>"2017-04-17 08:36:14"</f>
        <v>2017-04-17 08:36:14</v>
      </c>
      <c r="M3339" s="2">
        <v>4.6527777777777774E-3</v>
      </c>
      <c r="N3339" s="1" t="s">
        <v>26</v>
      </c>
      <c r="O3339" s="1" t="s">
        <v>34</v>
      </c>
      <c r="P3339" s="2">
        <v>4.7916666666666672E-3</v>
      </c>
      <c r="Q3339" s="1" t="s">
        <v>2407</v>
      </c>
      <c r="R3339" s="1">
        <v>0</v>
      </c>
      <c r="S3339" s="1" t="str">
        <f>""</f>
        <v/>
      </c>
      <c r="T3339" s="1" t="s">
        <v>29</v>
      </c>
      <c r="U3339" s="1" t="s">
        <v>30</v>
      </c>
      <c r="V3339" s="1">
        <v>0</v>
      </c>
    </row>
    <row r="3340" spans="2:22" x14ac:dyDescent="0.15">
      <c r="B3340" s="1" t="str">
        <f>"188****7656"</f>
        <v>188****7656</v>
      </c>
      <c r="C3340" s="1" t="s">
        <v>1439</v>
      </c>
      <c r="D3340" s="1" t="str">
        <f t="shared" si="339"/>
        <v>89177328</v>
      </c>
      <c r="E3340" s="1" t="s">
        <v>24</v>
      </c>
      <c r="F3340" s="1" t="str">
        <f>"0010"</f>
        <v>0010</v>
      </c>
      <c r="G3340" s="1" t="s">
        <v>24</v>
      </c>
      <c r="H3340" s="1" t="str">
        <f>"0032"</f>
        <v>0032</v>
      </c>
      <c r="I3340" s="1" t="s">
        <v>119</v>
      </c>
      <c r="J3340" s="1" t="str">
        <f>"01043977566"</f>
        <v>01043977566</v>
      </c>
      <c r="K3340" s="1" t="str">
        <f>"2017-04-17 08:22:29"</f>
        <v>2017-04-17 08:22:29</v>
      </c>
      <c r="L3340" s="1" t="str">
        <f>"2017-04-17 08:22:48"</f>
        <v>2017-04-17 08:22:48</v>
      </c>
      <c r="M3340" s="2">
        <v>1.7499999999999998E-2</v>
      </c>
      <c r="N3340" s="1" t="s">
        <v>26</v>
      </c>
      <c r="O3340" s="1" t="s">
        <v>34</v>
      </c>
      <c r="P3340" s="2">
        <v>1.7719907407407406E-2</v>
      </c>
      <c r="Q3340" s="1" t="s">
        <v>2408</v>
      </c>
      <c r="R3340" s="1">
        <v>0</v>
      </c>
      <c r="S3340" s="1" t="str">
        <f>""</f>
        <v/>
      </c>
      <c r="T3340" s="1" t="s">
        <v>29</v>
      </c>
      <c r="U3340" s="1" t="s">
        <v>30</v>
      </c>
      <c r="V3340" s="1">
        <v>0</v>
      </c>
    </row>
    <row r="3341" spans="2:22" x14ac:dyDescent="0.15">
      <c r="B3341" s="1" t="str">
        <f>"159****1506"</f>
        <v>159****1506</v>
      </c>
      <c r="C3341" s="1" t="s">
        <v>51</v>
      </c>
      <c r="D3341" s="1" t="str">
        <f t="shared" si="339"/>
        <v>89177328</v>
      </c>
      <c r="E3341" s="1" t="s">
        <v>181</v>
      </c>
      <c r="F3341" s="1" t="str">
        <f>""</f>
        <v/>
      </c>
      <c r="G3341" s="1" t="str">
        <f>""</f>
        <v/>
      </c>
      <c r="H3341" s="1" t="str">
        <f>""</f>
        <v/>
      </c>
      <c r="I3341" s="1" t="str">
        <f>""</f>
        <v/>
      </c>
      <c r="J3341" s="1" t="str">
        <f>""</f>
        <v/>
      </c>
      <c r="K3341" s="1" t="str">
        <f>"2017-04-17 07:53:54"</f>
        <v>2017-04-17 07:53:54</v>
      </c>
      <c r="L3341" s="1" t="str">
        <f>"-"</f>
        <v>-</v>
      </c>
      <c r="M3341" s="2">
        <v>0</v>
      </c>
      <c r="N3341" s="1" t="s">
        <v>55</v>
      </c>
      <c r="O3341" s="1" t="s">
        <v>34</v>
      </c>
      <c r="P3341" s="2">
        <v>1.1574074074074073E-4</v>
      </c>
      <c r="Q3341" s="1" t="str">
        <f>""</f>
        <v/>
      </c>
      <c r="R3341" s="1">
        <v>0</v>
      </c>
      <c r="S3341" s="1" t="str">
        <f>""</f>
        <v/>
      </c>
      <c r="T3341" s="1" t="s">
        <v>183</v>
      </c>
      <c r="U3341" s="1" t="s">
        <v>30</v>
      </c>
      <c r="V3341" s="1">
        <v>0</v>
      </c>
    </row>
    <row r="3342" spans="2:22" x14ac:dyDescent="0.15">
      <c r="B3342" s="1" t="str">
        <f>"159****1539"</f>
        <v>159****1539</v>
      </c>
      <c r="C3342" s="1" t="s">
        <v>23</v>
      </c>
      <c r="D3342" s="1" t="str">
        <f t="shared" si="339"/>
        <v>89177328</v>
      </c>
      <c r="E3342" s="1" t="s">
        <v>181</v>
      </c>
      <c r="F3342" s="1" t="str">
        <f>""</f>
        <v/>
      </c>
      <c r="G3342" s="1" t="str">
        <f>""</f>
        <v/>
      </c>
      <c r="H3342" s="1" t="str">
        <f>""</f>
        <v/>
      </c>
      <c r="I3342" s="1" t="str">
        <f>""</f>
        <v/>
      </c>
      <c r="J3342" s="1" t="str">
        <f>""</f>
        <v/>
      </c>
      <c r="K3342" s="1" t="str">
        <f>"2017-04-16 21:07:16"</f>
        <v>2017-04-16 21:07:16</v>
      </c>
      <c r="L3342" s="1" t="str">
        <f>"2017-04-16 21:07:27"</f>
        <v>2017-04-16 21:07:27</v>
      </c>
      <c r="M3342" s="2">
        <v>3.4722222222222222E-5</v>
      </c>
      <c r="N3342" s="1" t="s">
        <v>55</v>
      </c>
      <c r="O3342" s="1" t="s">
        <v>27</v>
      </c>
      <c r="P3342" s="2">
        <v>2.6620370370370372E-4</v>
      </c>
      <c r="Q3342" s="1" t="str">
        <f>""</f>
        <v/>
      </c>
      <c r="R3342" s="1">
        <v>0</v>
      </c>
      <c r="S3342" s="1" t="str">
        <f>""</f>
        <v/>
      </c>
      <c r="T3342" s="1" t="s">
        <v>183</v>
      </c>
      <c r="U3342" s="1" t="s">
        <v>30</v>
      </c>
      <c r="V3342" s="1">
        <v>0</v>
      </c>
    </row>
    <row r="3343" spans="2:22" x14ac:dyDescent="0.15">
      <c r="B3343" s="1" t="str">
        <f>"139****9458"</f>
        <v>139****9458</v>
      </c>
      <c r="C3343" s="1" t="s">
        <v>1021</v>
      </c>
      <c r="D3343" s="1" t="str">
        <f t="shared" si="339"/>
        <v>89177328</v>
      </c>
      <c r="E3343" s="1" t="s">
        <v>24</v>
      </c>
      <c r="F3343" s="1" t="str">
        <f t="shared" ref="F3343:F3382" si="340">"0010"</f>
        <v>0010</v>
      </c>
      <c r="G3343" s="1" t="s">
        <v>24</v>
      </c>
      <c r="H3343" s="1" t="str">
        <f>"0017"</f>
        <v>0017</v>
      </c>
      <c r="I3343" s="1" t="s">
        <v>135</v>
      </c>
      <c r="J3343" s="1" t="str">
        <f>"01043989717"</f>
        <v>01043989717</v>
      </c>
      <c r="K3343" s="1" t="str">
        <f>"2017-04-16 20:36:12"</f>
        <v>2017-04-16 20:36:12</v>
      </c>
      <c r="L3343" s="1" t="str">
        <f>"-"</f>
        <v>-</v>
      </c>
      <c r="M3343" s="2">
        <v>0</v>
      </c>
      <c r="N3343" s="1" t="s">
        <v>33</v>
      </c>
      <c r="O3343" s="1" t="s">
        <v>34</v>
      </c>
      <c r="P3343" s="2">
        <v>1.1574074074074073E-5</v>
      </c>
      <c r="Q3343" s="1" t="str">
        <f>""</f>
        <v/>
      </c>
      <c r="R3343" s="1">
        <v>0</v>
      </c>
      <c r="S3343" s="1" t="str">
        <f>""</f>
        <v/>
      </c>
      <c r="T3343" s="1" t="s">
        <v>29</v>
      </c>
      <c r="U3343" s="1" t="s">
        <v>30</v>
      </c>
      <c r="V3343" s="1">
        <v>0</v>
      </c>
    </row>
    <row r="3344" spans="2:22" x14ac:dyDescent="0.15">
      <c r="B3344" s="1" t="str">
        <f>"138****2975"</f>
        <v>138****2975</v>
      </c>
      <c r="C3344" s="1" t="s">
        <v>23</v>
      </c>
      <c r="D3344" s="1" t="str">
        <f t="shared" si="339"/>
        <v>89177328</v>
      </c>
      <c r="E3344" s="1" t="s">
        <v>24</v>
      </c>
      <c r="F3344" s="1" t="str">
        <f t="shared" si="340"/>
        <v>0010</v>
      </c>
      <c r="G3344" s="1" t="s">
        <v>24</v>
      </c>
      <c r="H3344" s="1" t="str">
        <f>"0032"</f>
        <v>0032</v>
      </c>
      <c r="I3344" s="1" t="s">
        <v>119</v>
      </c>
      <c r="J3344" s="1" t="str">
        <f>"01043977566"</f>
        <v>01043977566</v>
      </c>
      <c r="K3344" s="1" t="str">
        <f>"2017-04-16 19:58:42"</f>
        <v>2017-04-16 19:58:42</v>
      </c>
      <c r="L3344" s="1" t="str">
        <f>"2017-04-16 19:58:56"</f>
        <v>2017-04-16 19:58:56</v>
      </c>
      <c r="M3344" s="2">
        <v>8.449074074074075E-4</v>
      </c>
      <c r="N3344" s="1" t="s">
        <v>26</v>
      </c>
      <c r="O3344" s="1" t="s">
        <v>34</v>
      </c>
      <c r="P3344" s="2">
        <v>1.0069444444444444E-3</v>
      </c>
      <c r="Q3344" s="1" t="s">
        <v>2409</v>
      </c>
      <c r="R3344" s="1">
        <v>0</v>
      </c>
      <c r="S3344" s="1" t="str">
        <f>""</f>
        <v/>
      </c>
      <c r="T3344" s="1" t="s">
        <v>29</v>
      </c>
      <c r="U3344" s="1" t="s">
        <v>30</v>
      </c>
      <c r="V3344" s="1">
        <v>0</v>
      </c>
    </row>
    <row r="3345" spans="2:22" x14ac:dyDescent="0.15">
      <c r="B3345" s="1" t="str">
        <f>"130****5656"</f>
        <v>130****5656</v>
      </c>
      <c r="C3345" s="1" t="s">
        <v>112</v>
      </c>
      <c r="D3345" s="1" t="str">
        <f t="shared" si="339"/>
        <v>89177328</v>
      </c>
      <c r="E3345" s="1" t="s">
        <v>24</v>
      </c>
      <c r="F3345" s="1" t="str">
        <f t="shared" si="340"/>
        <v>0010</v>
      </c>
      <c r="G3345" s="1" t="s">
        <v>24</v>
      </c>
      <c r="H3345" s="1" t="str">
        <f>"0031"</f>
        <v>0031</v>
      </c>
      <c r="I3345" s="1" t="s">
        <v>95</v>
      </c>
      <c r="J3345" s="1" t="str">
        <f>"01043977565"</f>
        <v>01043977565</v>
      </c>
      <c r="K3345" s="1" t="str">
        <f>"2017-04-16 19:13:40"</f>
        <v>2017-04-16 19:13:40</v>
      </c>
      <c r="L3345" s="1" t="str">
        <f>"-"</f>
        <v>-</v>
      </c>
      <c r="M3345" s="2">
        <v>0</v>
      </c>
      <c r="N3345" s="1" t="s">
        <v>33</v>
      </c>
      <c r="O3345" s="1" t="s">
        <v>34</v>
      </c>
      <c r="P3345" s="2">
        <v>3.4722222222222222E-5</v>
      </c>
      <c r="Q3345" s="1" t="str">
        <f>""</f>
        <v/>
      </c>
      <c r="R3345" s="1">
        <v>0</v>
      </c>
      <c r="S3345" s="1" t="str">
        <f>""</f>
        <v/>
      </c>
      <c r="T3345" s="1" t="s">
        <v>29</v>
      </c>
      <c r="U3345" s="1" t="s">
        <v>30</v>
      </c>
      <c r="V3345" s="1">
        <v>0</v>
      </c>
    </row>
    <row r="3346" spans="2:22" x14ac:dyDescent="0.15">
      <c r="B3346" s="1" t="str">
        <f>"116114"</f>
        <v>116114</v>
      </c>
      <c r="C3346" s="1" t="s">
        <v>159</v>
      </c>
      <c r="D3346" s="1" t="str">
        <f t="shared" si="339"/>
        <v>89177328</v>
      </c>
      <c r="E3346" s="1" t="s">
        <v>24</v>
      </c>
      <c r="F3346" s="1" t="str">
        <f t="shared" si="340"/>
        <v>0010</v>
      </c>
      <c r="G3346" s="1" t="s">
        <v>24</v>
      </c>
      <c r="H3346" s="1" t="str">
        <f>"0031"</f>
        <v>0031</v>
      </c>
      <c r="I3346" s="1" t="s">
        <v>95</v>
      </c>
      <c r="J3346" s="1" t="str">
        <f>"01043977565"</f>
        <v>01043977565</v>
      </c>
      <c r="K3346" s="1" t="str">
        <f>"2017-04-16 18:38:48"</f>
        <v>2017-04-16 18:38:48</v>
      </c>
      <c r="L3346" s="1" t="str">
        <f>"-"</f>
        <v>-</v>
      </c>
      <c r="M3346" s="2">
        <v>0</v>
      </c>
      <c r="N3346" s="1" t="s">
        <v>33</v>
      </c>
      <c r="O3346" s="1" t="s">
        <v>34</v>
      </c>
      <c r="P3346" s="2">
        <v>2.3148148148148147E-5</v>
      </c>
      <c r="Q3346" s="1" t="str">
        <f>""</f>
        <v/>
      </c>
      <c r="R3346" s="1">
        <v>0</v>
      </c>
      <c r="S3346" s="1" t="str">
        <f>""</f>
        <v/>
      </c>
      <c r="T3346" s="1" t="s">
        <v>29</v>
      </c>
      <c r="U3346" s="1" t="s">
        <v>30</v>
      </c>
      <c r="V3346" s="1">
        <v>0</v>
      </c>
    </row>
    <row r="3347" spans="2:22" x14ac:dyDescent="0.15">
      <c r="B3347" s="1" t="str">
        <f>"136****7309"</f>
        <v>136****7309</v>
      </c>
      <c r="C3347" s="1" t="s">
        <v>81</v>
      </c>
      <c r="D3347" s="1" t="str">
        <f t="shared" si="339"/>
        <v>89177328</v>
      </c>
      <c r="E3347" s="1" t="s">
        <v>24</v>
      </c>
      <c r="F3347" s="1" t="str">
        <f t="shared" si="340"/>
        <v>0010</v>
      </c>
      <c r="G3347" s="1" t="s">
        <v>24</v>
      </c>
      <c r="H3347" s="1" t="str">
        <f>"0017"</f>
        <v>0017</v>
      </c>
      <c r="I3347" s="1" t="s">
        <v>135</v>
      </c>
      <c r="J3347" s="1" t="str">
        <f>"01043989717"</f>
        <v>01043989717</v>
      </c>
      <c r="K3347" s="1" t="str">
        <f>"2017-04-16 18:03:25"</f>
        <v>2017-04-16 18:03:25</v>
      </c>
      <c r="L3347" s="1" t="str">
        <f>"2017-04-16 18:03:33"</f>
        <v>2017-04-16 18:03:33</v>
      </c>
      <c r="M3347" s="2">
        <v>6.4930555555555549E-3</v>
      </c>
      <c r="N3347" s="1" t="s">
        <v>26</v>
      </c>
      <c r="O3347" s="1" t="s">
        <v>27</v>
      </c>
      <c r="P3347" s="2">
        <v>6.5856481481481469E-3</v>
      </c>
      <c r="Q3347" s="1" t="s">
        <v>2410</v>
      </c>
      <c r="R3347" s="1">
        <v>0</v>
      </c>
      <c r="S3347" s="1" t="str">
        <f>""</f>
        <v/>
      </c>
      <c r="T3347" s="1" t="s">
        <v>29</v>
      </c>
      <c r="U3347" s="1" t="s">
        <v>30</v>
      </c>
      <c r="V3347" s="1">
        <v>0</v>
      </c>
    </row>
    <row r="3348" spans="2:22" x14ac:dyDescent="0.15">
      <c r="B3348" s="1" t="str">
        <f>"185****8082"</f>
        <v>185****8082</v>
      </c>
      <c r="C3348" s="1" t="s">
        <v>23</v>
      </c>
      <c r="D3348" s="1" t="str">
        <f t="shared" si="339"/>
        <v>89177328</v>
      </c>
      <c r="E3348" s="1" t="s">
        <v>24</v>
      </c>
      <c r="F3348" s="1" t="str">
        <f t="shared" si="340"/>
        <v>0010</v>
      </c>
      <c r="G3348" s="1" t="s">
        <v>24</v>
      </c>
      <c r="H3348" s="1" t="str">
        <f>"0032"</f>
        <v>0032</v>
      </c>
      <c r="I3348" s="1" t="s">
        <v>119</v>
      </c>
      <c r="J3348" s="1" t="str">
        <f>"01043977566"</f>
        <v>01043977566</v>
      </c>
      <c r="K3348" s="1" t="str">
        <f>"2017-04-16 17:42:01"</f>
        <v>2017-04-16 17:42:01</v>
      </c>
      <c r="L3348" s="1" t="str">
        <f>"-"</f>
        <v>-</v>
      </c>
      <c r="M3348" s="2">
        <v>0</v>
      </c>
      <c r="N3348" s="1" t="s">
        <v>33</v>
      </c>
      <c r="O3348" s="1" t="s">
        <v>34</v>
      </c>
      <c r="P3348" s="2">
        <v>2.3148148148148147E-5</v>
      </c>
      <c r="Q3348" s="1" t="str">
        <f>""</f>
        <v/>
      </c>
      <c r="R3348" s="1">
        <v>0</v>
      </c>
      <c r="S3348" s="1" t="str">
        <f>""</f>
        <v/>
      </c>
      <c r="T3348" s="1" t="s">
        <v>29</v>
      </c>
      <c r="U3348" s="1" t="s">
        <v>30</v>
      </c>
      <c r="V3348" s="1">
        <v>0</v>
      </c>
    </row>
    <row r="3349" spans="2:22" x14ac:dyDescent="0.15">
      <c r="B3349" s="1" t="str">
        <f>"116114"</f>
        <v>116114</v>
      </c>
      <c r="C3349" s="1" t="s">
        <v>159</v>
      </c>
      <c r="D3349" s="1" t="str">
        <f t="shared" si="339"/>
        <v>89177328</v>
      </c>
      <c r="E3349" s="1" t="s">
        <v>24</v>
      </c>
      <c r="F3349" s="1" t="str">
        <f t="shared" si="340"/>
        <v>0010</v>
      </c>
      <c r="G3349" s="1" t="s">
        <v>24</v>
      </c>
      <c r="H3349" s="1" t="str">
        <f>"0017"</f>
        <v>0017</v>
      </c>
      <c r="I3349" s="1" t="s">
        <v>135</v>
      </c>
      <c r="J3349" s="1" t="str">
        <f>"01043989717"</f>
        <v>01043989717</v>
      </c>
      <c r="K3349" s="1" t="str">
        <f>"2017-04-16 17:30:28"</f>
        <v>2017-04-16 17:30:28</v>
      </c>
      <c r="L3349" s="1" t="str">
        <f>"2017-04-16 17:30:37"</f>
        <v>2017-04-16 17:30:37</v>
      </c>
      <c r="M3349" s="2">
        <v>1.3541666666666667E-3</v>
      </c>
      <c r="N3349" s="1" t="s">
        <v>26</v>
      </c>
      <c r="O3349" s="1" t="s">
        <v>27</v>
      </c>
      <c r="P3349" s="2">
        <v>1.4583333333333334E-3</v>
      </c>
      <c r="Q3349" s="1" t="s">
        <v>2411</v>
      </c>
      <c r="R3349" s="1">
        <v>0</v>
      </c>
      <c r="S3349" s="1" t="str">
        <f>""</f>
        <v/>
      </c>
      <c r="T3349" s="1" t="s">
        <v>29</v>
      </c>
      <c r="U3349" s="1" t="s">
        <v>30</v>
      </c>
      <c r="V3349" s="1">
        <v>0</v>
      </c>
    </row>
    <row r="3350" spans="2:22" x14ac:dyDescent="0.15">
      <c r="B3350" s="1" t="str">
        <f>"138****1458"</f>
        <v>138****1458</v>
      </c>
      <c r="C3350" s="1" t="s">
        <v>23</v>
      </c>
      <c r="D3350" s="1" t="str">
        <f t="shared" si="339"/>
        <v>89177328</v>
      </c>
      <c r="E3350" s="1" t="s">
        <v>24</v>
      </c>
      <c r="F3350" s="1" t="str">
        <f t="shared" si="340"/>
        <v>0010</v>
      </c>
      <c r="G3350" s="1" t="s">
        <v>24</v>
      </c>
      <c r="H3350" s="1" t="str">
        <f>"0017"</f>
        <v>0017</v>
      </c>
      <c r="I3350" s="1" t="s">
        <v>135</v>
      </c>
      <c r="J3350" s="1" t="str">
        <f>"01043989717"</f>
        <v>01043989717</v>
      </c>
      <c r="K3350" s="1" t="str">
        <f>"2017-04-16 16:54:37"</f>
        <v>2017-04-16 16:54:37</v>
      </c>
      <c r="L3350" s="1" t="str">
        <f>"2017-04-16 16:54:48"</f>
        <v>2017-04-16 16:54:48</v>
      </c>
      <c r="M3350" s="2">
        <v>1.7824074074074072E-3</v>
      </c>
      <c r="N3350" s="1" t="s">
        <v>26</v>
      </c>
      <c r="O3350" s="1" t="s">
        <v>27</v>
      </c>
      <c r="P3350" s="2">
        <v>1.9097222222222222E-3</v>
      </c>
      <c r="Q3350" s="1" t="s">
        <v>2412</v>
      </c>
      <c r="R3350" s="1">
        <v>0</v>
      </c>
      <c r="S3350" s="1" t="str">
        <f>""</f>
        <v/>
      </c>
      <c r="T3350" s="1" t="s">
        <v>29</v>
      </c>
      <c r="U3350" s="1" t="s">
        <v>30</v>
      </c>
      <c r="V3350" s="1">
        <v>0</v>
      </c>
    </row>
    <row r="3351" spans="2:22" x14ac:dyDescent="0.15">
      <c r="B3351" s="1" t="str">
        <f>"130****5656"</f>
        <v>130****5656</v>
      </c>
      <c r="C3351" s="1" t="s">
        <v>112</v>
      </c>
      <c r="D3351" s="1" t="str">
        <f t="shared" si="339"/>
        <v>89177328</v>
      </c>
      <c r="E3351" s="1" t="s">
        <v>24</v>
      </c>
      <c r="F3351" s="1" t="str">
        <f t="shared" si="340"/>
        <v>0010</v>
      </c>
      <c r="G3351" s="1" t="s">
        <v>24</v>
      </c>
      <c r="H3351" s="1" t="str">
        <f>"0032"</f>
        <v>0032</v>
      </c>
      <c r="I3351" s="1" t="s">
        <v>119</v>
      </c>
      <c r="J3351" s="1" t="str">
        <f>"01043977566"</f>
        <v>01043977566</v>
      </c>
      <c r="K3351" s="1" t="str">
        <f>"2017-04-16 16:44:51"</f>
        <v>2017-04-16 16:44:51</v>
      </c>
      <c r="L3351" s="1" t="str">
        <f>"-"</f>
        <v>-</v>
      </c>
      <c r="M3351" s="2">
        <v>0</v>
      </c>
      <c r="N3351" s="1" t="s">
        <v>33</v>
      </c>
      <c r="O3351" s="1" t="s">
        <v>34</v>
      </c>
      <c r="P3351" s="2">
        <v>3.8194444444444446E-4</v>
      </c>
      <c r="Q3351" s="1" t="str">
        <f>""</f>
        <v/>
      </c>
      <c r="R3351" s="1">
        <v>0</v>
      </c>
      <c r="S3351" s="1" t="str">
        <f>""</f>
        <v/>
      </c>
      <c r="T3351" s="1" t="s">
        <v>29</v>
      </c>
      <c r="U3351" s="1" t="s">
        <v>30</v>
      </c>
      <c r="V3351" s="1">
        <v>0</v>
      </c>
    </row>
    <row r="3352" spans="2:22" x14ac:dyDescent="0.15">
      <c r="B3352" s="1" t="str">
        <f>"130****5656"</f>
        <v>130****5656</v>
      </c>
      <c r="C3352" s="1" t="s">
        <v>112</v>
      </c>
      <c r="D3352" s="1" t="str">
        <f t="shared" si="339"/>
        <v>89177328</v>
      </c>
      <c r="E3352" s="1" t="s">
        <v>24</v>
      </c>
      <c r="F3352" s="1" t="str">
        <f t="shared" si="340"/>
        <v>0010</v>
      </c>
      <c r="G3352" s="1" t="s">
        <v>24</v>
      </c>
      <c r="H3352" s="1" t="str">
        <f>"0017"</f>
        <v>0017</v>
      </c>
      <c r="I3352" s="1" t="s">
        <v>135</v>
      </c>
      <c r="J3352" s="1" t="str">
        <f>"01043989717"</f>
        <v>01043989717</v>
      </c>
      <c r="K3352" s="1" t="str">
        <f>"2017-04-16 16:41:39"</f>
        <v>2017-04-16 16:41:39</v>
      </c>
      <c r="L3352" s="1" t="str">
        <f>"-"</f>
        <v>-</v>
      </c>
      <c r="M3352" s="2">
        <v>0</v>
      </c>
      <c r="N3352" s="1" t="s">
        <v>33</v>
      </c>
      <c r="O3352" s="1" t="s">
        <v>34</v>
      </c>
      <c r="P3352" s="2">
        <v>3.4722222222222222E-5</v>
      </c>
      <c r="Q3352" s="1" t="str">
        <f>""</f>
        <v/>
      </c>
      <c r="R3352" s="1">
        <v>0</v>
      </c>
      <c r="S3352" s="1" t="str">
        <f>""</f>
        <v/>
      </c>
      <c r="T3352" s="1" t="s">
        <v>29</v>
      </c>
      <c r="U3352" s="1" t="s">
        <v>30</v>
      </c>
      <c r="V3352" s="1">
        <v>0</v>
      </c>
    </row>
    <row r="3353" spans="2:22" x14ac:dyDescent="0.15">
      <c r="B3353" s="1" t="str">
        <f>"130****5656"</f>
        <v>130****5656</v>
      </c>
      <c r="C3353" s="1" t="s">
        <v>112</v>
      </c>
      <c r="D3353" s="1" t="str">
        <f t="shared" si="339"/>
        <v>89177328</v>
      </c>
      <c r="E3353" s="1" t="s">
        <v>24</v>
      </c>
      <c r="F3353" s="1" t="str">
        <f t="shared" si="340"/>
        <v>0010</v>
      </c>
      <c r="G3353" s="1" t="s">
        <v>24</v>
      </c>
      <c r="H3353" s="1" t="str">
        <f>"0017"</f>
        <v>0017</v>
      </c>
      <c r="I3353" s="1" t="s">
        <v>135</v>
      </c>
      <c r="J3353" s="1" t="str">
        <f>"01043989717"</f>
        <v>01043989717</v>
      </c>
      <c r="K3353" s="1" t="str">
        <f>"2017-04-16 16:41:25"</f>
        <v>2017-04-16 16:41:25</v>
      </c>
      <c r="L3353" s="1" t="str">
        <f>"-"</f>
        <v>-</v>
      </c>
      <c r="M3353" s="2">
        <v>0</v>
      </c>
      <c r="N3353" s="1" t="s">
        <v>33</v>
      </c>
      <c r="O3353" s="1" t="s">
        <v>34</v>
      </c>
      <c r="P3353" s="2">
        <v>9.2592592592592588E-5</v>
      </c>
      <c r="Q3353" s="1" t="str">
        <f>""</f>
        <v/>
      </c>
      <c r="R3353" s="1">
        <v>0</v>
      </c>
      <c r="S3353" s="1" t="str">
        <f>""</f>
        <v/>
      </c>
      <c r="T3353" s="1" t="s">
        <v>29</v>
      </c>
      <c r="U3353" s="1" t="s">
        <v>30</v>
      </c>
      <c r="V3353" s="1">
        <v>0</v>
      </c>
    </row>
    <row r="3354" spans="2:22" x14ac:dyDescent="0.15">
      <c r="B3354" s="1" t="str">
        <f>"181****8846"</f>
        <v>181****8846</v>
      </c>
      <c r="C3354" s="1" t="s">
        <v>99</v>
      </c>
      <c r="D3354" s="1" t="str">
        <f t="shared" si="339"/>
        <v>89177328</v>
      </c>
      <c r="E3354" s="1" t="s">
        <v>24</v>
      </c>
      <c r="F3354" s="1" t="str">
        <f t="shared" si="340"/>
        <v>0010</v>
      </c>
      <c r="G3354" s="1" t="s">
        <v>24</v>
      </c>
      <c r="H3354" s="1" t="str">
        <f>"0031"</f>
        <v>0031</v>
      </c>
      <c r="I3354" s="1" t="s">
        <v>95</v>
      </c>
      <c r="J3354" s="1" t="str">
        <f>"01043977565"</f>
        <v>01043977565</v>
      </c>
      <c r="K3354" s="1" t="str">
        <f>"2017-04-16 16:35:28"</f>
        <v>2017-04-16 16:35:28</v>
      </c>
      <c r="L3354" s="1" t="str">
        <f>"2017-04-16 16:35:38"</f>
        <v>2017-04-16 16:35:38</v>
      </c>
      <c r="M3354" s="2">
        <v>8.0439814814814818E-3</v>
      </c>
      <c r="N3354" s="1" t="s">
        <v>26</v>
      </c>
      <c r="O3354" s="1" t="s">
        <v>27</v>
      </c>
      <c r="P3354" s="2">
        <v>8.1597222222222227E-3</v>
      </c>
      <c r="Q3354" s="1" t="s">
        <v>2413</v>
      </c>
      <c r="R3354" s="1">
        <v>0</v>
      </c>
      <c r="S3354" s="1" t="str">
        <f>""</f>
        <v/>
      </c>
      <c r="T3354" s="1" t="s">
        <v>29</v>
      </c>
      <c r="U3354" s="1" t="s">
        <v>30</v>
      </c>
      <c r="V3354" s="1">
        <v>0</v>
      </c>
    </row>
    <row r="3355" spans="2:22" x14ac:dyDescent="0.15">
      <c r="B3355" s="1" t="str">
        <f>"136****4420"</f>
        <v>136****4420</v>
      </c>
      <c r="C3355" s="1" t="s">
        <v>23</v>
      </c>
      <c r="D3355" s="1" t="str">
        <f t="shared" si="339"/>
        <v>89177328</v>
      </c>
      <c r="E3355" s="1" t="s">
        <v>24</v>
      </c>
      <c r="F3355" s="1" t="str">
        <f t="shared" si="340"/>
        <v>0010</v>
      </c>
      <c r="G3355" s="1" t="s">
        <v>24</v>
      </c>
      <c r="H3355" s="1" t="str">
        <f>"0033"</f>
        <v>0033</v>
      </c>
      <c r="I3355" s="1" t="s">
        <v>106</v>
      </c>
      <c r="J3355" s="1" t="str">
        <f>"01043977568"</f>
        <v>01043977568</v>
      </c>
      <c r="K3355" s="1" t="str">
        <f>"2017-04-16 16:02:39"</f>
        <v>2017-04-16 16:02:39</v>
      </c>
      <c r="L3355" s="1" t="str">
        <f>"2017-04-16 16:02:51"</f>
        <v>2017-04-16 16:02:51</v>
      </c>
      <c r="M3355" s="2">
        <v>1.7592592592592592E-3</v>
      </c>
      <c r="N3355" s="1" t="s">
        <v>26</v>
      </c>
      <c r="O3355" s="1" t="s">
        <v>27</v>
      </c>
      <c r="P3355" s="2">
        <v>1.8981481481481482E-3</v>
      </c>
      <c r="Q3355" s="1" t="s">
        <v>2414</v>
      </c>
      <c r="R3355" s="1">
        <v>0</v>
      </c>
      <c r="S3355" s="1" t="str">
        <f>""</f>
        <v/>
      </c>
      <c r="T3355" s="1" t="s">
        <v>29</v>
      </c>
      <c r="U3355" s="1" t="s">
        <v>30</v>
      </c>
      <c r="V3355" s="1">
        <v>0</v>
      </c>
    </row>
    <row r="3356" spans="2:22" x14ac:dyDescent="0.15">
      <c r="B3356" s="1" t="str">
        <f>"133****9597"</f>
        <v>133****9597</v>
      </c>
      <c r="C3356" s="1" t="s">
        <v>23</v>
      </c>
      <c r="D3356" s="1" t="str">
        <f t="shared" si="339"/>
        <v>89177328</v>
      </c>
      <c r="E3356" s="1" t="s">
        <v>24</v>
      </c>
      <c r="F3356" s="1" t="str">
        <f t="shared" si="340"/>
        <v>0010</v>
      </c>
      <c r="G3356" s="1" t="s">
        <v>24</v>
      </c>
      <c r="H3356" s="1" t="str">
        <f>"0032"</f>
        <v>0032</v>
      </c>
      <c r="I3356" s="1" t="s">
        <v>119</v>
      </c>
      <c r="J3356" s="1" t="str">
        <f>"01043977566"</f>
        <v>01043977566</v>
      </c>
      <c r="K3356" s="1" t="str">
        <f>"2017-04-16 15:34:38"</f>
        <v>2017-04-16 15:34:38</v>
      </c>
      <c r="L3356" s="1" t="str">
        <f t="shared" ref="L3356:L3363" si="341">"-"</f>
        <v>-</v>
      </c>
      <c r="M3356" s="2">
        <v>0</v>
      </c>
      <c r="N3356" s="1" t="s">
        <v>33</v>
      </c>
      <c r="O3356" s="1" t="s">
        <v>34</v>
      </c>
      <c r="P3356" s="2">
        <v>5.7870370370370366E-5</v>
      </c>
      <c r="Q3356" s="1" t="str">
        <f>""</f>
        <v/>
      </c>
      <c r="R3356" s="1">
        <v>0</v>
      </c>
      <c r="S3356" s="1" t="str">
        <f>""</f>
        <v/>
      </c>
      <c r="T3356" s="1" t="s">
        <v>29</v>
      </c>
      <c r="U3356" s="1" t="s">
        <v>30</v>
      </c>
      <c r="V3356" s="1">
        <v>0</v>
      </c>
    </row>
    <row r="3357" spans="2:22" x14ac:dyDescent="0.15">
      <c r="B3357" s="1" t="str">
        <f>"133****9597"</f>
        <v>133****9597</v>
      </c>
      <c r="C3357" s="1" t="s">
        <v>23</v>
      </c>
      <c r="D3357" s="1" t="str">
        <f t="shared" si="339"/>
        <v>89177328</v>
      </c>
      <c r="E3357" s="1" t="s">
        <v>24</v>
      </c>
      <c r="F3357" s="1" t="str">
        <f t="shared" si="340"/>
        <v>0010</v>
      </c>
      <c r="G3357" s="1" t="s">
        <v>24</v>
      </c>
      <c r="H3357" s="1" t="str">
        <f>"0032"</f>
        <v>0032</v>
      </c>
      <c r="I3357" s="1" t="s">
        <v>119</v>
      </c>
      <c r="J3357" s="1" t="str">
        <f>"01043977566"</f>
        <v>01043977566</v>
      </c>
      <c r="K3357" s="1" t="str">
        <f>"2017-04-16 15:32:55"</f>
        <v>2017-04-16 15:32:55</v>
      </c>
      <c r="L3357" s="1" t="str">
        <f t="shared" si="341"/>
        <v>-</v>
      </c>
      <c r="M3357" s="2">
        <v>0</v>
      </c>
      <c r="N3357" s="1" t="s">
        <v>33</v>
      </c>
      <c r="O3357" s="1" t="s">
        <v>34</v>
      </c>
      <c r="P3357" s="2">
        <v>5.7870370370370366E-5</v>
      </c>
      <c r="Q3357" s="1" t="str">
        <f>""</f>
        <v/>
      </c>
      <c r="R3357" s="1">
        <v>0</v>
      </c>
      <c r="S3357" s="1" t="str">
        <f>""</f>
        <v/>
      </c>
      <c r="T3357" s="1" t="s">
        <v>29</v>
      </c>
      <c r="U3357" s="1" t="s">
        <v>30</v>
      </c>
      <c r="V3357" s="1">
        <v>0</v>
      </c>
    </row>
    <row r="3358" spans="2:22" x14ac:dyDescent="0.15">
      <c r="B3358" s="1" t="str">
        <f>"157****4678"</f>
        <v>157****4678</v>
      </c>
      <c r="C3358" s="1" t="s">
        <v>23</v>
      </c>
      <c r="D3358" s="1" t="str">
        <f t="shared" si="339"/>
        <v>89177328</v>
      </c>
      <c r="E3358" s="1" t="s">
        <v>24</v>
      </c>
      <c r="F3358" s="1" t="str">
        <f t="shared" si="340"/>
        <v>0010</v>
      </c>
      <c r="G3358" s="1" t="s">
        <v>24</v>
      </c>
      <c r="H3358" s="1" t="str">
        <f>"0032"</f>
        <v>0032</v>
      </c>
      <c r="I3358" s="1" t="s">
        <v>119</v>
      </c>
      <c r="J3358" s="1" t="str">
        <f>"01043977566"</f>
        <v>01043977566</v>
      </c>
      <c r="K3358" s="1" t="str">
        <f>"2017-04-16 15:32:42"</f>
        <v>2017-04-16 15:32:42</v>
      </c>
      <c r="L3358" s="1" t="str">
        <f t="shared" si="341"/>
        <v>-</v>
      </c>
      <c r="M3358" s="2">
        <v>0</v>
      </c>
      <c r="N3358" s="1" t="s">
        <v>33</v>
      </c>
      <c r="O3358" s="1" t="s">
        <v>34</v>
      </c>
      <c r="P3358" s="2">
        <v>6.9444444444444444E-5</v>
      </c>
      <c r="Q3358" s="1" t="str">
        <f>""</f>
        <v/>
      </c>
      <c r="R3358" s="1">
        <v>0</v>
      </c>
      <c r="S3358" s="1" t="str">
        <f>""</f>
        <v/>
      </c>
      <c r="T3358" s="1" t="s">
        <v>29</v>
      </c>
      <c r="U3358" s="1" t="s">
        <v>30</v>
      </c>
      <c r="V3358" s="1">
        <v>0</v>
      </c>
    </row>
    <row r="3359" spans="2:22" x14ac:dyDescent="0.15">
      <c r="B3359" s="1" t="str">
        <f>"130****5656"</f>
        <v>130****5656</v>
      </c>
      <c r="C3359" s="1" t="s">
        <v>112</v>
      </c>
      <c r="D3359" s="1" t="str">
        <f t="shared" si="339"/>
        <v>89177328</v>
      </c>
      <c r="E3359" s="1" t="s">
        <v>24</v>
      </c>
      <c r="F3359" s="1" t="str">
        <f t="shared" si="340"/>
        <v>0010</v>
      </c>
      <c r="G3359" s="1" t="s">
        <v>24</v>
      </c>
      <c r="H3359" s="1" t="str">
        <f>"0017"</f>
        <v>0017</v>
      </c>
      <c r="I3359" s="1" t="s">
        <v>135</v>
      </c>
      <c r="J3359" s="1" t="str">
        <f>"01043989717"</f>
        <v>01043989717</v>
      </c>
      <c r="K3359" s="1" t="str">
        <f>"2017-04-16 15:32:04"</f>
        <v>2017-04-16 15:32:04</v>
      </c>
      <c r="L3359" s="1" t="str">
        <f t="shared" si="341"/>
        <v>-</v>
      </c>
      <c r="M3359" s="2">
        <v>0</v>
      </c>
      <c r="N3359" s="1" t="s">
        <v>33</v>
      </c>
      <c r="O3359" s="1" t="s">
        <v>34</v>
      </c>
      <c r="P3359" s="2">
        <v>4.6296296296296294E-5</v>
      </c>
      <c r="Q3359" s="1" t="str">
        <f>""</f>
        <v/>
      </c>
      <c r="R3359" s="1">
        <v>0</v>
      </c>
      <c r="S3359" s="1" t="str">
        <f>""</f>
        <v/>
      </c>
      <c r="T3359" s="1" t="s">
        <v>29</v>
      </c>
      <c r="U3359" s="1" t="s">
        <v>30</v>
      </c>
      <c r="V3359" s="1">
        <v>0</v>
      </c>
    </row>
    <row r="3360" spans="2:22" x14ac:dyDescent="0.15">
      <c r="B3360" s="1" t="str">
        <f>"130****5656"</f>
        <v>130****5656</v>
      </c>
      <c r="C3360" s="1" t="s">
        <v>112</v>
      </c>
      <c r="D3360" s="1" t="str">
        <f t="shared" si="339"/>
        <v>89177328</v>
      </c>
      <c r="E3360" s="1" t="s">
        <v>24</v>
      </c>
      <c r="F3360" s="1" t="str">
        <f t="shared" si="340"/>
        <v>0010</v>
      </c>
      <c r="G3360" s="1" t="s">
        <v>24</v>
      </c>
      <c r="H3360" s="1" t="str">
        <f>"0032"</f>
        <v>0032</v>
      </c>
      <c r="I3360" s="1" t="s">
        <v>119</v>
      </c>
      <c r="J3360" s="1" t="str">
        <f>"01043977566"</f>
        <v>01043977566</v>
      </c>
      <c r="K3360" s="1" t="str">
        <f>"2017-04-16 15:30:29"</f>
        <v>2017-04-16 15:30:29</v>
      </c>
      <c r="L3360" s="1" t="str">
        <f t="shared" si="341"/>
        <v>-</v>
      </c>
      <c r="M3360" s="2">
        <v>0</v>
      </c>
      <c r="N3360" s="1" t="s">
        <v>33</v>
      </c>
      <c r="O3360" s="1" t="s">
        <v>34</v>
      </c>
      <c r="P3360" s="2">
        <v>6.9444444444444444E-5</v>
      </c>
      <c r="Q3360" s="1" t="str">
        <f>""</f>
        <v/>
      </c>
      <c r="R3360" s="1">
        <v>0</v>
      </c>
      <c r="S3360" s="1" t="str">
        <f>""</f>
        <v/>
      </c>
      <c r="T3360" s="1" t="s">
        <v>29</v>
      </c>
      <c r="U3360" s="1" t="s">
        <v>30</v>
      </c>
      <c r="V3360" s="1">
        <v>0</v>
      </c>
    </row>
    <row r="3361" spans="2:22" x14ac:dyDescent="0.15">
      <c r="B3361" s="1" t="str">
        <f>"133****9597"</f>
        <v>133****9597</v>
      </c>
      <c r="C3361" s="1" t="s">
        <v>23</v>
      </c>
      <c r="D3361" s="1" t="str">
        <f t="shared" si="339"/>
        <v>89177328</v>
      </c>
      <c r="E3361" s="1" t="s">
        <v>24</v>
      </c>
      <c r="F3361" s="1" t="str">
        <f t="shared" si="340"/>
        <v>0010</v>
      </c>
      <c r="G3361" s="1" t="s">
        <v>24</v>
      </c>
      <c r="H3361" s="1" t="str">
        <f>"0032"</f>
        <v>0032</v>
      </c>
      <c r="I3361" s="1" t="s">
        <v>119</v>
      </c>
      <c r="J3361" s="1" t="str">
        <f>"01043977566"</f>
        <v>01043977566</v>
      </c>
      <c r="K3361" s="1" t="str">
        <f>"2017-04-16 15:30:17"</f>
        <v>2017-04-16 15:30:17</v>
      </c>
      <c r="L3361" s="1" t="str">
        <f t="shared" si="341"/>
        <v>-</v>
      </c>
      <c r="M3361" s="2">
        <v>0</v>
      </c>
      <c r="N3361" s="1" t="s">
        <v>33</v>
      </c>
      <c r="O3361" s="1" t="s">
        <v>34</v>
      </c>
      <c r="P3361" s="2">
        <v>5.7870370370370366E-5</v>
      </c>
      <c r="Q3361" s="1" t="str">
        <f>""</f>
        <v/>
      </c>
      <c r="R3361" s="1">
        <v>0</v>
      </c>
      <c r="S3361" s="1" t="str">
        <f>""</f>
        <v/>
      </c>
      <c r="T3361" s="1" t="s">
        <v>29</v>
      </c>
      <c r="U3361" s="1" t="s">
        <v>30</v>
      </c>
      <c r="V3361" s="1">
        <v>0</v>
      </c>
    </row>
    <row r="3362" spans="2:22" x14ac:dyDescent="0.15">
      <c r="B3362" s="1" t="str">
        <f>"130****5656"</f>
        <v>130****5656</v>
      </c>
      <c r="C3362" s="1" t="s">
        <v>112</v>
      </c>
      <c r="D3362" s="1" t="str">
        <f t="shared" si="339"/>
        <v>89177328</v>
      </c>
      <c r="E3362" s="1" t="s">
        <v>24</v>
      </c>
      <c r="F3362" s="1" t="str">
        <f t="shared" si="340"/>
        <v>0010</v>
      </c>
      <c r="G3362" s="1" t="s">
        <v>24</v>
      </c>
      <c r="H3362" s="1" t="str">
        <f>"0017"</f>
        <v>0017</v>
      </c>
      <c r="I3362" s="1" t="s">
        <v>135</v>
      </c>
      <c r="J3362" s="1" t="str">
        <f>"01043989717"</f>
        <v>01043989717</v>
      </c>
      <c r="K3362" s="1" t="str">
        <f>"2017-04-16 15:27:56"</f>
        <v>2017-04-16 15:27:56</v>
      </c>
      <c r="L3362" s="1" t="str">
        <f t="shared" si="341"/>
        <v>-</v>
      </c>
      <c r="M3362" s="2">
        <v>0</v>
      </c>
      <c r="N3362" s="1" t="s">
        <v>33</v>
      </c>
      <c r="O3362" s="1" t="s">
        <v>34</v>
      </c>
      <c r="P3362" s="2">
        <v>3.4722222222222222E-5</v>
      </c>
      <c r="Q3362" s="1" t="str">
        <f>""</f>
        <v/>
      </c>
      <c r="R3362" s="1">
        <v>0</v>
      </c>
      <c r="S3362" s="1" t="str">
        <f>""</f>
        <v/>
      </c>
      <c r="T3362" s="1" t="s">
        <v>29</v>
      </c>
      <c r="U3362" s="1" t="s">
        <v>30</v>
      </c>
      <c r="V3362" s="1">
        <v>0</v>
      </c>
    </row>
    <row r="3363" spans="2:22" x14ac:dyDescent="0.15">
      <c r="B3363" s="1" t="str">
        <f>"130****5656"</f>
        <v>130****5656</v>
      </c>
      <c r="C3363" s="1" t="s">
        <v>112</v>
      </c>
      <c r="D3363" s="1" t="str">
        <f t="shared" si="339"/>
        <v>89177328</v>
      </c>
      <c r="E3363" s="1" t="s">
        <v>24</v>
      </c>
      <c r="F3363" s="1" t="str">
        <f t="shared" si="340"/>
        <v>0010</v>
      </c>
      <c r="G3363" s="1" t="s">
        <v>24</v>
      </c>
      <c r="H3363" s="1" t="str">
        <f>"0031"</f>
        <v>0031</v>
      </c>
      <c r="I3363" s="1" t="s">
        <v>95</v>
      </c>
      <c r="J3363" s="1" t="str">
        <f>"01043977565"</f>
        <v>01043977565</v>
      </c>
      <c r="K3363" s="1" t="str">
        <f>"2017-04-16 15:25:07"</f>
        <v>2017-04-16 15:25:07</v>
      </c>
      <c r="L3363" s="1" t="str">
        <f t="shared" si="341"/>
        <v>-</v>
      </c>
      <c r="M3363" s="2">
        <v>0</v>
      </c>
      <c r="N3363" s="1" t="s">
        <v>33</v>
      </c>
      <c r="O3363" s="1" t="s">
        <v>34</v>
      </c>
      <c r="P3363" s="2">
        <v>4.6296296296296294E-5</v>
      </c>
      <c r="Q3363" s="1" t="str">
        <f>""</f>
        <v/>
      </c>
      <c r="R3363" s="1">
        <v>0</v>
      </c>
      <c r="S3363" s="1" t="str">
        <f>""</f>
        <v/>
      </c>
      <c r="T3363" s="1" t="s">
        <v>29</v>
      </c>
      <c r="U3363" s="1" t="s">
        <v>30</v>
      </c>
      <c r="V3363" s="1">
        <v>0</v>
      </c>
    </row>
    <row r="3364" spans="2:22" x14ac:dyDescent="0.15">
      <c r="B3364" s="1" t="str">
        <f>"132****2493"</f>
        <v>132****2493</v>
      </c>
      <c r="C3364" s="1" t="s">
        <v>23</v>
      </c>
      <c r="D3364" s="1" t="str">
        <f t="shared" si="339"/>
        <v>89177328</v>
      </c>
      <c r="E3364" s="1" t="s">
        <v>24</v>
      </c>
      <c r="F3364" s="1" t="str">
        <f t="shared" si="340"/>
        <v>0010</v>
      </c>
      <c r="G3364" s="1" t="s">
        <v>24</v>
      </c>
      <c r="H3364" s="1" t="str">
        <f>"0032"</f>
        <v>0032</v>
      </c>
      <c r="I3364" s="1" t="s">
        <v>119</v>
      </c>
      <c r="J3364" s="1" t="str">
        <f>"01043977566"</f>
        <v>01043977566</v>
      </c>
      <c r="K3364" s="1" t="str">
        <f>"2017-04-16 15:23:20"</f>
        <v>2017-04-16 15:23:20</v>
      </c>
      <c r="L3364" s="1" t="str">
        <f>"2017-04-16 15:23:37"</f>
        <v>2017-04-16 15:23:37</v>
      </c>
      <c r="M3364" s="2">
        <v>3.5416666666666665E-3</v>
      </c>
      <c r="N3364" s="1" t="s">
        <v>26</v>
      </c>
      <c r="O3364" s="1" t="s">
        <v>34</v>
      </c>
      <c r="P3364" s="2">
        <v>3.7384259259259263E-3</v>
      </c>
      <c r="Q3364" s="1" t="s">
        <v>2415</v>
      </c>
      <c r="R3364" s="1">
        <v>0</v>
      </c>
      <c r="S3364" s="1" t="str">
        <f>""</f>
        <v/>
      </c>
      <c r="T3364" s="1" t="s">
        <v>29</v>
      </c>
      <c r="U3364" s="1" t="s">
        <v>30</v>
      </c>
      <c r="V3364" s="1">
        <v>0</v>
      </c>
    </row>
    <row r="3365" spans="2:22" x14ac:dyDescent="0.15">
      <c r="B3365" s="1" t="str">
        <f>"130****5656"</f>
        <v>130****5656</v>
      </c>
      <c r="C3365" s="1" t="s">
        <v>112</v>
      </c>
      <c r="D3365" s="1" t="str">
        <f t="shared" si="339"/>
        <v>89177328</v>
      </c>
      <c r="E3365" s="1" t="s">
        <v>24</v>
      </c>
      <c r="F3365" s="1" t="str">
        <f t="shared" si="340"/>
        <v>0010</v>
      </c>
      <c r="G3365" s="1" t="s">
        <v>24</v>
      </c>
      <c r="H3365" s="1" t="str">
        <f>"0032"</f>
        <v>0032</v>
      </c>
      <c r="I3365" s="1" t="s">
        <v>119</v>
      </c>
      <c r="J3365" s="1" t="str">
        <f>"01043977566"</f>
        <v>01043977566</v>
      </c>
      <c r="K3365" s="1" t="str">
        <f>"2017-04-16 15:22:51"</f>
        <v>2017-04-16 15:22:51</v>
      </c>
      <c r="L3365" s="1" t="str">
        <f>"-"</f>
        <v>-</v>
      </c>
      <c r="M3365" s="2">
        <v>0</v>
      </c>
      <c r="N3365" s="1" t="s">
        <v>33</v>
      </c>
      <c r="O3365" s="1" t="s">
        <v>34</v>
      </c>
      <c r="P3365" s="2">
        <v>3.4722222222222222E-5</v>
      </c>
      <c r="Q3365" s="1" t="str">
        <f>""</f>
        <v/>
      </c>
      <c r="R3365" s="1">
        <v>0</v>
      </c>
      <c r="S3365" s="1" t="str">
        <f>""</f>
        <v/>
      </c>
      <c r="T3365" s="1" t="s">
        <v>29</v>
      </c>
      <c r="U3365" s="1" t="s">
        <v>30</v>
      </c>
      <c r="V3365" s="1">
        <v>0</v>
      </c>
    </row>
    <row r="3366" spans="2:22" x14ac:dyDescent="0.15">
      <c r="B3366" s="1" t="str">
        <f>"157****4678"</f>
        <v>157****4678</v>
      </c>
      <c r="C3366" s="1" t="s">
        <v>23</v>
      </c>
      <c r="D3366" s="1" t="str">
        <f t="shared" si="339"/>
        <v>89177328</v>
      </c>
      <c r="E3366" s="1" t="s">
        <v>24</v>
      </c>
      <c r="F3366" s="1" t="str">
        <f t="shared" si="340"/>
        <v>0010</v>
      </c>
      <c r="G3366" s="1" t="s">
        <v>24</v>
      </c>
      <c r="H3366" s="1" t="str">
        <f>"0032"</f>
        <v>0032</v>
      </c>
      <c r="I3366" s="1" t="s">
        <v>119</v>
      </c>
      <c r="J3366" s="1" t="str">
        <f>"01043977566"</f>
        <v>01043977566</v>
      </c>
      <c r="K3366" s="1" t="str">
        <f>"2017-04-16 15:21:50"</f>
        <v>2017-04-16 15:21:50</v>
      </c>
      <c r="L3366" s="1" t="str">
        <f>"-"</f>
        <v>-</v>
      </c>
      <c r="M3366" s="2">
        <v>0</v>
      </c>
      <c r="N3366" s="1" t="s">
        <v>33</v>
      </c>
      <c r="O3366" s="1" t="s">
        <v>34</v>
      </c>
      <c r="P3366" s="2">
        <v>6.9444444444444444E-5</v>
      </c>
      <c r="Q3366" s="1" t="str">
        <f>""</f>
        <v/>
      </c>
      <c r="R3366" s="1">
        <v>0</v>
      </c>
      <c r="S3366" s="1" t="str">
        <f>""</f>
        <v/>
      </c>
      <c r="T3366" s="1" t="s">
        <v>29</v>
      </c>
      <c r="U3366" s="1" t="s">
        <v>30</v>
      </c>
      <c r="V3366" s="1">
        <v>0</v>
      </c>
    </row>
    <row r="3367" spans="2:22" x14ac:dyDescent="0.15">
      <c r="B3367" s="1" t="str">
        <f>"135****5393"</f>
        <v>135****5393</v>
      </c>
      <c r="C3367" s="1" t="s">
        <v>78</v>
      </c>
      <c r="D3367" s="1" t="str">
        <f t="shared" si="339"/>
        <v>89177328</v>
      </c>
      <c r="E3367" s="1" t="s">
        <v>24</v>
      </c>
      <c r="F3367" s="1" t="str">
        <f t="shared" si="340"/>
        <v>0010</v>
      </c>
      <c r="G3367" s="1" t="s">
        <v>24</v>
      </c>
      <c r="H3367" s="1" t="str">
        <f t="shared" ref="H3367:H3372" si="342">"0031"</f>
        <v>0031</v>
      </c>
      <c r="I3367" s="1" t="s">
        <v>95</v>
      </c>
      <c r="J3367" s="1" t="str">
        <f t="shared" ref="J3367:J3372" si="343">"01043977565"</f>
        <v>01043977565</v>
      </c>
      <c r="K3367" s="1" t="str">
        <f>"2017-04-16 15:20:04"</f>
        <v>2017-04-16 15:20:04</v>
      </c>
      <c r="L3367" s="1" t="str">
        <f>"2017-04-16 15:20:13"</f>
        <v>2017-04-16 15:20:13</v>
      </c>
      <c r="M3367" s="2">
        <v>2.673611111111111E-3</v>
      </c>
      <c r="N3367" s="1" t="s">
        <v>26</v>
      </c>
      <c r="O3367" s="1" t="s">
        <v>27</v>
      </c>
      <c r="P3367" s="2">
        <v>2.7777777777777779E-3</v>
      </c>
      <c r="Q3367" s="1" t="s">
        <v>2416</v>
      </c>
      <c r="R3367" s="1">
        <v>0</v>
      </c>
      <c r="S3367" s="1" t="str">
        <f>""</f>
        <v/>
      </c>
      <c r="T3367" s="1" t="s">
        <v>29</v>
      </c>
      <c r="U3367" s="1" t="s">
        <v>30</v>
      </c>
      <c r="V3367" s="1">
        <v>0</v>
      </c>
    </row>
    <row r="3368" spans="2:22" x14ac:dyDescent="0.15">
      <c r="B3368" s="1" t="str">
        <f>"157****4678"</f>
        <v>157****4678</v>
      </c>
      <c r="C3368" s="1" t="s">
        <v>23</v>
      </c>
      <c r="D3368" s="1" t="str">
        <f t="shared" si="339"/>
        <v>89177328</v>
      </c>
      <c r="E3368" s="1" t="s">
        <v>24</v>
      </c>
      <c r="F3368" s="1" t="str">
        <f t="shared" si="340"/>
        <v>0010</v>
      </c>
      <c r="G3368" s="1" t="s">
        <v>24</v>
      </c>
      <c r="H3368" s="1" t="str">
        <f t="shared" si="342"/>
        <v>0031</v>
      </c>
      <c r="I3368" s="1" t="s">
        <v>95</v>
      </c>
      <c r="J3368" s="1" t="str">
        <f t="shared" si="343"/>
        <v>01043977565</v>
      </c>
      <c r="K3368" s="1" t="str">
        <f>"2017-04-16 15:18:55"</f>
        <v>2017-04-16 15:18:55</v>
      </c>
      <c r="L3368" s="1" t="str">
        <f t="shared" ref="L3368:L3374" si="344">"-"</f>
        <v>-</v>
      </c>
      <c r="M3368" s="2">
        <v>0</v>
      </c>
      <c r="N3368" s="1" t="s">
        <v>33</v>
      </c>
      <c r="O3368" s="1" t="s">
        <v>34</v>
      </c>
      <c r="P3368" s="2">
        <v>6.9444444444444444E-5</v>
      </c>
      <c r="Q3368" s="1" t="str">
        <f>""</f>
        <v/>
      </c>
      <c r="R3368" s="1">
        <v>0</v>
      </c>
      <c r="S3368" s="1" t="str">
        <f>""</f>
        <v/>
      </c>
      <c r="T3368" s="1" t="s">
        <v>29</v>
      </c>
      <c r="U3368" s="1" t="s">
        <v>30</v>
      </c>
      <c r="V3368" s="1">
        <v>0</v>
      </c>
    </row>
    <row r="3369" spans="2:22" x14ac:dyDescent="0.15">
      <c r="B3369" s="1" t="str">
        <f>"186****0604"</f>
        <v>186****0604</v>
      </c>
      <c r="C3369" s="1" t="s">
        <v>23</v>
      </c>
      <c r="D3369" s="1" t="str">
        <f t="shared" si="339"/>
        <v>89177328</v>
      </c>
      <c r="E3369" s="1" t="s">
        <v>24</v>
      </c>
      <c r="F3369" s="1" t="str">
        <f t="shared" si="340"/>
        <v>0010</v>
      </c>
      <c r="G3369" s="1" t="s">
        <v>24</v>
      </c>
      <c r="H3369" s="1" t="str">
        <f t="shared" si="342"/>
        <v>0031</v>
      </c>
      <c r="I3369" s="1" t="s">
        <v>95</v>
      </c>
      <c r="J3369" s="1" t="str">
        <f t="shared" si="343"/>
        <v>01043977565</v>
      </c>
      <c r="K3369" s="1" t="str">
        <f>"2017-04-16 15:16:39"</f>
        <v>2017-04-16 15:16:39</v>
      </c>
      <c r="L3369" s="1" t="str">
        <f t="shared" si="344"/>
        <v>-</v>
      </c>
      <c r="M3369" s="2">
        <v>0</v>
      </c>
      <c r="N3369" s="1" t="s">
        <v>33</v>
      </c>
      <c r="O3369" s="1" t="s">
        <v>34</v>
      </c>
      <c r="P3369" s="2">
        <v>6.9444444444444444E-5</v>
      </c>
      <c r="Q3369" s="1" t="str">
        <f>""</f>
        <v/>
      </c>
      <c r="R3369" s="1">
        <v>0</v>
      </c>
      <c r="S3369" s="1" t="str">
        <f>""</f>
        <v/>
      </c>
      <c r="T3369" s="1" t="s">
        <v>29</v>
      </c>
      <c r="U3369" s="1" t="s">
        <v>30</v>
      </c>
      <c r="V3369" s="1">
        <v>0</v>
      </c>
    </row>
    <row r="3370" spans="2:22" x14ac:dyDescent="0.15">
      <c r="B3370" s="1" t="str">
        <f>"133****9597"</f>
        <v>133****9597</v>
      </c>
      <c r="C3370" s="1" t="s">
        <v>23</v>
      </c>
      <c r="D3370" s="1" t="str">
        <f t="shared" si="339"/>
        <v>89177328</v>
      </c>
      <c r="E3370" s="1" t="s">
        <v>24</v>
      </c>
      <c r="F3370" s="1" t="str">
        <f t="shared" si="340"/>
        <v>0010</v>
      </c>
      <c r="G3370" s="1" t="s">
        <v>24</v>
      </c>
      <c r="H3370" s="1" t="str">
        <f t="shared" si="342"/>
        <v>0031</v>
      </c>
      <c r="I3370" s="1" t="s">
        <v>95</v>
      </c>
      <c r="J3370" s="1" t="str">
        <f t="shared" si="343"/>
        <v>01043977565</v>
      </c>
      <c r="K3370" s="1" t="str">
        <f>"2017-04-16 15:16:13"</f>
        <v>2017-04-16 15:16:13</v>
      </c>
      <c r="L3370" s="1" t="str">
        <f t="shared" si="344"/>
        <v>-</v>
      </c>
      <c r="M3370" s="2">
        <v>0</v>
      </c>
      <c r="N3370" s="1" t="s">
        <v>33</v>
      </c>
      <c r="O3370" s="1" t="s">
        <v>34</v>
      </c>
      <c r="P3370" s="2">
        <v>4.6296296296296294E-5</v>
      </c>
      <c r="Q3370" s="1" t="str">
        <f>""</f>
        <v/>
      </c>
      <c r="R3370" s="1">
        <v>0</v>
      </c>
      <c r="S3370" s="1" t="str">
        <f>""</f>
        <v/>
      </c>
      <c r="T3370" s="1" t="s">
        <v>29</v>
      </c>
      <c r="U3370" s="1" t="s">
        <v>30</v>
      </c>
      <c r="V3370" s="1">
        <v>0</v>
      </c>
    </row>
    <row r="3371" spans="2:22" x14ac:dyDescent="0.15">
      <c r="B3371" s="1" t="str">
        <f>"157****4678"</f>
        <v>157****4678</v>
      </c>
      <c r="C3371" s="1" t="s">
        <v>23</v>
      </c>
      <c r="D3371" s="1" t="str">
        <f t="shared" si="339"/>
        <v>89177328</v>
      </c>
      <c r="E3371" s="1" t="s">
        <v>24</v>
      </c>
      <c r="F3371" s="1" t="str">
        <f t="shared" si="340"/>
        <v>0010</v>
      </c>
      <c r="G3371" s="1" t="s">
        <v>24</v>
      </c>
      <c r="H3371" s="1" t="str">
        <f t="shared" si="342"/>
        <v>0031</v>
      </c>
      <c r="I3371" s="1" t="s">
        <v>95</v>
      </c>
      <c r="J3371" s="1" t="str">
        <f t="shared" si="343"/>
        <v>01043977565</v>
      </c>
      <c r="K3371" s="1" t="str">
        <f>"2017-04-16 15:15:28"</f>
        <v>2017-04-16 15:15:28</v>
      </c>
      <c r="L3371" s="1" t="str">
        <f t="shared" si="344"/>
        <v>-</v>
      </c>
      <c r="M3371" s="2">
        <v>0</v>
      </c>
      <c r="N3371" s="1" t="s">
        <v>33</v>
      </c>
      <c r="O3371" s="1" t="s">
        <v>34</v>
      </c>
      <c r="P3371" s="2">
        <v>6.9444444444444444E-5</v>
      </c>
      <c r="Q3371" s="1" t="str">
        <f>""</f>
        <v/>
      </c>
      <c r="R3371" s="1">
        <v>0</v>
      </c>
      <c r="S3371" s="1" t="str">
        <f>""</f>
        <v/>
      </c>
      <c r="T3371" s="1" t="s">
        <v>29</v>
      </c>
      <c r="U3371" s="1" t="s">
        <v>30</v>
      </c>
      <c r="V3371" s="1">
        <v>0</v>
      </c>
    </row>
    <row r="3372" spans="2:22" x14ac:dyDescent="0.15">
      <c r="B3372" s="1" t="str">
        <f>"186****0604"</f>
        <v>186****0604</v>
      </c>
      <c r="C3372" s="1" t="s">
        <v>23</v>
      </c>
      <c r="D3372" s="1" t="str">
        <f t="shared" si="339"/>
        <v>89177328</v>
      </c>
      <c r="E3372" s="1" t="s">
        <v>24</v>
      </c>
      <c r="F3372" s="1" t="str">
        <f t="shared" si="340"/>
        <v>0010</v>
      </c>
      <c r="G3372" s="1" t="s">
        <v>24</v>
      </c>
      <c r="H3372" s="1" t="str">
        <f t="shared" si="342"/>
        <v>0031</v>
      </c>
      <c r="I3372" s="1" t="s">
        <v>95</v>
      </c>
      <c r="J3372" s="1" t="str">
        <f t="shared" si="343"/>
        <v>01043977565</v>
      </c>
      <c r="K3372" s="1" t="str">
        <f>"2017-04-16 15:13:30"</f>
        <v>2017-04-16 15:13:30</v>
      </c>
      <c r="L3372" s="1" t="str">
        <f t="shared" si="344"/>
        <v>-</v>
      </c>
      <c r="M3372" s="2">
        <v>0</v>
      </c>
      <c r="N3372" s="1" t="s">
        <v>33</v>
      </c>
      <c r="O3372" s="1" t="s">
        <v>34</v>
      </c>
      <c r="P3372" s="2">
        <v>6.9444444444444444E-5</v>
      </c>
      <c r="Q3372" s="1" t="str">
        <f>""</f>
        <v/>
      </c>
      <c r="R3372" s="1">
        <v>0</v>
      </c>
      <c r="S3372" s="1" t="str">
        <f>""</f>
        <v/>
      </c>
      <c r="T3372" s="1" t="s">
        <v>29</v>
      </c>
      <c r="U3372" s="1" t="s">
        <v>30</v>
      </c>
      <c r="V3372" s="1">
        <v>0</v>
      </c>
    </row>
    <row r="3373" spans="2:22" x14ac:dyDescent="0.15">
      <c r="B3373" s="1" t="str">
        <f>"157****4678"</f>
        <v>157****4678</v>
      </c>
      <c r="C3373" s="1" t="s">
        <v>23</v>
      </c>
      <c r="D3373" s="1" t="str">
        <f t="shared" si="339"/>
        <v>89177328</v>
      </c>
      <c r="E3373" s="1" t="s">
        <v>24</v>
      </c>
      <c r="F3373" s="1" t="str">
        <f t="shared" si="340"/>
        <v>0010</v>
      </c>
      <c r="G3373" s="1" t="s">
        <v>24</v>
      </c>
      <c r="H3373" s="1" t="str">
        <f>"0032"</f>
        <v>0032</v>
      </c>
      <c r="I3373" s="1" t="s">
        <v>119</v>
      </c>
      <c r="J3373" s="1" t="str">
        <f>"01043977566"</f>
        <v>01043977566</v>
      </c>
      <c r="K3373" s="1" t="str">
        <f>"2017-04-16 15:12:19"</f>
        <v>2017-04-16 15:12:19</v>
      </c>
      <c r="L3373" s="1" t="str">
        <f t="shared" si="344"/>
        <v>-</v>
      </c>
      <c r="M3373" s="2">
        <v>0</v>
      </c>
      <c r="N3373" s="1" t="s">
        <v>33</v>
      </c>
      <c r="O3373" s="1" t="s">
        <v>34</v>
      </c>
      <c r="P3373" s="2">
        <v>2.3148148148148147E-5</v>
      </c>
      <c r="Q3373" s="1" t="str">
        <f>""</f>
        <v/>
      </c>
      <c r="R3373" s="1">
        <v>0</v>
      </c>
      <c r="S3373" s="1" t="str">
        <f>""</f>
        <v/>
      </c>
      <c r="T3373" s="1" t="s">
        <v>29</v>
      </c>
      <c r="U3373" s="1" t="s">
        <v>30</v>
      </c>
      <c r="V3373" s="1">
        <v>0</v>
      </c>
    </row>
    <row r="3374" spans="2:22" x14ac:dyDescent="0.15">
      <c r="B3374" s="1" t="str">
        <f>"186****0604"</f>
        <v>186****0604</v>
      </c>
      <c r="C3374" s="1" t="s">
        <v>23</v>
      </c>
      <c r="D3374" s="1" t="str">
        <f t="shared" si="339"/>
        <v>89177328</v>
      </c>
      <c r="E3374" s="1" t="s">
        <v>24</v>
      </c>
      <c r="F3374" s="1" t="str">
        <f t="shared" si="340"/>
        <v>0010</v>
      </c>
      <c r="G3374" s="1" t="s">
        <v>24</v>
      </c>
      <c r="H3374" s="1" t="str">
        <f>"0032"</f>
        <v>0032</v>
      </c>
      <c r="I3374" s="1" t="s">
        <v>119</v>
      </c>
      <c r="J3374" s="1" t="str">
        <f>"01043977566"</f>
        <v>01043977566</v>
      </c>
      <c r="K3374" s="1" t="str">
        <f>"2017-04-16 15:10:35"</f>
        <v>2017-04-16 15:10:35</v>
      </c>
      <c r="L3374" s="1" t="str">
        <f t="shared" si="344"/>
        <v>-</v>
      </c>
      <c r="M3374" s="2">
        <v>0</v>
      </c>
      <c r="N3374" s="1" t="s">
        <v>33</v>
      </c>
      <c r="O3374" s="1" t="s">
        <v>34</v>
      </c>
      <c r="P3374" s="2">
        <v>2.3148148148148147E-5</v>
      </c>
      <c r="Q3374" s="1" t="str">
        <f>""</f>
        <v/>
      </c>
      <c r="R3374" s="1">
        <v>0</v>
      </c>
      <c r="S3374" s="1" t="str">
        <f>""</f>
        <v/>
      </c>
      <c r="T3374" s="1" t="s">
        <v>29</v>
      </c>
      <c r="U3374" s="1" t="s">
        <v>30</v>
      </c>
      <c r="V3374" s="1">
        <v>0</v>
      </c>
    </row>
    <row r="3375" spans="2:22" x14ac:dyDescent="0.15">
      <c r="B3375" s="1" t="str">
        <f>"159****1576"</f>
        <v>159****1576</v>
      </c>
      <c r="C3375" s="1" t="s">
        <v>51</v>
      </c>
      <c r="D3375" s="1" t="str">
        <f t="shared" si="339"/>
        <v>89177328</v>
      </c>
      <c r="E3375" s="1" t="s">
        <v>24</v>
      </c>
      <c r="F3375" s="1" t="str">
        <f t="shared" si="340"/>
        <v>0010</v>
      </c>
      <c r="G3375" s="1" t="s">
        <v>24</v>
      </c>
      <c r="H3375" s="1" t="str">
        <f>"0017"</f>
        <v>0017</v>
      </c>
      <c r="I3375" s="1" t="s">
        <v>135</v>
      </c>
      <c r="J3375" s="1" t="str">
        <f>"01043989717"</f>
        <v>01043989717</v>
      </c>
      <c r="K3375" s="1" t="str">
        <f>"2017-04-16 15:07:58"</f>
        <v>2017-04-16 15:07:58</v>
      </c>
      <c r="L3375" s="1" t="str">
        <f>"2017-04-16 15:08:05"</f>
        <v>2017-04-16 15:08:05</v>
      </c>
      <c r="M3375" s="2">
        <v>8.6921296296296312E-3</v>
      </c>
      <c r="N3375" s="1" t="s">
        <v>26</v>
      </c>
      <c r="O3375" s="1" t="s">
        <v>27</v>
      </c>
      <c r="P3375" s="2">
        <v>8.773148148148148E-3</v>
      </c>
      <c r="Q3375" s="1" t="s">
        <v>2417</v>
      </c>
      <c r="R3375" s="1">
        <v>0</v>
      </c>
      <c r="S3375" s="1" t="str">
        <f>""</f>
        <v/>
      </c>
      <c r="T3375" s="1" t="s">
        <v>29</v>
      </c>
      <c r="U3375" s="1" t="s">
        <v>30</v>
      </c>
      <c r="V3375" s="1">
        <v>0</v>
      </c>
    </row>
    <row r="3376" spans="2:22" x14ac:dyDescent="0.15">
      <c r="B3376" s="1" t="str">
        <f>"186****0604"</f>
        <v>186****0604</v>
      </c>
      <c r="C3376" s="1" t="s">
        <v>23</v>
      </c>
      <c r="D3376" s="1" t="str">
        <f t="shared" si="339"/>
        <v>89177328</v>
      </c>
      <c r="E3376" s="1" t="s">
        <v>24</v>
      </c>
      <c r="F3376" s="1" t="str">
        <f t="shared" si="340"/>
        <v>0010</v>
      </c>
      <c r="G3376" s="1" t="s">
        <v>24</v>
      </c>
      <c r="H3376" s="1" t="str">
        <f>"0017"</f>
        <v>0017</v>
      </c>
      <c r="I3376" s="1" t="s">
        <v>135</v>
      </c>
      <c r="J3376" s="1" t="str">
        <f>"01043989717"</f>
        <v>01043989717</v>
      </c>
      <c r="K3376" s="1" t="str">
        <f>"2017-04-16 15:06:35"</f>
        <v>2017-04-16 15:06:35</v>
      </c>
      <c r="L3376" s="1" t="str">
        <f>"-"</f>
        <v>-</v>
      </c>
      <c r="M3376" s="2">
        <v>0</v>
      </c>
      <c r="N3376" s="1" t="s">
        <v>33</v>
      </c>
      <c r="O3376" s="1" t="s">
        <v>34</v>
      </c>
      <c r="P3376" s="2">
        <v>4.6296296296296294E-5</v>
      </c>
      <c r="Q3376" s="1" t="str">
        <f>""</f>
        <v/>
      </c>
      <c r="R3376" s="1">
        <v>0</v>
      </c>
      <c r="S3376" s="1" t="str">
        <f>""</f>
        <v/>
      </c>
      <c r="T3376" s="1" t="s">
        <v>29</v>
      </c>
      <c r="U3376" s="1" t="s">
        <v>30</v>
      </c>
      <c r="V3376" s="1">
        <v>0</v>
      </c>
    </row>
    <row r="3377" spans="2:22" x14ac:dyDescent="0.15">
      <c r="B3377" s="1" t="str">
        <f>"158****3689"</f>
        <v>158****3689</v>
      </c>
      <c r="C3377" s="1" t="s">
        <v>782</v>
      </c>
      <c r="D3377" s="1" t="str">
        <f t="shared" si="339"/>
        <v>89177328</v>
      </c>
      <c r="E3377" s="1" t="s">
        <v>24</v>
      </c>
      <c r="F3377" s="1" t="str">
        <f t="shared" si="340"/>
        <v>0010</v>
      </c>
      <c r="G3377" s="1" t="s">
        <v>24</v>
      </c>
      <c r="H3377" s="1" t="str">
        <f>"0033"</f>
        <v>0033</v>
      </c>
      <c r="I3377" s="1" t="s">
        <v>106</v>
      </c>
      <c r="J3377" s="1" t="str">
        <f>"01043977568"</f>
        <v>01043977568</v>
      </c>
      <c r="K3377" s="1" t="str">
        <f>"2017-04-16 14:49:44"</f>
        <v>2017-04-16 14:49:44</v>
      </c>
      <c r="L3377" s="1" t="str">
        <f>"-"</f>
        <v>-</v>
      </c>
      <c r="M3377" s="2">
        <v>0</v>
      </c>
      <c r="N3377" s="1" t="s">
        <v>33</v>
      </c>
      <c r="O3377" s="1" t="s">
        <v>34</v>
      </c>
      <c r="P3377" s="2">
        <v>2.3148148148148147E-5</v>
      </c>
      <c r="Q3377" s="1" t="str">
        <f>""</f>
        <v/>
      </c>
      <c r="R3377" s="1">
        <v>0</v>
      </c>
      <c r="S3377" s="1" t="str">
        <f>""</f>
        <v/>
      </c>
      <c r="T3377" s="1" t="s">
        <v>29</v>
      </c>
      <c r="U3377" s="1" t="s">
        <v>30</v>
      </c>
      <c r="V3377" s="1">
        <v>0</v>
      </c>
    </row>
    <row r="3378" spans="2:22" x14ac:dyDescent="0.15">
      <c r="B3378" s="1" t="str">
        <f>"177****9754"</f>
        <v>177****9754</v>
      </c>
      <c r="C3378" s="1" t="s">
        <v>241</v>
      </c>
      <c r="D3378" s="1" t="str">
        <f t="shared" si="339"/>
        <v>89177328</v>
      </c>
      <c r="E3378" s="1" t="s">
        <v>24</v>
      </c>
      <c r="F3378" s="1" t="str">
        <f t="shared" si="340"/>
        <v>0010</v>
      </c>
      <c r="G3378" s="1" t="s">
        <v>24</v>
      </c>
      <c r="H3378" s="1" t="str">
        <f>"0032"</f>
        <v>0032</v>
      </c>
      <c r="I3378" s="1" t="s">
        <v>119</v>
      </c>
      <c r="J3378" s="1" t="str">
        <f>"01043977566"</f>
        <v>01043977566</v>
      </c>
      <c r="K3378" s="1" t="str">
        <f>"2017-04-16 14:45:24"</f>
        <v>2017-04-16 14:45:24</v>
      </c>
      <c r="L3378" s="1" t="str">
        <f>"2017-04-16 14:45:39"</f>
        <v>2017-04-16 14:45:39</v>
      </c>
      <c r="M3378" s="2">
        <v>5.2314814814814819E-3</v>
      </c>
      <c r="N3378" s="1" t="s">
        <v>26</v>
      </c>
      <c r="O3378" s="1" t="s">
        <v>34</v>
      </c>
      <c r="P3378" s="2">
        <v>5.4050925925925924E-3</v>
      </c>
      <c r="Q3378" s="1" t="s">
        <v>2418</v>
      </c>
      <c r="R3378" s="1">
        <v>0</v>
      </c>
      <c r="S3378" s="1" t="str">
        <f>""</f>
        <v/>
      </c>
      <c r="T3378" s="1" t="s">
        <v>29</v>
      </c>
      <c r="U3378" s="1" t="s">
        <v>30</v>
      </c>
      <c r="V3378" s="1">
        <v>0</v>
      </c>
    </row>
    <row r="3379" spans="2:22" x14ac:dyDescent="0.15">
      <c r="B3379" s="1" t="str">
        <f>"0316017778048602"</f>
        <v>0316017778048602</v>
      </c>
      <c r="C3379" s="1" t="s">
        <v>51</v>
      </c>
      <c r="D3379" s="1" t="str">
        <f t="shared" si="339"/>
        <v>89177328</v>
      </c>
      <c r="E3379" s="1" t="s">
        <v>24</v>
      </c>
      <c r="F3379" s="1" t="str">
        <f t="shared" si="340"/>
        <v>0010</v>
      </c>
      <c r="G3379" s="1" t="s">
        <v>24</v>
      </c>
      <c r="H3379" s="1" t="str">
        <f>"0017"</f>
        <v>0017</v>
      </c>
      <c r="I3379" s="1" t="s">
        <v>135</v>
      </c>
      <c r="J3379" s="1" t="str">
        <f>"01043989717"</f>
        <v>01043989717</v>
      </c>
      <c r="K3379" s="1" t="str">
        <f>"2017-04-16 14:42:08"</f>
        <v>2017-04-16 14:42:08</v>
      </c>
      <c r="L3379" s="1" t="str">
        <f>"2017-04-16 14:42:16"</f>
        <v>2017-04-16 14:42:16</v>
      </c>
      <c r="M3379" s="2">
        <v>1.2222222222222223E-2</v>
      </c>
      <c r="N3379" s="1" t="s">
        <v>26</v>
      </c>
      <c r="O3379" s="1" t="s">
        <v>27</v>
      </c>
      <c r="P3379" s="2">
        <v>1.2314814814814815E-2</v>
      </c>
      <c r="Q3379" s="1" t="s">
        <v>2419</v>
      </c>
      <c r="R3379" s="1">
        <v>0</v>
      </c>
      <c r="S3379" s="1" t="str">
        <f>""</f>
        <v/>
      </c>
      <c r="T3379" s="1" t="s">
        <v>29</v>
      </c>
      <c r="U3379" s="1" t="s">
        <v>30</v>
      </c>
      <c r="V3379" s="1">
        <v>0</v>
      </c>
    </row>
    <row r="3380" spans="2:22" x14ac:dyDescent="0.15">
      <c r="B3380" s="1" t="str">
        <f>"152****1146"</f>
        <v>152****1146</v>
      </c>
      <c r="C3380" s="1" t="s">
        <v>23</v>
      </c>
      <c r="D3380" s="1" t="str">
        <f t="shared" si="339"/>
        <v>89177328</v>
      </c>
      <c r="E3380" s="1" t="s">
        <v>24</v>
      </c>
      <c r="F3380" s="1" t="str">
        <f t="shared" si="340"/>
        <v>0010</v>
      </c>
      <c r="G3380" s="1" t="s">
        <v>24</v>
      </c>
      <c r="H3380" s="1" t="str">
        <f>"0033"</f>
        <v>0033</v>
      </c>
      <c r="I3380" s="1" t="s">
        <v>106</v>
      </c>
      <c r="J3380" s="1" t="str">
        <f>"01043977568"</f>
        <v>01043977568</v>
      </c>
      <c r="K3380" s="1" t="str">
        <f>"2017-04-16 14:39:41"</f>
        <v>2017-04-16 14:39:41</v>
      </c>
      <c r="L3380" s="1" t="str">
        <f>"2017-04-16 14:39:52"</f>
        <v>2017-04-16 14:39:52</v>
      </c>
      <c r="M3380" s="2">
        <v>4.0740740740740746E-3</v>
      </c>
      <c r="N3380" s="1" t="s">
        <v>26</v>
      </c>
      <c r="O3380" s="1" t="s">
        <v>27</v>
      </c>
      <c r="P3380" s="2">
        <v>4.2013888888888891E-3</v>
      </c>
      <c r="Q3380" s="1" t="s">
        <v>2420</v>
      </c>
      <c r="R3380" s="1">
        <v>0</v>
      </c>
      <c r="S3380" s="1" t="str">
        <f>""</f>
        <v/>
      </c>
      <c r="T3380" s="1" t="s">
        <v>29</v>
      </c>
      <c r="U3380" s="1" t="s">
        <v>30</v>
      </c>
      <c r="V3380" s="1">
        <v>0</v>
      </c>
    </row>
    <row r="3381" spans="2:22" x14ac:dyDescent="0.15">
      <c r="B3381" s="1" t="str">
        <f>"0316015010659856"</f>
        <v>0316015010659856</v>
      </c>
      <c r="C3381" s="1" t="s">
        <v>51</v>
      </c>
      <c r="D3381" s="1" t="str">
        <f t="shared" si="339"/>
        <v>89177328</v>
      </c>
      <c r="E3381" s="1" t="s">
        <v>24</v>
      </c>
      <c r="F3381" s="1" t="str">
        <f t="shared" si="340"/>
        <v>0010</v>
      </c>
      <c r="G3381" s="1" t="s">
        <v>24</v>
      </c>
      <c r="H3381" s="1" t="str">
        <f>"0033"</f>
        <v>0033</v>
      </c>
      <c r="I3381" s="1" t="s">
        <v>106</v>
      </c>
      <c r="J3381" s="1" t="str">
        <f>"01043977568"</f>
        <v>01043977568</v>
      </c>
      <c r="K3381" s="1" t="str">
        <f>"2017-04-16 14:17:09"</f>
        <v>2017-04-16 14:17:09</v>
      </c>
      <c r="L3381" s="1" t="str">
        <f>"2017-04-16 14:17:20"</f>
        <v>2017-04-16 14:17:20</v>
      </c>
      <c r="M3381" s="2">
        <v>4.5023148148148149E-3</v>
      </c>
      <c r="N3381" s="1" t="s">
        <v>26</v>
      </c>
      <c r="O3381" s="1" t="s">
        <v>27</v>
      </c>
      <c r="P3381" s="2">
        <v>4.6296296296296302E-3</v>
      </c>
      <c r="Q3381" s="1" t="s">
        <v>2421</v>
      </c>
      <c r="R3381" s="1">
        <v>0</v>
      </c>
      <c r="S3381" s="1" t="str">
        <f>""</f>
        <v/>
      </c>
      <c r="T3381" s="1" t="s">
        <v>29</v>
      </c>
      <c r="U3381" s="1" t="s">
        <v>30</v>
      </c>
      <c r="V3381" s="1">
        <v>0</v>
      </c>
    </row>
    <row r="3382" spans="2:22" x14ac:dyDescent="0.15">
      <c r="B3382" s="1" t="str">
        <f>"134****9450"</f>
        <v>134****9450</v>
      </c>
      <c r="C3382" s="1" t="s">
        <v>23</v>
      </c>
      <c r="D3382" s="1" t="str">
        <f t="shared" si="339"/>
        <v>89177328</v>
      </c>
      <c r="E3382" s="1" t="s">
        <v>24</v>
      </c>
      <c r="F3382" s="1" t="str">
        <f t="shared" si="340"/>
        <v>0010</v>
      </c>
      <c r="G3382" s="1" t="s">
        <v>24</v>
      </c>
      <c r="H3382" s="1" t="str">
        <f>"0017"</f>
        <v>0017</v>
      </c>
      <c r="I3382" s="1" t="s">
        <v>135</v>
      </c>
      <c r="J3382" s="1" t="str">
        <f>"01043989717"</f>
        <v>01043989717</v>
      </c>
      <c r="K3382" s="1" t="str">
        <f>"2017-04-16 14:05:38"</f>
        <v>2017-04-16 14:05:38</v>
      </c>
      <c r="L3382" s="1" t="str">
        <f>"2017-04-16 14:05:46"</f>
        <v>2017-04-16 14:05:46</v>
      </c>
      <c r="M3382" s="2">
        <v>2.8009259259259259E-3</v>
      </c>
      <c r="N3382" s="1" t="s">
        <v>26</v>
      </c>
      <c r="O3382" s="1" t="s">
        <v>27</v>
      </c>
      <c r="P3382" s="2">
        <v>2.8935185185185188E-3</v>
      </c>
      <c r="Q3382" s="1" t="s">
        <v>2422</v>
      </c>
      <c r="R3382" s="1">
        <v>0</v>
      </c>
      <c r="S3382" s="1" t="str">
        <f>""</f>
        <v/>
      </c>
      <c r="T3382" s="1" t="s">
        <v>29</v>
      </c>
      <c r="U3382" s="1" t="s">
        <v>30</v>
      </c>
      <c r="V3382" s="1">
        <v>0</v>
      </c>
    </row>
    <row r="3383" spans="2:22" x14ac:dyDescent="0.15">
      <c r="B3383" s="1" t="str">
        <f>"135****8658"</f>
        <v>135****8658</v>
      </c>
      <c r="C3383" s="1" t="s">
        <v>51</v>
      </c>
      <c r="D3383" s="1" t="str">
        <f>"89176026"</f>
        <v>89176026</v>
      </c>
      <c r="E3383" s="1" t="str">
        <f>""</f>
        <v/>
      </c>
      <c r="F3383" s="1" t="str">
        <f>""</f>
        <v/>
      </c>
      <c r="G3383" s="1" t="str">
        <f>""</f>
        <v/>
      </c>
      <c r="H3383" s="1" t="str">
        <f>""</f>
        <v/>
      </c>
      <c r="I3383" s="1" t="str">
        <f>""</f>
        <v/>
      </c>
      <c r="J3383" s="1" t="str">
        <f>""</f>
        <v/>
      </c>
      <c r="K3383" s="1" t="str">
        <f>"2017-04-16 13:56:33"</f>
        <v>2017-04-16 13:56:33</v>
      </c>
      <c r="L3383" s="1" t="str">
        <f>"-"</f>
        <v>-</v>
      </c>
      <c r="M3383" s="2">
        <v>0</v>
      </c>
      <c r="N3383" s="1" t="s">
        <v>55</v>
      </c>
      <c r="O3383" s="1" t="s">
        <v>27</v>
      </c>
      <c r="P3383" s="2">
        <v>1.1574074074074073E-5</v>
      </c>
      <c r="Q3383" s="1" t="str">
        <f>""</f>
        <v/>
      </c>
      <c r="R3383" s="1">
        <v>0</v>
      </c>
      <c r="S3383" s="1" t="str">
        <f>""</f>
        <v/>
      </c>
      <c r="T3383" s="1" t="s">
        <v>29</v>
      </c>
      <c r="U3383" s="1" t="s">
        <v>30</v>
      </c>
      <c r="V3383" s="1">
        <v>0</v>
      </c>
    </row>
    <row r="3384" spans="2:22" x14ac:dyDescent="0.15">
      <c r="B3384" s="1" t="str">
        <f>"177****1463"</f>
        <v>177****1463</v>
      </c>
      <c r="C3384" s="1" t="s">
        <v>97</v>
      </c>
      <c r="D3384" s="1" t="str">
        <f t="shared" ref="D3384:D3417" si="345">"89177328"</f>
        <v>89177328</v>
      </c>
      <c r="E3384" s="1" t="s">
        <v>24</v>
      </c>
      <c r="F3384" s="1" t="str">
        <f t="shared" ref="F3384:F3417" si="346">"0010"</f>
        <v>0010</v>
      </c>
      <c r="G3384" s="1" t="s">
        <v>24</v>
      </c>
      <c r="H3384" s="1" t="str">
        <f>"0031"</f>
        <v>0031</v>
      </c>
      <c r="I3384" s="1" t="s">
        <v>95</v>
      </c>
      <c r="J3384" s="1" t="str">
        <f>"01043977565"</f>
        <v>01043977565</v>
      </c>
      <c r="K3384" s="1" t="str">
        <f>"2017-04-16 13:44:12"</f>
        <v>2017-04-16 13:44:12</v>
      </c>
      <c r="L3384" s="1" t="str">
        <f>"2017-04-16 13:44:42"</f>
        <v>2017-04-16 13:44:42</v>
      </c>
      <c r="M3384" s="2">
        <v>1.042824074074074E-2</v>
      </c>
      <c r="N3384" s="1" t="s">
        <v>26</v>
      </c>
      <c r="O3384" s="1" t="s">
        <v>27</v>
      </c>
      <c r="P3384" s="2">
        <v>1.0775462962962964E-2</v>
      </c>
      <c r="Q3384" s="1" t="s">
        <v>2423</v>
      </c>
      <c r="R3384" s="1">
        <v>0</v>
      </c>
      <c r="S3384" s="1" t="str">
        <f>""</f>
        <v/>
      </c>
      <c r="T3384" s="1" t="s">
        <v>29</v>
      </c>
      <c r="U3384" s="1" t="s">
        <v>30</v>
      </c>
      <c r="V3384" s="1">
        <v>0</v>
      </c>
    </row>
    <row r="3385" spans="2:22" x14ac:dyDescent="0.15">
      <c r="B3385" s="1" t="str">
        <f>"010****1208"</f>
        <v>010****1208</v>
      </c>
      <c r="C3385" s="1" t="s">
        <v>23</v>
      </c>
      <c r="D3385" s="1" t="str">
        <f t="shared" si="345"/>
        <v>89177328</v>
      </c>
      <c r="E3385" s="1" t="s">
        <v>24</v>
      </c>
      <c r="F3385" s="1" t="str">
        <f t="shared" si="346"/>
        <v>0010</v>
      </c>
      <c r="G3385" s="1" t="s">
        <v>24</v>
      </c>
      <c r="H3385" s="1" t="str">
        <f>"0031"</f>
        <v>0031</v>
      </c>
      <c r="I3385" s="1" t="s">
        <v>95</v>
      </c>
      <c r="J3385" s="1" t="str">
        <f>"01043977565"</f>
        <v>01043977565</v>
      </c>
      <c r="K3385" s="1" t="str">
        <f>"2017-04-16 13:39:39"</f>
        <v>2017-04-16 13:39:39</v>
      </c>
      <c r="L3385" s="1" t="str">
        <f>"2017-04-16 13:39:48"</f>
        <v>2017-04-16 13:39:48</v>
      </c>
      <c r="M3385" s="2">
        <v>1.9791666666666668E-3</v>
      </c>
      <c r="N3385" s="1" t="s">
        <v>26</v>
      </c>
      <c r="O3385" s="1" t="s">
        <v>27</v>
      </c>
      <c r="P3385" s="2">
        <v>2.0833333333333333E-3</v>
      </c>
      <c r="Q3385" s="1" t="s">
        <v>2424</v>
      </c>
      <c r="R3385" s="1">
        <v>0</v>
      </c>
      <c r="S3385" s="1" t="str">
        <f>""</f>
        <v/>
      </c>
      <c r="T3385" s="1" t="s">
        <v>29</v>
      </c>
      <c r="U3385" s="1" t="s">
        <v>30</v>
      </c>
      <c r="V3385" s="1">
        <v>0</v>
      </c>
    </row>
    <row r="3386" spans="2:22" x14ac:dyDescent="0.15">
      <c r="B3386" s="1" t="str">
        <f>"189****5058"</f>
        <v>189****5058</v>
      </c>
      <c r="C3386" s="1" t="s">
        <v>23</v>
      </c>
      <c r="D3386" s="1" t="str">
        <f t="shared" si="345"/>
        <v>89177328</v>
      </c>
      <c r="E3386" s="1" t="s">
        <v>24</v>
      </c>
      <c r="F3386" s="1" t="str">
        <f t="shared" si="346"/>
        <v>0010</v>
      </c>
      <c r="G3386" s="1" t="s">
        <v>24</v>
      </c>
      <c r="H3386" s="1" t="str">
        <f>"0032"</f>
        <v>0032</v>
      </c>
      <c r="I3386" s="1" t="s">
        <v>119</v>
      </c>
      <c r="J3386" s="1" t="str">
        <f>"01043977566"</f>
        <v>01043977566</v>
      </c>
      <c r="K3386" s="1" t="str">
        <f>"2017-04-16 13:33:29"</f>
        <v>2017-04-16 13:33:29</v>
      </c>
      <c r="L3386" s="1" t="str">
        <f>"2017-04-16 13:33:41"</f>
        <v>2017-04-16 13:33:41</v>
      </c>
      <c r="M3386" s="2">
        <v>3.5879629629629629E-3</v>
      </c>
      <c r="N3386" s="1" t="s">
        <v>26</v>
      </c>
      <c r="O3386" s="1" t="s">
        <v>34</v>
      </c>
      <c r="P3386" s="2">
        <v>3.7268518518518514E-3</v>
      </c>
      <c r="Q3386" s="1" t="s">
        <v>2425</v>
      </c>
      <c r="R3386" s="1">
        <v>0</v>
      </c>
      <c r="S3386" s="1" t="str">
        <f>""</f>
        <v/>
      </c>
      <c r="T3386" s="1" t="s">
        <v>29</v>
      </c>
      <c r="U3386" s="1" t="s">
        <v>30</v>
      </c>
      <c r="V3386" s="1">
        <v>0</v>
      </c>
    </row>
    <row r="3387" spans="2:22" x14ac:dyDescent="0.15">
      <c r="B3387" s="1" t="str">
        <f>"189****5058"</f>
        <v>189****5058</v>
      </c>
      <c r="C3387" s="1" t="s">
        <v>23</v>
      </c>
      <c r="D3387" s="1" t="str">
        <f t="shared" si="345"/>
        <v>89177328</v>
      </c>
      <c r="E3387" s="1" t="s">
        <v>24</v>
      </c>
      <c r="F3387" s="1" t="str">
        <f t="shared" si="346"/>
        <v>0010</v>
      </c>
      <c r="G3387" s="1" t="s">
        <v>24</v>
      </c>
      <c r="H3387" s="1" t="str">
        <f>"0017"</f>
        <v>0017</v>
      </c>
      <c r="I3387" s="1" t="s">
        <v>135</v>
      </c>
      <c r="J3387" s="1" t="str">
        <f>"01043989717"</f>
        <v>01043989717</v>
      </c>
      <c r="K3387" s="1" t="str">
        <f>"2017-04-16 13:31:03"</f>
        <v>2017-04-16 13:31:03</v>
      </c>
      <c r="L3387" s="1" t="str">
        <f>"2017-04-16 13:31:11"</f>
        <v>2017-04-16 13:31:11</v>
      </c>
      <c r="M3387" s="2">
        <v>7.9861111111111105E-4</v>
      </c>
      <c r="N3387" s="1" t="s">
        <v>26</v>
      </c>
      <c r="O3387" s="1" t="s">
        <v>34</v>
      </c>
      <c r="P3387" s="2">
        <v>8.9120370370370362E-4</v>
      </c>
      <c r="Q3387" s="1" t="s">
        <v>2426</v>
      </c>
      <c r="R3387" s="1">
        <v>0</v>
      </c>
      <c r="S3387" s="1" t="str">
        <f>""</f>
        <v/>
      </c>
      <c r="T3387" s="1" t="s">
        <v>29</v>
      </c>
      <c r="U3387" s="1" t="s">
        <v>30</v>
      </c>
      <c r="V3387" s="1">
        <v>0</v>
      </c>
    </row>
    <row r="3388" spans="2:22" x14ac:dyDescent="0.15">
      <c r="B3388" s="1" t="str">
        <f>"137****1414"</f>
        <v>137****1414</v>
      </c>
      <c r="C3388" s="1" t="s">
        <v>23</v>
      </c>
      <c r="D3388" s="1" t="str">
        <f t="shared" si="345"/>
        <v>89177328</v>
      </c>
      <c r="E3388" s="1" t="s">
        <v>24</v>
      </c>
      <c r="F3388" s="1" t="str">
        <f t="shared" si="346"/>
        <v>0010</v>
      </c>
      <c r="G3388" s="1" t="s">
        <v>24</v>
      </c>
      <c r="H3388" s="1" t="str">
        <f>"0017"</f>
        <v>0017</v>
      </c>
      <c r="I3388" s="1" t="s">
        <v>135</v>
      </c>
      <c r="J3388" s="1" t="str">
        <f>"01043989717"</f>
        <v>01043989717</v>
      </c>
      <c r="K3388" s="1" t="str">
        <f>"2017-04-16 13:23:50"</f>
        <v>2017-04-16 13:23:50</v>
      </c>
      <c r="L3388" s="1" t="str">
        <f>"2017-04-16 13:24:00"</f>
        <v>2017-04-16 13:24:00</v>
      </c>
      <c r="M3388" s="2">
        <v>1.3541666666666667E-3</v>
      </c>
      <c r="N3388" s="1" t="s">
        <v>26</v>
      </c>
      <c r="O3388" s="1" t="s">
        <v>27</v>
      </c>
      <c r="P3388" s="2">
        <v>1.4699074074074074E-3</v>
      </c>
      <c r="Q3388" s="1" t="s">
        <v>2427</v>
      </c>
      <c r="R3388" s="1">
        <v>0</v>
      </c>
      <c r="S3388" s="1" t="str">
        <f>""</f>
        <v/>
      </c>
      <c r="T3388" s="1" t="s">
        <v>29</v>
      </c>
      <c r="U3388" s="1" t="s">
        <v>30</v>
      </c>
      <c r="V3388" s="1">
        <v>0</v>
      </c>
    </row>
    <row r="3389" spans="2:22" x14ac:dyDescent="0.15">
      <c r="B3389" s="1" t="str">
        <f>"156****2578"</f>
        <v>156****2578</v>
      </c>
      <c r="C3389" s="1" t="s">
        <v>527</v>
      </c>
      <c r="D3389" s="1" t="str">
        <f t="shared" si="345"/>
        <v>89177328</v>
      </c>
      <c r="E3389" s="1" t="s">
        <v>24</v>
      </c>
      <c r="F3389" s="1" t="str">
        <f t="shared" si="346"/>
        <v>0010</v>
      </c>
      <c r="G3389" s="1" t="s">
        <v>24</v>
      </c>
      <c r="H3389" s="1" t="str">
        <f>"0033"</f>
        <v>0033</v>
      </c>
      <c r="I3389" s="1" t="s">
        <v>106</v>
      </c>
      <c r="J3389" s="1" t="str">
        <f>"01043977568"</f>
        <v>01043977568</v>
      </c>
      <c r="K3389" s="1" t="str">
        <f>"2017-04-16 13:08:17"</f>
        <v>2017-04-16 13:08:17</v>
      </c>
      <c r="L3389" s="1" t="str">
        <f>"2017-04-16 13:08:28"</f>
        <v>2017-04-16 13:08:28</v>
      </c>
      <c r="M3389" s="2">
        <v>2.4398148148148145E-2</v>
      </c>
      <c r="N3389" s="1" t="s">
        <v>26</v>
      </c>
      <c r="O3389" s="1" t="s">
        <v>27</v>
      </c>
      <c r="P3389" s="2">
        <v>2.4525462962962968E-2</v>
      </c>
      <c r="Q3389" s="1" t="s">
        <v>2428</v>
      </c>
      <c r="R3389" s="1">
        <v>0</v>
      </c>
      <c r="S3389" s="1" t="str">
        <f>""</f>
        <v/>
      </c>
      <c r="T3389" s="1" t="s">
        <v>29</v>
      </c>
      <c r="U3389" s="1" t="s">
        <v>30</v>
      </c>
      <c r="V3389" s="1">
        <v>0</v>
      </c>
    </row>
    <row r="3390" spans="2:22" x14ac:dyDescent="0.15">
      <c r="B3390" s="1" t="str">
        <f>"186****0604"</f>
        <v>186****0604</v>
      </c>
      <c r="C3390" s="1" t="s">
        <v>23</v>
      </c>
      <c r="D3390" s="1" t="str">
        <f t="shared" si="345"/>
        <v>89177328</v>
      </c>
      <c r="E3390" s="1" t="s">
        <v>24</v>
      </c>
      <c r="F3390" s="1" t="str">
        <f t="shared" si="346"/>
        <v>0010</v>
      </c>
      <c r="G3390" s="1" t="s">
        <v>24</v>
      </c>
      <c r="H3390" s="1" t="str">
        <f>"0017"</f>
        <v>0017</v>
      </c>
      <c r="I3390" s="1" t="s">
        <v>135</v>
      </c>
      <c r="J3390" s="1" t="str">
        <f>"01043989717"</f>
        <v>01043989717</v>
      </c>
      <c r="K3390" s="1" t="str">
        <f>"2017-04-16 12:35:39"</f>
        <v>2017-04-16 12:35:39</v>
      </c>
      <c r="L3390" s="1" t="str">
        <f>"-"</f>
        <v>-</v>
      </c>
      <c r="M3390" s="2">
        <v>0</v>
      </c>
      <c r="N3390" s="1" t="s">
        <v>33</v>
      </c>
      <c r="O3390" s="1" t="s">
        <v>34</v>
      </c>
      <c r="P3390" s="2">
        <v>5.7870370370370366E-5</v>
      </c>
      <c r="Q3390" s="1" t="str">
        <f>""</f>
        <v/>
      </c>
      <c r="R3390" s="1">
        <v>0</v>
      </c>
      <c r="S3390" s="1" t="str">
        <f>""</f>
        <v/>
      </c>
      <c r="T3390" s="1" t="s">
        <v>29</v>
      </c>
      <c r="U3390" s="1" t="s">
        <v>30</v>
      </c>
      <c r="V3390" s="1">
        <v>0</v>
      </c>
    </row>
    <row r="3391" spans="2:22" x14ac:dyDescent="0.15">
      <c r="B3391" s="1" t="str">
        <f>"186****0604"</f>
        <v>186****0604</v>
      </c>
      <c r="C3391" s="1" t="s">
        <v>23</v>
      </c>
      <c r="D3391" s="1" t="str">
        <f t="shared" si="345"/>
        <v>89177328</v>
      </c>
      <c r="E3391" s="1" t="s">
        <v>24</v>
      </c>
      <c r="F3391" s="1" t="str">
        <f t="shared" si="346"/>
        <v>0010</v>
      </c>
      <c r="G3391" s="1" t="s">
        <v>24</v>
      </c>
      <c r="H3391" s="1" t="str">
        <f>"0017"</f>
        <v>0017</v>
      </c>
      <c r="I3391" s="1" t="s">
        <v>135</v>
      </c>
      <c r="J3391" s="1" t="str">
        <f>"01043989717"</f>
        <v>01043989717</v>
      </c>
      <c r="K3391" s="1" t="str">
        <f>"2017-04-16 12:32:31"</f>
        <v>2017-04-16 12:32:31</v>
      </c>
      <c r="L3391" s="1" t="str">
        <f>"-"</f>
        <v>-</v>
      </c>
      <c r="M3391" s="2">
        <v>0</v>
      </c>
      <c r="N3391" s="1" t="s">
        <v>33</v>
      </c>
      <c r="O3391" s="1" t="s">
        <v>34</v>
      </c>
      <c r="P3391" s="2">
        <v>6.9444444444444444E-5</v>
      </c>
      <c r="Q3391" s="1" t="str">
        <f>""</f>
        <v/>
      </c>
      <c r="R3391" s="1">
        <v>0</v>
      </c>
      <c r="S3391" s="1" t="str">
        <f>""</f>
        <v/>
      </c>
      <c r="T3391" s="1" t="s">
        <v>29</v>
      </c>
      <c r="U3391" s="1" t="s">
        <v>30</v>
      </c>
      <c r="V3391" s="1">
        <v>0</v>
      </c>
    </row>
    <row r="3392" spans="2:22" x14ac:dyDescent="0.15">
      <c r="B3392" s="1" t="str">
        <f>"157****4678"</f>
        <v>157****4678</v>
      </c>
      <c r="C3392" s="1" t="s">
        <v>23</v>
      </c>
      <c r="D3392" s="1" t="str">
        <f t="shared" si="345"/>
        <v>89177328</v>
      </c>
      <c r="E3392" s="1" t="s">
        <v>24</v>
      </c>
      <c r="F3392" s="1" t="str">
        <f t="shared" si="346"/>
        <v>0010</v>
      </c>
      <c r="G3392" s="1" t="s">
        <v>24</v>
      </c>
      <c r="H3392" s="1" t="str">
        <f>"0032"</f>
        <v>0032</v>
      </c>
      <c r="I3392" s="1" t="s">
        <v>119</v>
      </c>
      <c r="J3392" s="1" t="str">
        <f>"01043977566"</f>
        <v>01043977566</v>
      </c>
      <c r="K3392" s="1" t="str">
        <f>"2017-04-16 12:31:07"</f>
        <v>2017-04-16 12:31:07</v>
      </c>
      <c r="L3392" s="1" t="str">
        <f>"-"</f>
        <v>-</v>
      </c>
      <c r="M3392" s="2">
        <v>0</v>
      </c>
      <c r="N3392" s="1" t="s">
        <v>33</v>
      </c>
      <c r="O3392" s="1" t="s">
        <v>34</v>
      </c>
      <c r="P3392" s="2">
        <v>8.1018518518518516E-5</v>
      </c>
      <c r="Q3392" s="1" t="str">
        <f>""</f>
        <v/>
      </c>
      <c r="R3392" s="1">
        <v>0</v>
      </c>
      <c r="S3392" s="1" t="str">
        <f>""</f>
        <v/>
      </c>
      <c r="T3392" s="1" t="s">
        <v>29</v>
      </c>
      <c r="U3392" s="1" t="s">
        <v>30</v>
      </c>
      <c r="V3392" s="1">
        <v>0</v>
      </c>
    </row>
    <row r="3393" spans="2:22" x14ac:dyDescent="0.15">
      <c r="B3393" s="1" t="str">
        <f>"138****2652"</f>
        <v>138****2652</v>
      </c>
      <c r="C3393" s="1" t="s">
        <v>23</v>
      </c>
      <c r="D3393" s="1" t="str">
        <f t="shared" si="345"/>
        <v>89177328</v>
      </c>
      <c r="E3393" s="1" t="s">
        <v>24</v>
      </c>
      <c r="F3393" s="1" t="str">
        <f t="shared" si="346"/>
        <v>0010</v>
      </c>
      <c r="G3393" s="1" t="s">
        <v>24</v>
      </c>
      <c r="H3393" s="1" t="str">
        <f>"0031"</f>
        <v>0031</v>
      </c>
      <c r="I3393" s="1" t="s">
        <v>95</v>
      </c>
      <c r="J3393" s="1" t="str">
        <f>"01043977565"</f>
        <v>01043977565</v>
      </c>
      <c r="K3393" s="1" t="str">
        <f>"2017-04-16 12:27:41"</f>
        <v>2017-04-16 12:27:41</v>
      </c>
      <c r="L3393" s="1" t="str">
        <f>"2017-04-16 12:27:50"</f>
        <v>2017-04-16 12:27:50</v>
      </c>
      <c r="M3393" s="2">
        <v>1.6620370370370372E-2</v>
      </c>
      <c r="N3393" s="1" t="s">
        <v>26</v>
      </c>
      <c r="O3393" s="1" t="s">
        <v>34</v>
      </c>
      <c r="P3393" s="2">
        <v>1.6724537037037034E-2</v>
      </c>
      <c r="Q3393" s="1" t="s">
        <v>2429</v>
      </c>
      <c r="R3393" s="1">
        <v>0</v>
      </c>
      <c r="S3393" s="1" t="str">
        <f>""</f>
        <v/>
      </c>
      <c r="T3393" s="1" t="s">
        <v>29</v>
      </c>
      <c r="U3393" s="1" t="s">
        <v>30</v>
      </c>
      <c r="V3393" s="1">
        <v>0</v>
      </c>
    </row>
    <row r="3394" spans="2:22" x14ac:dyDescent="0.15">
      <c r="B3394" s="1" t="str">
        <f>"157****4678"</f>
        <v>157****4678</v>
      </c>
      <c r="C3394" s="1" t="s">
        <v>23</v>
      </c>
      <c r="D3394" s="1" t="str">
        <f t="shared" si="345"/>
        <v>89177328</v>
      </c>
      <c r="E3394" s="1" t="s">
        <v>24</v>
      </c>
      <c r="F3394" s="1" t="str">
        <f t="shared" si="346"/>
        <v>0010</v>
      </c>
      <c r="G3394" s="1" t="s">
        <v>24</v>
      </c>
      <c r="H3394" s="1" t="str">
        <f>"0031"</f>
        <v>0031</v>
      </c>
      <c r="I3394" s="1" t="s">
        <v>95</v>
      </c>
      <c r="J3394" s="1" t="str">
        <f>"01043977565"</f>
        <v>01043977565</v>
      </c>
      <c r="K3394" s="1" t="str">
        <f>"2017-04-16 12:25:59"</f>
        <v>2017-04-16 12:25:59</v>
      </c>
      <c r="L3394" s="1" t="str">
        <f>"-"</f>
        <v>-</v>
      </c>
      <c r="M3394" s="2">
        <v>0</v>
      </c>
      <c r="N3394" s="1" t="s">
        <v>33</v>
      </c>
      <c r="O3394" s="1" t="s">
        <v>34</v>
      </c>
      <c r="P3394" s="2">
        <v>5.7870370370370366E-5</v>
      </c>
      <c r="Q3394" s="1" t="str">
        <f>""</f>
        <v/>
      </c>
      <c r="R3394" s="1">
        <v>0</v>
      </c>
      <c r="S3394" s="1" t="str">
        <f>""</f>
        <v/>
      </c>
      <c r="T3394" s="1" t="s">
        <v>29</v>
      </c>
      <c r="U3394" s="1" t="s">
        <v>30</v>
      </c>
      <c r="V3394" s="1">
        <v>0</v>
      </c>
    </row>
    <row r="3395" spans="2:22" x14ac:dyDescent="0.15">
      <c r="B3395" s="1" t="str">
        <f>"133****9597"</f>
        <v>133****9597</v>
      </c>
      <c r="C3395" s="1" t="s">
        <v>23</v>
      </c>
      <c r="D3395" s="1" t="str">
        <f t="shared" si="345"/>
        <v>89177328</v>
      </c>
      <c r="E3395" s="1" t="s">
        <v>24</v>
      </c>
      <c r="F3395" s="1" t="str">
        <f t="shared" si="346"/>
        <v>0010</v>
      </c>
      <c r="G3395" s="1" t="s">
        <v>24</v>
      </c>
      <c r="H3395" s="1" t="str">
        <f>"0031"</f>
        <v>0031</v>
      </c>
      <c r="I3395" s="1" t="s">
        <v>95</v>
      </c>
      <c r="J3395" s="1" t="str">
        <f>"01043977565"</f>
        <v>01043977565</v>
      </c>
      <c r="K3395" s="1" t="str">
        <f>"2017-04-16 12:22:53"</f>
        <v>2017-04-16 12:22:53</v>
      </c>
      <c r="L3395" s="1" t="str">
        <f>"-"</f>
        <v>-</v>
      </c>
      <c r="M3395" s="2">
        <v>0</v>
      </c>
      <c r="N3395" s="1" t="s">
        <v>33</v>
      </c>
      <c r="O3395" s="1" t="s">
        <v>34</v>
      </c>
      <c r="P3395" s="2">
        <v>9.2592592592592588E-5</v>
      </c>
      <c r="Q3395" s="1" t="str">
        <f>""</f>
        <v/>
      </c>
      <c r="R3395" s="1">
        <v>0</v>
      </c>
      <c r="S3395" s="1" t="str">
        <f>""</f>
        <v/>
      </c>
      <c r="T3395" s="1" t="s">
        <v>29</v>
      </c>
      <c r="U3395" s="1" t="s">
        <v>30</v>
      </c>
      <c r="V3395" s="1">
        <v>0</v>
      </c>
    </row>
    <row r="3396" spans="2:22" x14ac:dyDescent="0.15">
      <c r="B3396" s="1" t="str">
        <f>"133****9597"</f>
        <v>133****9597</v>
      </c>
      <c r="C3396" s="1" t="s">
        <v>23</v>
      </c>
      <c r="D3396" s="1" t="str">
        <f t="shared" si="345"/>
        <v>89177328</v>
      </c>
      <c r="E3396" s="1" t="s">
        <v>24</v>
      </c>
      <c r="F3396" s="1" t="str">
        <f t="shared" si="346"/>
        <v>0010</v>
      </c>
      <c r="G3396" s="1" t="s">
        <v>24</v>
      </c>
      <c r="H3396" s="1" t="str">
        <f>"0031"</f>
        <v>0031</v>
      </c>
      <c r="I3396" s="1" t="s">
        <v>95</v>
      </c>
      <c r="J3396" s="1" t="str">
        <f>"01043977565"</f>
        <v>01043977565</v>
      </c>
      <c r="K3396" s="1" t="str">
        <f>"2017-04-16 12:20:22"</f>
        <v>2017-04-16 12:20:22</v>
      </c>
      <c r="L3396" s="1" t="str">
        <f>"-"</f>
        <v>-</v>
      </c>
      <c r="M3396" s="2">
        <v>0</v>
      </c>
      <c r="N3396" s="1" t="s">
        <v>33</v>
      </c>
      <c r="O3396" s="1" t="s">
        <v>34</v>
      </c>
      <c r="P3396" s="2">
        <v>2.3148148148148147E-5</v>
      </c>
      <c r="Q3396" s="1" t="str">
        <f>""</f>
        <v/>
      </c>
      <c r="R3396" s="1">
        <v>0</v>
      </c>
      <c r="S3396" s="1" t="str">
        <f>""</f>
        <v/>
      </c>
      <c r="T3396" s="1" t="s">
        <v>29</v>
      </c>
      <c r="U3396" s="1" t="s">
        <v>30</v>
      </c>
      <c r="V3396" s="1">
        <v>0</v>
      </c>
    </row>
    <row r="3397" spans="2:22" x14ac:dyDescent="0.15">
      <c r="B3397" s="1" t="str">
        <f>"138****7858"</f>
        <v>138****7858</v>
      </c>
      <c r="C3397" s="1" t="s">
        <v>23</v>
      </c>
      <c r="D3397" s="1" t="str">
        <f t="shared" si="345"/>
        <v>89177328</v>
      </c>
      <c r="E3397" s="1" t="s">
        <v>24</v>
      </c>
      <c r="F3397" s="1" t="str">
        <f t="shared" si="346"/>
        <v>0010</v>
      </c>
      <c r="G3397" s="1" t="s">
        <v>24</v>
      </c>
      <c r="H3397" s="1" t="str">
        <f>"0033"</f>
        <v>0033</v>
      </c>
      <c r="I3397" s="1" t="s">
        <v>106</v>
      </c>
      <c r="J3397" s="1" t="str">
        <f>"01043977568"</f>
        <v>01043977568</v>
      </c>
      <c r="K3397" s="1" t="str">
        <f>"2017-04-16 12:19:25"</f>
        <v>2017-04-16 12:19:25</v>
      </c>
      <c r="L3397" s="1" t="str">
        <f>"2017-04-16 12:19:35"</f>
        <v>2017-04-16 12:19:35</v>
      </c>
      <c r="M3397" s="2">
        <v>4.0856481481481481E-3</v>
      </c>
      <c r="N3397" s="1" t="s">
        <v>26</v>
      </c>
      <c r="O3397" s="1" t="s">
        <v>34</v>
      </c>
      <c r="P3397" s="2">
        <v>4.2013888888888891E-3</v>
      </c>
      <c r="Q3397" s="1" t="s">
        <v>2430</v>
      </c>
      <c r="R3397" s="1">
        <v>0</v>
      </c>
      <c r="S3397" s="1" t="str">
        <f>""</f>
        <v/>
      </c>
      <c r="T3397" s="1" t="s">
        <v>29</v>
      </c>
      <c r="U3397" s="1" t="s">
        <v>30</v>
      </c>
      <c r="V3397" s="1">
        <v>0</v>
      </c>
    </row>
    <row r="3398" spans="2:22" x14ac:dyDescent="0.15">
      <c r="B3398" s="1" t="str">
        <f>"133****9597"</f>
        <v>133****9597</v>
      </c>
      <c r="C3398" s="1" t="s">
        <v>23</v>
      </c>
      <c r="D3398" s="1" t="str">
        <f t="shared" si="345"/>
        <v>89177328</v>
      </c>
      <c r="E3398" s="1" t="s">
        <v>24</v>
      </c>
      <c r="F3398" s="1" t="str">
        <f t="shared" si="346"/>
        <v>0010</v>
      </c>
      <c r="G3398" s="1" t="s">
        <v>24</v>
      </c>
      <c r="H3398" s="1" t="str">
        <f>"0031"</f>
        <v>0031</v>
      </c>
      <c r="I3398" s="1" t="s">
        <v>95</v>
      </c>
      <c r="J3398" s="1" t="str">
        <f>"01043977565"</f>
        <v>01043977565</v>
      </c>
      <c r="K3398" s="1" t="str">
        <f>"2017-04-16 12:17:19"</f>
        <v>2017-04-16 12:17:19</v>
      </c>
      <c r="L3398" s="1" t="str">
        <f>"-"</f>
        <v>-</v>
      </c>
      <c r="M3398" s="2">
        <v>0</v>
      </c>
      <c r="N3398" s="1" t="s">
        <v>33</v>
      </c>
      <c r="O3398" s="1" t="s">
        <v>34</v>
      </c>
      <c r="P3398" s="2">
        <v>1.0416666666666667E-4</v>
      </c>
      <c r="Q3398" s="1" t="str">
        <f>""</f>
        <v/>
      </c>
      <c r="R3398" s="1">
        <v>0</v>
      </c>
      <c r="S3398" s="1" t="str">
        <f>""</f>
        <v/>
      </c>
      <c r="T3398" s="1" t="s">
        <v>29</v>
      </c>
      <c r="U3398" s="1" t="s">
        <v>30</v>
      </c>
      <c r="V3398" s="1">
        <v>0</v>
      </c>
    </row>
    <row r="3399" spans="2:22" x14ac:dyDescent="0.15">
      <c r="B3399" s="1" t="str">
        <f>"139****9456"</f>
        <v>139****9456</v>
      </c>
      <c r="C3399" s="1" t="s">
        <v>118</v>
      </c>
      <c r="D3399" s="1" t="str">
        <f t="shared" si="345"/>
        <v>89177328</v>
      </c>
      <c r="E3399" s="1" t="s">
        <v>24</v>
      </c>
      <c r="F3399" s="1" t="str">
        <f t="shared" si="346"/>
        <v>0010</v>
      </c>
      <c r="G3399" s="1" t="s">
        <v>24</v>
      </c>
      <c r="H3399" s="1" t="str">
        <f>"0031"</f>
        <v>0031</v>
      </c>
      <c r="I3399" s="1" t="s">
        <v>95</v>
      </c>
      <c r="J3399" s="1" t="str">
        <f>"01043977565"</f>
        <v>01043977565</v>
      </c>
      <c r="K3399" s="1" t="str">
        <f>"2017-04-16 12:13:39"</f>
        <v>2017-04-16 12:13:39</v>
      </c>
      <c r="L3399" s="1" t="str">
        <f>"-"</f>
        <v>-</v>
      </c>
      <c r="M3399" s="2">
        <v>0</v>
      </c>
      <c r="N3399" s="1" t="s">
        <v>33</v>
      </c>
      <c r="O3399" s="1" t="s">
        <v>34</v>
      </c>
      <c r="P3399" s="2">
        <v>2.3148148148148147E-5</v>
      </c>
      <c r="Q3399" s="1" t="str">
        <f>""</f>
        <v/>
      </c>
      <c r="R3399" s="1">
        <v>0</v>
      </c>
      <c r="S3399" s="1" t="str">
        <f>""</f>
        <v/>
      </c>
      <c r="T3399" s="1" t="s">
        <v>29</v>
      </c>
      <c r="U3399" s="1" t="s">
        <v>30</v>
      </c>
      <c r="V3399" s="1">
        <v>0</v>
      </c>
    </row>
    <row r="3400" spans="2:22" x14ac:dyDescent="0.15">
      <c r="B3400" s="1" t="str">
        <f>"130****6633"</f>
        <v>130****6633</v>
      </c>
      <c r="C3400" s="1" t="s">
        <v>102</v>
      </c>
      <c r="D3400" s="1" t="str">
        <f t="shared" si="345"/>
        <v>89177328</v>
      </c>
      <c r="E3400" s="1" t="s">
        <v>24</v>
      </c>
      <c r="F3400" s="1" t="str">
        <f t="shared" si="346"/>
        <v>0010</v>
      </c>
      <c r="G3400" s="1" t="s">
        <v>24</v>
      </c>
      <c r="H3400" s="1" t="str">
        <f>"0031"</f>
        <v>0031</v>
      </c>
      <c r="I3400" s="1" t="s">
        <v>95</v>
      </c>
      <c r="J3400" s="1" t="str">
        <f>"01043977565"</f>
        <v>01043977565</v>
      </c>
      <c r="K3400" s="1" t="str">
        <f>"2017-04-16 12:10:07"</f>
        <v>2017-04-16 12:10:07</v>
      </c>
      <c r="L3400" s="1" t="str">
        <f>"-"</f>
        <v>-</v>
      </c>
      <c r="M3400" s="2">
        <v>0</v>
      </c>
      <c r="N3400" s="1" t="s">
        <v>33</v>
      </c>
      <c r="O3400" s="1" t="s">
        <v>34</v>
      </c>
      <c r="P3400" s="2">
        <v>2.3148148148148147E-5</v>
      </c>
      <c r="Q3400" s="1" t="str">
        <f>""</f>
        <v/>
      </c>
      <c r="R3400" s="1">
        <v>0</v>
      </c>
      <c r="S3400" s="1" t="str">
        <f>""</f>
        <v/>
      </c>
      <c r="T3400" s="1" t="s">
        <v>29</v>
      </c>
      <c r="U3400" s="1" t="s">
        <v>30</v>
      </c>
      <c r="V3400" s="1">
        <v>0</v>
      </c>
    </row>
    <row r="3401" spans="2:22" x14ac:dyDescent="0.15">
      <c r="B3401" s="1" t="str">
        <f>"158****9982"</f>
        <v>158****9982</v>
      </c>
      <c r="C3401" s="1" t="s">
        <v>23</v>
      </c>
      <c r="D3401" s="1" t="str">
        <f t="shared" si="345"/>
        <v>89177328</v>
      </c>
      <c r="E3401" s="1" t="s">
        <v>24</v>
      </c>
      <c r="F3401" s="1" t="str">
        <f t="shared" si="346"/>
        <v>0010</v>
      </c>
      <c r="G3401" s="1" t="s">
        <v>24</v>
      </c>
      <c r="H3401" s="1" t="str">
        <f>"0033"</f>
        <v>0033</v>
      </c>
      <c r="I3401" s="1" t="s">
        <v>106</v>
      </c>
      <c r="J3401" s="1" t="str">
        <f>"01043977568"</f>
        <v>01043977568</v>
      </c>
      <c r="K3401" s="1" t="str">
        <f>"2017-04-16 12:03:24"</f>
        <v>2017-04-16 12:03:24</v>
      </c>
      <c r="L3401" s="1" t="str">
        <f>"2017-04-16 12:03:33"</f>
        <v>2017-04-16 12:03:33</v>
      </c>
      <c r="M3401" s="2">
        <v>9.7569444444444448E-3</v>
      </c>
      <c r="N3401" s="1" t="s">
        <v>26</v>
      </c>
      <c r="O3401" s="1" t="s">
        <v>27</v>
      </c>
      <c r="P3401" s="2">
        <v>9.8611111111111104E-3</v>
      </c>
      <c r="Q3401" s="1" t="s">
        <v>2431</v>
      </c>
      <c r="R3401" s="1">
        <v>0</v>
      </c>
      <c r="S3401" s="1" t="str">
        <f>""</f>
        <v/>
      </c>
      <c r="T3401" s="1" t="s">
        <v>29</v>
      </c>
      <c r="U3401" s="1" t="s">
        <v>30</v>
      </c>
      <c r="V3401" s="1">
        <v>0</v>
      </c>
    </row>
    <row r="3402" spans="2:22" x14ac:dyDescent="0.15">
      <c r="B3402" s="1" t="str">
        <f>"155****8753"</f>
        <v>155****8753</v>
      </c>
      <c r="C3402" s="1" t="s">
        <v>23</v>
      </c>
      <c r="D3402" s="1" t="str">
        <f t="shared" si="345"/>
        <v>89177328</v>
      </c>
      <c r="E3402" s="1" t="s">
        <v>24</v>
      </c>
      <c r="F3402" s="1" t="str">
        <f t="shared" si="346"/>
        <v>0010</v>
      </c>
      <c r="G3402" s="1" t="s">
        <v>24</v>
      </c>
      <c r="H3402" s="1" t="str">
        <f>"0033"</f>
        <v>0033</v>
      </c>
      <c r="I3402" s="1" t="s">
        <v>106</v>
      </c>
      <c r="J3402" s="1" t="str">
        <f>"01043977568"</f>
        <v>01043977568</v>
      </c>
      <c r="K3402" s="1" t="str">
        <f>"2017-04-16 11:53:27"</f>
        <v>2017-04-16 11:53:27</v>
      </c>
      <c r="L3402" s="1" t="str">
        <f>"2017-04-16 11:53:36"</f>
        <v>2017-04-16 11:53:36</v>
      </c>
      <c r="M3402" s="2">
        <v>2.7893518518518519E-3</v>
      </c>
      <c r="N3402" s="1" t="s">
        <v>26</v>
      </c>
      <c r="O3402" s="1" t="s">
        <v>27</v>
      </c>
      <c r="P3402" s="2">
        <v>2.8935185185185188E-3</v>
      </c>
      <c r="Q3402" s="1" t="s">
        <v>2432</v>
      </c>
      <c r="R3402" s="1">
        <v>0</v>
      </c>
      <c r="S3402" s="1" t="str">
        <f>""</f>
        <v/>
      </c>
      <c r="T3402" s="1" t="s">
        <v>29</v>
      </c>
      <c r="U3402" s="1" t="s">
        <v>30</v>
      </c>
      <c r="V3402" s="1">
        <v>0</v>
      </c>
    </row>
    <row r="3403" spans="2:22" x14ac:dyDescent="0.15">
      <c r="B3403" s="1" t="str">
        <f>"138****0986"</f>
        <v>138****0986</v>
      </c>
      <c r="C3403" s="1" t="s">
        <v>80</v>
      </c>
      <c r="D3403" s="1" t="str">
        <f t="shared" si="345"/>
        <v>89177328</v>
      </c>
      <c r="E3403" s="1" t="s">
        <v>24</v>
      </c>
      <c r="F3403" s="1" t="str">
        <f t="shared" si="346"/>
        <v>0010</v>
      </c>
      <c r="G3403" s="1" t="s">
        <v>24</v>
      </c>
      <c r="H3403" s="1" t="str">
        <f>"0017"</f>
        <v>0017</v>
      </c>
      <c r="I3403" s="1" t="s">
        <v>135</v>
      </c>
      <c r="J3403" s="1" t="str">
        <f>"01043989717"</f>
        <v>01043989717</v>
      </c>
      <c r="K3403" s="1" t="str">
        <f>"2017-04-16 11:36:59"</f>
        <v>2017-04-16 11:36:59</v>
      </c>
      <c r="L3403" s="1" t="str">
        <f>"2017-04-16 11:37:08"</f>
        <v>2017-04-16 11:37:08</v>
      </c>
      <c r="M3403" s="2">
        <v>1.0995370370370371E-2</v>
      </c>
      <c r="N3403" s="1" t="s">
        <v>26</v>
      </c>
      <c r="O3403" s="1" t="s">
        <v>27</v>
      </c>
      <c r="P3403" s="2">
        <v>1.1099537037037038E-2</v>
      </c>
      <c r="Q3403" s="1" t="s">
        <v>2433</v>
      </c>
      <c r="R3403" s="1">
        <v>0</v>
      </c>
      <c r="S3403" s="1" t="str">
        <f>""</f>
        <v/>
      </c>
      <c r="T3403" s="1" t="s">
        <v>29</v>
      </c>
      <c r="U3403" s="1" t="s">
        <v>30</v>
      </c>
      <c r="V3403" s="1">
        <v>0</v>
      </c>
    </row>
    <row r="3404" spans="2:22" x14ac:dyDescent="0.15">
      <c r="B3404" s="1" t="str">
        <f>"116114"</f>
        <v>116114</v>
      </c>
      <c r="C3404" s="1" t="s">
        <v>159</v>
      </c>
      <c r="D3404" s="1" t="str">
        <f t="shared" si="345"/>
        <v>89177328</v>
      </c>
      <c r="E3404" s="1" t="s">
        <v>24</v>
      </c>
      <c r="F3404" s="1" t="str">
        <f t="shared" si="346"/>
        <v>0010</v>
      </c>
      <c r="G3404" s="1" t="s">
        <v>24</v>
      </c>
      <c r="H3404" s="1" t="str">
        <f>"0017"</f>
        <v>0017</v>
      </c>
      <c r="I3404" s="1" t="s">
        <v>135</v>
      </c>
      <c r="J3404" s="1" t="str">
        <f>"01043989717"</f>
        <v>01043989717</v>
      </c>
      <c r="K3404" s="1" t="str">
        <f>"2017-04-16 11:03:09"</f>
        <v>2017-04-16 11:03:09</v>
      </c>
      <c r="L3404" s="1" t="str">
        <f>"2017-04-16 11:03:19"</f>
        <v>2017-04-16 11:03:19</v>
      </c>
      <c r="M3404" s="2">
        <v>5.7870370370370378E-4</v>
      </c>
      <c r="N3404" s="1" t="s">
        <v>26</v>
      </c>
      <c r="O3404" s="1" t="s">
        <v>27</v>
      </c>
      <c r="P3404" s="2">
        <v>6.9444444444444447E-4</v>
      </c>
      <c r="Q3404" s="1" t="s">
        <v>2434</v>
      </c>
      <c r="R3404" s="1">
        <v>0</v>
      </c>
      <c r="S3404" s="1" t="str">
        <f>""</f>
        <v/>
      </c>
      <c r="T3404" s="1" t="s">
        <v>29</v>
      </c>
      <c r="U3404" s="1" t="s">
        <v>30</v>
      </c>
      <c r="V3404" s="1">
        <v>0</v>
      </c>
    </row>
    <row r="3405" spans="2:22" x14ac:dyDescent="0.15">
      <c r="B3405" s="1" t="str">
        <f>"187****4113"</f>
        <v>187****4113</v>
      </c>
      <c r="C3405" s="1" t="s">
        <v>23</v>
      </c>
      <c r="D3405" s="1" t="str">
        <f t="shared" si="345"/>
        <v>89177328</v>
      </c>
      <c r="E3405" s="1" t="s">
        <v>24</v>
      </c>
      <c r="F3405" s="1" t="str">
        <f t="shared" si="346"/>
        <v>0010</v>
      </c>
      <c r="G3405" s="1" t="s">
        <v>24</v>
      </c>
      <c r="H3405" s="1" t="str">
        <f>"0032"</f>
        <v>0032</v>
      </c>
      <c r="I3405" s="1" t="s">
        <v>119</v>
      </c>
      <c r="J3405" s="1" t="str">
        <f>"01043977566"</f>
        <v>01043977566</v>
      </c>
      <c r="K3405" s="1" t="str">
        <f>"2017-04-16 10:47:26"</f>
        <v>2017-04-16 10:47:26</v>
      </c>
      <c r="L3405" s="1" t="str">
        <f>"2017-04-16 10:47:38"</f>
        <v>2017-04-16 10:47:38</v>
      </c>
      <c r="M3405" s="2">
        <v>7.3842592592592597E-3</v>
      </c>
      <c r="N3405" s="1" t="s">
        <v>26</v>
      </c>
      <c r="O3405" s="1" t="s">
        <v>34</v>
      </c>
      <c r="P3405" s="2">
        <v>7.5231481481481477E-3</v>
      </c>
      <c r="Q3405" s="1" t="s">
        <v>2435</v>
      </c>
      <c r="R3405" s="1">
        <v>0</v>
      </c>
      <c r="S3405" s="1" t="str">
        <f>""</f>
        <v/>
      </c>
      <c r="T3405" s="1" t="s">
        <v>29</v>
      </c>
      <c r="U3405" s="1" t="s">
        <v>30</v>
      </c>
      <c r="V3405" s="1">
        <v>0</v>
      </c>
    </row>
    <row r="3406" spans="2:22" x14ac:dyDescent="0.15">
      <c r="B3406" s="1" t="str">
        <f>"041****0287"</f>
        <v>041****0287</v>
      </c>
      <c r="C3406" s="1" t="s">
        <v>548</v>
      </c>
      <c r="D3406" s="1" t="str">
        <f t="shared" si="345"/>
        <v>89177328</v>
      </c>
      <c r="E3406" s="1" t="s">
        <v>24</v>
      </c>
      <c r="F3406" s="1" t="str">
        <f t="shared" si="346"/>
        <v>0010</v>
      </c>
      <c r="G3406" s="1" t="s">
        <v>24</v>
      </c>
      <c r="H3406" s="1" t="str">
        <f>"0017"</f>
        <v>0017</v>
      </c>
      <c r="I3406" s="1" t="s">
        <v>135</v>
      </c>
      <c r="J3406" s="1" t="str">
        <f>"01043989717"</f>
        <v>01043989717</v>
      </c>
      <c r="K3406" s="1" t="str">
        <f>"2017-04-16 10:26:47"</f>
        <v>2017-04-16 10:26:47</v>
      </c>
      <c r="L3406" s="1" t="str">
        <f>"2017-04-16 10:26:56"</f>
        <v>2017-04-16 10:26:56</v>
      </c>
      <c r="M3406" s="2">
        <v>3.3217592592592591E-3</v>
      </c>
      <c r="N3406" s="1" t="s">
        <v>26</v>
      </c>
      <c r="O3406" s="1" t="s">
        <v>27</v>
      </c>
      <c r="P3406" s="2">
        <v>3.425925925925926E-3</v>
      </c>
      <c r="Q3406" s="1" t="s">
        <v>2436</v>
      </c>
      <c r="R3406" s="1">
        <v>0</v>
      </c>
      <c r="S3406" s="1" t="str">
        <f>""</f>
        <v/>
      </c>
      <c r="T3406" s="1" t="s">
        <v>29</v>
      </c>
      <c r="U3406" s="1" t="s">
        <v>30</v>
      </c>
      <c r="V3406" s="1">
        <v>0</v>
      </c>
    </row>
    <row r="3407" spans="2:22" x14ac:dyDescent="0.15">
      <c r="B3407" s="1" t="str">
        <f>"136****2934"</f>
        <v>136****2934</v>
      </c>
      <c r="C3407" s="1" t="s">
        <v>23</v>
      </c>
      <c r="D3407" s="1" t="str">
        <f t="shared" si="345"/>
        <v>89177328</v>
      </c>
      <c r="E3407" s="1" t="s">
        <v>24</v>
      </c>
      <c r="F3407" s="1" t="str">
        <f t="shared" si="346"/>
        <v>0010</v>
      </c>
      <c r="G3407" s="1" t="s">
        <v>24</v>
      </c>
      <c r="H3407" s="1" t="str">
        <f>"0031"</f>
        <v>0031</v>
      </c>
      <c r="I3407" s="1" t="s">
        <v>95</v>
      </c>
      <c r="J3407" s="1" t="str">
        <f>"01043977565"</f>
        <v>01043977565</v>
      </c>
      <c r="K3407" s="1" t="str">
        <f>"2017-04-16 10:22:46"</f>
        <v>2017-04-16 10:22:46</v>
      </c>
      <c r="L3407" s="1" t="str">
        <f>"2017-04-16 10:22:54"</f>
        <v>2017-04-16 10:22:54</v>
      </c>
      <c r="M3407" s="2">
        <v>3.4606481481481485E-3</v>
      </c>
      <c r="N3407" s="1" t="s">
        <v>26</v>
      </c>
      <c r="O3407" s="1" t="s">
        <v>27</v>
      </c>
      <c r="P3407" s="2">
        <v>3.5532407407407405E-3</v>
      </c>
      <c r="Q3407" s="1" t="s">
        <v>2437</v>
      </c>
      <c r="R3407" s="1">
        <v>0</v>
      </c>
      <c r="S3407" s="1" t="str">
        <f>""</f>
        <v/>
      </c>
      <c r="T3407" s="1" t="s">
        <v>29</v>
      </c>
      <c r="U3407" s="1" t="s">
        <v>30</v>
      </c>
      <c r="V3407" s="1">
        <v>0</v>
      </c>
    </row>
    <row r="3408" spans="2:22" x14ac:dyDescent="0.15">
      <c r="B3408" s="1" t="str">
        <f>"041****0287"</f>
        <v>041****0287</v>
      </c>
      <c r="C3408" s="1" t="s">
        <v>548</v>
      </c>
      <c r="D3408" s="1" t="str">
        <f t="shared" si="345"/>
        <v>89177328</v>
      </c>
      <c r="E3408" s="1" t="s">
        <v>24</v>
      </c>
      <c r="F3408" s="1" t="str">
        <f t="shared" si="346"/>
        <v>0010</v>
      </c>
      <c r="G3408" s="1" t="s">
        <v>24</v>
      </c>
      <c r="H3408" s="1" t="str">
        <f>"0017"</f>
        <v>0017</v>
      </c>
      <c r="I3408" s="1" t="s">
        <v>135</v>
      </c>
      <c r="J3408" s="1" t="str">
        <f>"01043989717"</f>
        <v>01043989717</v>
      </c>
      <c r="K3408" s="1" t="str">
        <f>"2017-04-16 10:21:11"</f>
        <v>2017-04-16 10:21:11</v>
      </c>
      <c r="L3408" s="1" t="str">
        <f>"2017-04-16 10:21:20"</f>
        <v>2017-04-16 10:21:20</v>
      </c>
      <c r="M3408" s="2">
        <v>1.1226851851851851E-3</v>
      </c>
      <c r="N3408" s="1" t="s">
        <v>26</v>
      </c>
      <c r="O3408" s="1" t="s">
        <v>27</v>
      </c>
      <c r="P3408" s="2">
        <v>1.2268518518518518E-3</v>
      </c>
      <c r="Q3408" s="1" t="s">
        <v>2438</v>
      </c>
      <c r="R3408" s="1">
        <v>0</v>
      </c>
      <c r="S3408" s="1" t="str">
        <f>""</f>
        <v/>
      </c>
      <c r="T3408" s="1" t="s">
        <v>29</v>
      </c>
      <c r="U3408" s="1" t="s">
        <v>30</v>
      </c>
      <c r="V3408" s="1">
        <v>0</v>
      </c>
    </row>
    <row r="3409" spans="2:22" x14ac:dyDescent="0.15">
      <c r="B3409" s="1" t="str">
        <f>"130****5656"</f>
        <v>130****5656</v>
      </c>
      <c r="C3409" s="1" t="s">
        <v>112</v>
      </c>
      <c r="D3409" s="1" t="str">
        <f t="shared" si="345"/>
        <v>89177328</v>
      </c>
      <c r="E3409" s="1" t="s">
        <v>24</v>
      </c>
      <c r="F3409" s="1" t="str">
        <f t="shared" si="346"/>
        <v>0010</v>
      </c>
      <c r="G3409" s="1" t="s">
        <v>24</v>
      </c>
      <c r="H3409" s="1" t="str">
        <f>"0017"</f>
        <v>0017</v>
      </c>
      <c r="I3409" s="1" t="s">
        <v>135</v>
      </c>
      <c r="J3409" s="1" t="str">
        <f>"01043989717"</f>
        <v>01043989717</v>
      </c>
      <c r="K3409" s="1" t="str">
        <f>"2017-04-16 10:07:45"</f>
        <v>2017-04-16 10:07:45</v>
      </c>
      <c r="L3409" s="1" t="str">
        <f>"-"</f>
        <v>-</v>
      </c>
      <c r="M3409" s="2">
        <v>0</v>
      </c>
      <c r="N3409" s="1" t="s">
        <v>33</v>
      </c>
      <c r="O3409" s="1" t="s">
        <v>34</v>
      </c>
      <c r="P3409" s="2">
        <v>2.3148148148148147E-5</v>
      </c>
      <c r="Q3409" s="1" t="str">
        <f>""</f>
        <v/>
      </c>
      <c r="R3409" s="1">
        <v>0</v>
      </c>
      <c r="S3409" s="1" t="str">
        <f>""</f>
        <v/>
      </c>
      <c r="T3409" s="1" t="s">
        <v>29</v>
      </c>
      <c r="U3409" s="1" t="s">
        <v>30</v>
      </c>
      <c r="V3409" s="1">
        <v>0</v>
      </c>
    </row>
    <row r="3410" spans="2:22" x14ac:dyDescent="0.15">
      <c r="B3410" s="1" t="str">
        <f>"130****5656"</f>
        <v>130****5656</v>
      </c>
      <c r="C3410" s="1" t="s">
        <v>112</v>
      </c>
      <c r="D3410" s="1" t="str">
        <f t="shared" si="345"/>
        <v>89177328</v>
      </c>
      <c r="E3410" s="1" t="s">
        <v>24</v>
      </c>
      <c r="F3410" s="1" t="str">
        <f t="shared" si="346"/>
        <v>0010</v>
      </c>
      <c r="G3410" s="1" t="s">
        <v>24</v>
      </c>
      <c r="H3410" s="1" t="str">
        <f>"0017"</f>
        <v>0017</v>
      </c>
      <c r="I3410" s="1" t="s">
        <v>135</v>
      </c>
      <c r="J3410" s="1" t="str">
        <f>"01043989717"</f>
        <v>01043989717</v>
      </c>
      <c r="K3410" s="1" t="str">
        <f>"2017-04-16 10:02:58"</f>
        <v>2017-04-16 10:02:58</v>
      </c>
      <c r="L3410" s="1" t="str">
        <f>"-"</f>
        <v>-</v>
      </c>
      <c r="M3410" s="2">
        <v>0</v>
      </c>
      <c r="N3410" s="1" t="s">
        <v>33</v>
      </c>
      <c r="O3410" s="1" t="s">
        <v>34</v>
      </c>
      <c r="P3410" s="2">
        <v>6.9444444444444444E-5</v>
      </c>
      <c r="Q3410" s="1" t="str">
        <f>""</f>
        <v/>
      </c>
      <c r="R3410" s="1">
        <v>0</v>
      </c>
      <c r="S3410" s="1" t="str">
        <f>""</f>
        <v/>
      </c>
      <c r="T3410" s="1" t="s">
        <v>29</v>
      </c>
      <c r="U3410" s="1" t="s">
        <v>30</v>
      </c>
      <c r="V3410" s="1">
        <v>0</v>
      </c>
    </row>
    <row r="3411" spans="2:22" x14ac:dyDescent="0.15">
      <c r="B3411" s="1" t="str">
        <f>"131****8507"</f>
        <v>131****8507</v>
      </c>
      <c r="C3411" s="1" t="s">
        <v>23</v>
      </c>
      <c r="D3411" s="1" t="str">
        <f t="shared" si="345"/>
        <v>89177328</v>
      </c>
      <c r="E3411" s="1" t="s">
        <v>24</v>
      </c>
      <c r="F3411" s="1" t="str">
        <f t="shared" si="346"/>
        <v>0010</v>
      </c>
      <c r="G3411" s="1" t="s">
        <v>24</v>
      </c>
      <c r="H3411" s="1" t="str">
        <f>"0033"</f>
        <v>0033</v>
      </c>
      <c r="I3411" s="1" t="s">
        <v>106</v>
      </c>
      <c r="J3411" s="1" t="str">
        <f>"01043977568"</f>
        <v>01043977568</v>
      </c>
      <c r="K3411" s="1" t="str">
        <f>"2017-04-16 09:21:33"</f>
        <v>2017-04-16 09:21:33</v>
      </c>
      <c r="L3411" s="1" t="str">
        <f>"2017-04-16 09:21:44"</f>
        <v>2017-04-16 09:21:44</v>
      </c>
      <c r="M3411" s="2">
        <v>4.3981481481481484E-3</v>
      </c>
      <c r="N3411" s="1" t="s">
        <v>26</v>
      </c>
      <c r="O3411" s="1" t="s">
        <v>27</v>
      </c>
      <c r="P3411" s="2">
        <v>4.5254629629629629E-3</v>
      </c>
      <c r="Q3411" s="1" t="s">
        <v>2439</v>
      </c>
      <c r="R3411" s="1">
        <v>0</v>
      </c>
      <c r="S3411" s="1" t="str">
        <f>""</f>
        <v/>
      </c>
      <c r="T3411" s="1" t="s">
        <v>29</v>
      </c>
      <c r="U3411" s="1" t="s">
        <v>30</v>
      </c>
      <c r="V3411" s="1">
        <v>0</v>
      </c>
    </row>
    <row r="3412" spans="2:22" x14ac:dyDescent="0.15">
      <c r="B3412" s="1" t="str">
        <f>"114"</f>
        <v>114</v>
      </c>
      <c r="C3412" s="1" t="s">
        <v>159</v>
      </c>
      <c r="D3412" s="1" t="str">
        <f t="shared" si="345"/>
        <v>89177328</v>
      </c>
      <c r="E3412" s="1" t="s">
        <v>24</v>
      </c>
      <c r="F3412" s="1" t="str">
        <f t="shared" si="346"/>
        <v>0010</v>
      </c>
      <c r="G3412" s="1" t="s">
        <v>24</v>
      </c>
      <c r="H3412" s="1" t="str">
        <f>"0033"</f>
        <v>0033</v>
      </c>
      <c r="I3412" s="1" t="s">
        <v>106</v>
      </c>
      <c r="J3412" s="1" t="str">
        <f>"01043977568"</f>
        <v>01043977568</v>
      </c>
      <c r="K3412" s="1" t="str">
        <f>"2017-04-16 09:10:13"</f>
        <v>2017-04-16 09:10:13</v>
      </c>
      <c r="L3412" s="1" t="str">
        <f>"-"</f>
        <v>-</v>
      </c>
      <c r="M3412" s="2">
        <v>0</v>
      </c>
      <c r="N3412" s="1" t="s">
        <v>33</v>
      </c>
      <c r="O3412" s="1" t="s">
        <v>34</v>
      </c>
      <c r="P3412" s="2">
        <v>2.3148148148148147E-5</v>
      </c>
      <c r="Q3412" s="1" t="str">
        <f>""</f>
        <v/>
      </c>
      <c r="R3412" s="1">
        <v>0</v>
      </c>
      <c r="S3412" s="1" t="str">
        <f>""</f>
        <v/>
      </c>
      <c r="T3412" s="1" t="s">
        <v>29</v>
      </c>
      <c r="U3412" s="1" t="s">
        <v>30</v>
      </c>
      <c r="V3412" s="1">
        <v>0</v>
      </c>
    </row>
    <row r="3413" spans="2:22" x14ac:dyDescent="0.15">
      <c r="B3413" s="1" t="str">
        <f>"185****0197"</f>
        <v>185****0197</v>
      </c>
      <c r="C3413" s="1" t="s">
        <v>23</v>
      </c>
      <c r="D3413" s="1" t="str">
        <f t="shared" si="345"/>
        <v>89177328</v>
      </c>
      <c r="E3413" s="1" t="s">
        <v>24</v>
      </c>
      <c r="F3413" s="1" t="str">
        <f t="shared" si="346"/>
        <v>0010</v>
      </c>
      <c r="G3413" s="1" t="s">
        <v>24</v>
      </c>
      <c r="H3413" s="1" t="str">
        <f>"0032"</f>
        <v>0032</v>
      </c>
      <c r="I3413" s="1" t="s">
        <v>119</v>
      </c>
      <c r="J3413" s="1" t="str">
        <f>"01043977566"</f>
        <v>01043977566</v>
      </c>
      <c r="K3413" s="1" t="str">
        <f>"2017-04-16 08:58:28"</f>
        <v>2017-04-16 08:58:28</v>
      </c>
      <c r="L3413" s="1" t="str">
        <f>"2017-04-16 08:58:43"</f>
        <v>2017-04-16 08:58:43</v>
      </c>
      <c r="M3413" s="2">
        <v>1.3541666666666667E-3</v>
      </c>
      <c r="N3413" s="1" t="s">
        <v>26</v>
      </c>
      <c r="O3413" s="1" t="s">
        <v>34</v>
      </c>
      <c r="P3413" s="2">
        <v>1.5277777777777779E-3</v>
      </c>
      <c r="Q3413" s="1" t="s">
        <v>2440</v>
      </c>
      <c r="R3413" s="1">
        <v>0</v>
      </c>
      <c r="S3413" s="1" t="str">
        <f>""</f>
        <v/>
      </c>
      <c r="T3413" s="1" t="s">
        <v>29</v>
      </c>
      <c r="U3413" s="1" t="s">
        <v>30</v>
      </c>
      <c r="V3413" s="1">
        <v>0</v>
      </c>
    </row>
    <row r="3414" spans="2:22" x14ac:dyDescent="0.15">
      <c r="B3414" s="1" t="str">
        <f>"152****7215"</f>
        <v>152****7215</v>
      </c>
      <c r="C3414" s="1" t="s">
        <v>23</v>
      </c>
      <c r="D3414" s="1" t="str">
        <f t="shared" si="345"/>
        <v>89177328</v>
      </c>
      <c r="E3414" s="1" t="s">
        <v>24</v>
      </c>
      <c r="F3414" s="1" t="str">
        <f t="shared" si="346"/>
        <v>0010</v>
      </c>
      <c r="G3414" s="1" t="s">
        <v>24</v>
      </c>
      <c r="H3414" s="1" t="str">
        <f>"0031"</f>
        <v>0031</v>
      </c>
      <c r="I3414" s="1" t="s">
        <v>95</v>
      </c>
      <c r="J3414" s="1" t="str">
        <f>"01043977565"</f>
        <v>01043977565</v>
      </c>
      <c r="K3414" s="1" t="str">
        <f>"2017-04-16 08:54:43"</f>
        <v>2017-04-16 08:54:43</v>
      </c>
      <c r="L3414" s="1" t="str">
        <f>"2017-04-16 08:54:51"</f>
        <v>2017-04-16 08:54:51</v>
      </c>
      <c r="M3414" s="2">
        <v>1.1493055555555555E-2</v>
      </c>
      <c r="N3414" s="1" t="s">
        <v>26</v>
      </c>
      <c r="O3414" s="1" t="s">
        <v>27</v>
      </c>
      <c r="P3414" s="2">
        <v>1.1585648148148149E-2</v>
      </c>
      <c r="Q3414" s="1" t="s">
        <v>2441</v>
      </c>
      <c r="R3414" s="1">
        <v>0</v>
      </c>
      <c r="S3414" s="1" t="str">
        <f>""</f>
        <v/>
      </c>
      <c r="T3414" s="1" t="s">
        <v>29</v>
      </c>
      <c r="U3414" s="1" t="s">
        <v>30</v>
      </c>
      <c r="V3414" s="1">
        <v>0</v>
      </c>
    </row>
    <row r="3415" spans="2:22" x14ac:dyDescent="0.15">
      <c r="B3415" s="1" t="str">
        <f>"010****6590"</f>
        <v>010****6590</v>
      </c>
      <c r="C3415" s="1" t="s">
        <v>23</v>
      </c>
      <c r="D3415" s="1" t="str">
        <f t="shared" si="345"/>
        <v>89177328</v>
      </c>
      <c r="E3415" s="1" t="s">
        <v>24</v>
      </c>
      <c r="F3415" s="1" t="str">
        <f t="shared" si="346"/>
        <v>0010</v>
      </c>
      <c r="G3415" s="1" t="s">
        <v>24</v>
      </c>
      <c r="H3415" s="1" t="str">
        <f>"0033"</f>
        <v>0033</v>
      </c>
      <c r="I3415" s="1" t="s">
        <v>106</v>
      </c>
      <c r="J3415" s="1" t="str">
        <f>"01043977567"</f>
        <v>01043977567</v>
      </c>
      <c r="K3415" s="1" t="str">
        <f>"2017-04-16 08:28:38"</f>
        <v>2017-04-16 08:28:38</v>
      </c>
      <c r="L3415" s="1" t="str">
        <f>"2017-04-16 08:28:47"</f>
        <v>2017-04-16 08:28:47</v>
      </c>
      <c r="M3415" s="2">
        <v>6.4699074074074069E-3</v>
      </c>
      <c r="N3415" s="1" t="s">
        <v>26</v>
      </c>
      <c r="O3415" s="1" t="s">
        <v>27</v>
      </c>
      <c r="P3415" s="2">
        <v>6.5740740740740733E-3</v>
      </c>
      <c r="Q3415" s="1" t="s">
        <v>2442</v>
      </c>
      <c r="R3415" s="1">
        <v>0</v>
      </c>
      <c r="S3415" s="1" t="str">
        <f>""</f>
        <v/>
      </c>
      <c r="T3415" s="1" t="s">
        <v>29</v>
      </c>
      <c r="U3415" s="1" t="s">
        <v>30</v>
      </c>
      <c r="V3415" s="1">
        <v>0</v>
      </c>
    </row>
    <row r="3416" spans="2:22" x14ac:dyDescent="0.15">
      <c r="B3416" s="1" t="str">
        <f>"133****9902"</f>
        <v>133****9902</v>
      </c>
      <c r="C3416" s="1" t="s">
        <v>23</v>
      </c>
      <c r="D3416" s="1" t="str">
        <f t="shared" si="345"/>
        <v>89177328</v>
      </c>
      <c r="E3416" s="1" t="s">
        <v>24</v>
      </c>
      <c r="F3416" s="1" t="str">
        <f t="shared" si="346"/>
        <v>0010</v>
      </c>
      <c r="G3416" s="1" t="s">
        <v>24</v>
      </c>
      <c r="H3416" s="1" t="str">
        <f>"0017"</f>
        <v>0017</v>
      </c>
      <c r="I3416" s="1" t="s">
        <v>135</v>
      </c>
      <c r="J3416" s="1" t="str">
        <f>"01043989717"</f>
        <v>01043989717</v>
      </c>
      <c r="K3416" s="1" t="str">
        <f>"2017-04-16 08:18:27"</f>
        <v>2017-04-16 08:18:27</v>
      </c>
      <c r="L3416" s="1" t="str">
        <f>"2017-04-16 08:18:42"</f>
        <v>2017-04-16 08:18:42</v>
      </c>
      <c r="M3416" s="2">
        <v>8.9004629629629625E-3</v>
      </c>
      <c r="N3416" s="1" t="s">
        <v>26</v>
      </c>
      <c r="O3416" s="1" t="s">
        <v>27</v>
      </c>
      <c r="P3416" s="2">
        <v>9.0740740740740729E-3</v>
      </c>
      <c r="Q3416" s="1" t="s">
        <v>2443</v>
      </c>
      <c r="R3416" s="1">
        <v>0</v>
      </c>
      <c r="S3416" s="1" t="str">
        <f>""</f>
        <v/>
      </c>
      <c r="T3416" s="1" t="s">
        <v>29</v>
      </c>
      <c r="U3416" s="1" t="s">
        <v>30</v>
      </c>
      <c r="V3416" s="1">
        <v>0</v>
      </c>
    </row>
    <row r="3417" spans="2:22" x14ac:dyDescent="0.15">
      <c r="B3417" s="1" t="str">
        <f>"130****5656"</f>
        <v>130****5656</v>
      </c>
      <c r="C3417" s="1" t="s">
        <v>112</v>
      </c>
      <c r="D3417" s="1" t="str">
        <f t="shared" si="345"/>
        <v>89177328</v>
      </c>
      <c r="E3417" s="1" t="s">
        <v>24</v>
      </c>
      <c r="F3417" s="1" t="str">
        <f t="shared" si="346"/>
        <v>0010</v>
      </c>
      <c r="G3417" s="1" t="s">
        <v>24</v>
      </c>
      <c r="H3417" s="1" t="str">
        <f>"0017"</f>
        <v>0017</v>
      </c>
      <c r="I3417" s="1" t="s">
        <v>135</v>
      </c>
      <c r="J3417" s="1" t="str">
        <f>"01043989717"</f>
        <v>01043989717</v>
      </c>
      <c r="K3417" s="1" t="str">
        <f>"2017-04-16 08:02:08"</f>
        <v>2017-04-16 08:02:08</v>
      </c>
      <c r="L3417" s="1" t="str">
        <f>"-"</f>
        <v>-</v>
      </c>
      <c r="M3417" s="2">
        <v>0</v>
      </c>
      <c r="N3417" s="1" t="s">
        <v>33</v>
      </c>
      <c r="O3417" s="1" t="s">
        <v>34</v>
      </c>
      <c r="P3417" s="2">
        <v>9.7222222222222209E-4</v>
      </c>
      <c r="Q3417" s="1" t="str">
        <f>""</f>
        <v/>
      </c>
      <c r="R3417" s="1">
        <v>0</v>
      </c>
      <c r="S3417" s="1" t="str">
        <f>""</f>
        <v/>
      </c>
      <c r="T3417" s="1" t="s">
        <v>29</v>
      </c>
      <c r="U3417" s="1" t="s">
        <v>30</v>
      </c>
      <c r="V3417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2017-04-20T01:28:03Z</dcterms:modified>
</cp:coreProperties>
</file>