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r\Documents\01_Low tech to the people\01_Fizzy-ball\Hardware\"/>
    </mc:Choice>
  </mc:AlternateContent>
  <xr:revisionPtr revIDLastSave="0" documentId="13_ncr:1_{B56BB6AC-0403-4042-8B92-1B629D22FFE2}" xr6:coauthVersionLast="47" xr6:coauthVersionMax="47" xr10:uidLastSave="{00000000-0000-0000-0000-000000000000}"/>
  <bookViews>
    <workbookView xWindow="-110" yWindow="-110" windowWidth="19420" windowHeight="11500" tabRatio="726" activeTab="1" xr2:uid="{00000000-000D-0000-FFFF-FFFF00000000}"/>
  </bookViews>
  <sheets>
    <sheet name="Zipper_Ball" sheetId="25" r:id="rId1"/>
    <sheet name="HardwareX_BOM" sheetId="26" r:id="rId2"/>
    <sheet name="Manufacturing_list" sheetId="27" r:id="rId3"/>
    <sheet name="Inventory_list" sheetId="22" r:id="rId4"/>
    <sheet name="Order_list" sheetId="2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7" l="1"/>
  <c r="H24" i="26"/>
  <c r="M29" i="27"/>
  <c r="M30" i="27"/>
  <c r="G26" i="27"/>
  <c r="G25" i="27"/>
  <c r="G24" i="27"/>
  <c r="G23" i="27"/>
  <c r="G29" i="27"/>
  <c r="G19" i="27"/>
  <c r="G20" i="27"/>
  <c r="J12" i="26"/>
  <c r="E12" i="26"/>
  <c r="A12" i="26"/>
  <c r="H21" i="26"/>
  <c r="G18" i="27"/>
  <c r="B18" i="27"/>
  <c r="H17" i="26"/>
  <c r="H16" i="26"/>
  <c r="H15" i="26"/>
  <c r="G14" i="27"/>
  <c r="B13" i="27"/>
  <c r="B26" i="27"/>
  <c r="B25" i="27"/>
  <c r="B24" i="27"/>
  <c r="B14" i="27"/>
  <c r="B12" i="27"/>
  <c r="B15" i="27"/>
  <c r="B16" i="27"/>
  <c r="B17" i="27"/>
  <c r="B19" i="27"/>
  <c r="B20" i="27"/>
  <c r="B21" i="27"/>
  <c r="B22" i="27"/>
  <c r="B23" i="27"/>
  <c r="B9" i="27"/>
  <c r="B11" i="27"/>
  <c r="B6" i="27"/>
  <c r="B7" i="27"/>
  <c r="B8" i="27"/>
  <c r="B2" i="27"/>
  <c r="B3" i="27"/>
  <c r="B4" i="27"/>
  <c r="B5" i="27"/>
  <c r="B10" i="27"/>
  <c r="J4" i="26"/>
  <c r="J5" i="26"/>
  <c r="J6" i="26"/>
  <c r="J7" i="26"/>
  <c r="J8" i="26"/>
  <c r="J9" i="26"/>
  <c r="J10" i="26"/>
  <c r="J11" i="26"/>
  <c r="J13" i="26"/>
  <c r="J14" i="26"/>
  <c r="J15" i="26"/>
  <c r="J16" i="26"/>
  <c r="J17" i="26"/>
  <c r="J18" i="26"/>
  <c r="J19" i="26"/>
  <c r="J20" i="26"/>
  <c r="J21" i="26"/>
  <c r="J22" i="26"/>
  <c r="J23" i="26"/>
  <c r="A4" i="26"/>
  <c r="A5" i="26"/>
  <c r="A6" i="26"/>
  <c r="A7" i="26"/>
  <c r="A8" i="26"/>
  <c r="A9" i="26"/>
  <c r="A10" i="26"/>
  <c r="A11" i="26"/>
  <c r="A13" i="26"/>
  <c r="A14" i="26"/>
  <c r="A15" i="26"/>
  <c r="A16" i="26"/>
  <c r="A17" i="26"/>
  <c r="A18" i="26"/>
  <c r="A19" i="26"/>
  <c r="A20" i="26"/>
  <c r="A21" i="26"/>
  <c r="A22" i="26"/>
  <c r="A23" i="26"/>
  <c r="J3" i="26"/>
  <c r="J2" i="26"/>
  <c r="A3" i="26"/>
  <c r="A2" i="26"/>
  <c r="E11" i="26"/>
  <c r="E23" i="26"/>
  <c r="E22" i="26"/>
  <c r="E21" i="26"/>
  <c r="E20" i="26"/>
  <c r="E19" i="26"/>
  <c r="E18" i="26"/>
  <c r="E17" i="26"/>
  <c r="E16" i="26"/>
  <c r="E15" i="26"/>
  <c r="E14" i="26"/>
  <c r="E13" i="26"/>
  <c r="E10" i="26"/>
  <c r="E9" i="26"/>
  <c r="E8" i="26"/>
  <c r="E7" i="26"/>
  <c r="E6" i="26"/>
  <c r="E5" i="26"/>
  <c r="E4" i="26"/>
  <c r="E3" i="26"/>
  <c r="E2" i="26"/>
  <c r="G10" i="25"/>
  <c r="G19" i="25"/>
  <c r="G15" i="25"/>
  <c r="G18" i="25"/>
  <c r="G21" i="25"/>
  <c r="G2" i="25"/>
  <c r="G3" i="25"/>
  <c r="G4" i="25"/>
  <c r="G5" i="25"/>
  <c r="G6" i="25"/>
  <c r="G20" i="25"/>
  <c r="G17" i="25"/>
  <c r="K16" i="25"/>
  <c r="G16" i="25"/>
  <c r="G14" i="25"/>
  <c r="G8" i="25"/>
  <c r="G9" i="25"/>
  <c r="G11" i="25"/>
  <c r="G12" i="25"/>
  <c r="G13" i="25"/>
  <c r="G7" i="25"/>
  <c r="K37" i="25"/>
  <c r="K36" i="25"/>
  <c r="K27" i="25"/>
  <c r="K26" i="25"/>
  <c r="K17" i="25"/>
  <c r="K15" i="25"/>
  <c r="K14" i="25"/>
  <c r="K13" i="25"/>
  <c r="I36" i="22"/>
  <c r="I12" i="22"/>
  <c r="I11" i="22"/>
  <c r="I34" i="22"/>
  <c r="I33" i="22"/>
  <c r="I37" i="22" s="1"/>
  <c r="I27" i="22"/>
  <c r="I26" i="22"/>
  <c r="E24" i="26" l="1"/>
  <c r="K39" i="25"/>
  <c r="G22" i="25"/>
  <c r="K40" i="25"/>
  <c r="I17" i="22"/>
  <c r="I10" i="22"/>
  <c r="I9" i="2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</futureMetadata>
  <valueMetadata count="4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</valueMetadata>
</metadata>
</file>

<file path=xl/sharedStrings.xml><?xml version="1.0" encoding="utf-8"?>
<sst xmlns="http://schemas.openxmlformats.org/spreadsheetml/2006/main" count="633" uniqueCount="291">
  <si>
    <t>https://www.tinytronics.nl/nl/mechanica-en-actuatoren/motoren/servomotoren/ts90m-mini-servo-1.6kg-continuous</t>
  </si>
  <si>
    <t>Photo</t>
  </si>
  <si>
    <t>Component</t>
  </si>
  <si>
    <t>link</t>
  </si>
  <si>
    <t>Details</t>
  </si>
  <si>
    <t>Specs</t>
  </si>
  <si>
    <t>Weight (g)</t>
  </si>
  <si>
    <t>Speed: 100 rpm
Torque:  0.19Nm (@6V)</t>
  </si>
  <si>
    <t>Categorie</t>
  </si>
  <si>
    <t>Drivetrain</t>
  </si>
  <si>
    <t>https://www.reichelt.de/de/en/battery-holder-for-1x-18650-keystone-1043-p213370.html?&amp;trstct=pos_0&amp;nbc=1</t>
  </si>
  <si>
    <t>Manufactured parts</t>
  </si>
  <si>
    <t>Pulley</t>
  </si>
  <si>
    <t>Off the shelf components</t>
  </si>
  <si>
    <t>Shell</t>
  </si>
  <si>
    <t>Suspension</t>
  </si>
  <si>
    <t>https://shop.eriks.nl/nl/afdichtingen-o-ringen-en-toebehoren-o-ringen/o-ring-nbr-90-compound-47702-pr-ec010584-0010-nl/</t>
  </si>
  <si>
    <t>Rubber o-ring NBR 90</t>
  </si>
  <si>
    <t>picture</t>
  </si>
  <si>
    <t>Subsection</t>
  </si>
  <si>
    <t>Greyresin printed with formlabs printer</t>
  </si>
  <si>
    <t>-</t>
  </si>
  <si>
    <t>1x tension pin</t>
  </si>
  <si>
    <t>Dimensions: 3x6x2 mm
Max radial load 60N</t>
  </si>
  <si>
    <t>M3, 5 mm length</t>
  </si>
  <si>
    <t>Bend needle</t>
  </si>
  <si>
    <t>https://www.maedler.de/product/1643/1629/3184/3564/579/loctite-4850-flexibler-sofort-klebstoff?result=14073326</t>
  </si>
  <si>
    <t>https://www.amazon.de/gp/aw/d/B08DN4MZY8?psc=1&amp;ref=ppx_pop_mob_b_asin_title</t>
  </si>
  <si>
    <t>https://www.amazon.de/gp/aw/d/B0C6DH53SD?ref=ppx_pop_mob_b_asin_title&amp;th=1</t>
  </si>
  <si>
    <t>small gripper size: 1.3 inches/3.5 cm</t>
  </si>
  <si>
    <t>1 mm Polyester Wax Thread, 150D</t>
  </si>
  <si>
    <t>thread, approx 4m needed</t>
  </si>
  <si>
    <t xml:space="preserve">Paperclip (18 pins) </t>
  </si>
  <si>
    <t>https://www.maedler.de/product/1643/1126/3378/splinte-din-en-iso-1234-ex-din-94-edelstahl</t>
  </si>
  <si>
    <t>TPU95A</t>
  </si>
  <si>
    <t>https://www.maedler.de/product/1643/3/gewindestifte-iso-4026-din-913-mit-innensechskant-und-kegelstumpf-stahl</t>
  </si>
  <si>
    <t>TPU 95A Polymaker</t>
  </si>
  <si>
    <t>https://www.reichelt.com/de/en/shop/product/industrial_cell_18650_3_6_v_3500_mah_unprotected_pack_of_2-261050</t>
  </si>
  <si>
    <t>https://www.kugellager-express.de/miniature-deep-groove-ball-bearing-mr-74-w2-open-oiled-4x7x2-mm</t>
  </si>
  <si>
    <t>Amount per ball</t>
  </si>
  <si>
    <t>2m</t>
  </si>
  <si>
    <t>https://www.kugellager-express.de/miniature-deep-groove-ball-bearing-mr-63-w2-open-oiled-3x6x2-mm</t>
  </si>
  <si>
    <t>Dimensions: 4x7x2 mm
Max radial load 110N</t>
  </si>
  <si>
    <t>Inner diameter depending on pedulum length</t>
  </si>
  <si>
    <t>infill rate 80% no support</t>
  </si>
  <si>
    <t>infill rate 15% with support</t>
  </si>
  <si>
    <t>infill rate 15% without support</t>
  </si>
  <si>
    <t>infill rate 15% without support/dissolveable support</t>
  </si>
  <si>
    <t>Capacity: 3500mAh, Max output: 10A, Min 2.5V, nominal 3.6V, Max 4.2V</t>
  </si>
  <si>
    <t>https://www.maedler.de/Article/65200300</t>
  </si>
  <si>
    <t>Hexagon Socket Set Screws
Artikelnr.: 61920305</t>
  </si>
  <si>
    <t>Hexagon nut
Artikelnr.: 65200300</t>
  </si>
  <si>
    <t>M3</t>
  </si>
  <si>
    <t>500g</t>
  </si>
  <si>
    <t>50g</t>
  </si>
  <si>
    <t>Stainless steel rod 4 mm</t>
  </si>
  <si>
    <t>Stainless steel rod 3 mm</t>
  </si>
  <si>
    <t>Length 120 mm, Diameter 4 mm 
Stainless steel</t>
  </si>
  <si>
    <t>3D print material</t>
  </si>
  <si>
    <t>https://www.3dmensionals.de/polymaker-polyterra-pla-filament-2562?category=4&amp;attrib=319-2471#attr=12472,12460,12462,4794,4789,4792,21824,23719,24895</t>
  </si>
  <si>
    <t>PLA Polymaker</t>
  </si>
  <si>
    <t>Can be any PLA</t>
  </si>
  <si>
    <t>HF polymaker tpu is slightly stiffer then the non HF one</t>
  </si>
  <si>
    <t>PCB plus components</t>
  </si>
  <si>
    <t>See PCB design in Firmware repo</t>
  </si>
  <si>
    <t>Battery holder for 1x 18650
KEYSTONE 1043</t>
  </si>
  <si>
    <t>LG 18650 Li-ion Batterij
INR18650 MJ1</t>
  </si>
  <si>
    <t>TS90M Mini Servo - 
1.8kg - Continuous</t>
  </si>
  <si>
    <t xml:space="preserve">Miniature Ball Bearing
Item nr: MR-74-W2-OIL </t>
  </si>
  <si>
    <t>Miniature Ball Bearing
Item nr: MR-63-W2-OIL</t>
  </si>
  <si>
    <t xml:space="preserve">Flexible instant glue
loctite 4850 </t>
  </si>
  <si>
    <t>1,2 x 20 mm Stainless steel</t>
  </si>
  <si>
    <t>Section</t>
  </si>
  <si>
    <t>Print settings</t>
  </si>
  <si>
    <t>https://www.pcbway.com/</t>
  </si>
  <si>
    <t>0.8x8mm pin (Use straight parts of the clip)</t>
  </si>
  <si>
    <t>Tools: lathe and file</t>
  </si>
  <si>
    <t>Tools: drill and file</t>
  </si>
  <si>
    <t>M2.5 thread on the end</t>
  </si>
  <si>
    <t>Belt tensioner and structural component</t>
  </si>
  <si>
    <t>Flexible glue 5ml</t>
  </si>
  <si>
    <t>5ml</t>
  </si>
  <si>
    <t>Contact: stainless steel (nickel plated)
Plastic: UL94V-0</t>
  </si>
  <si>
    <t>Print settings used on bambulabs printer for specific TPU</t>
  </si>
  <si>
    <t xml:space="preserve">1 wall perimeter + fuzzy skin on the outside: use modifier for this </t>
  </si>
  <si>
    <t>To protect the battery</t>
  </si>
  <si>
    <t>Compound: 47702
Cord thickness: 3mm, Radius: 22-27mm</t>
  </si>
  <si>
    <t>https://www.123-3d.nl/123-3D-Kabel-connector-JST-XHP-2-mannelijk-10-stuks-123-3D-huismerk-i8204-t135134.html?gad_source=1&amp;gad_campaignid=21230405716&amp;gbraid=0AAAAAC164-Q_7YK7_HVMjHJ9IZ-9ZH6G9&amp;gclid=CjwKCAjwuIbBBhBvEiwAsNypvcJDaHwtr3VSEGJ_cDbsekawH1epOJzFhDdUGTGQ9O9B-ob0TDbg5BoCulIQAvD_BwE</t>
  </si>
  <si>
    <t>https://www.reichelt.com/nl/nl/shop/product/jst_-_krimpcontact_bus_-_ph-185072</t>
  </si>
  <si>
    <t>https://www.reichelt.com/nl/nl/shop/product/jst_-_busbehuizing_1x3-polig_-_ph-185042?PROVID=2809&amp;gad_source=1&amp;gad_campaignid=22421704484&amp;gbraid=0AAAAADwnxtYxgsW3mnQB9VMFUYiLh3bRU&amp;gclid=CjwKCAjwuIbBBhBvEiwAsNypvdJGhECjHO7EtigVw6YTYt_kyzae0BOcjiik297oN2CyiWK7ymfVMxoC-eUQAvD_BwE</t>
  </si>
  <si>
    <t>JST -socket housing, 1x3-pin - PH</t>
  </si>
  <si>
    <t>JST - crimp contact, socket - PH</t>
  </si>
  <si>
    <t>40mm</t>
  </si>
  <si>
    <t>120mm</t>
  </si>
  <si>
    <t>Length 40 mm, Diameter 3 mm 
Stainless steel</t>
  </si>
  <si>
    <t>See technical drawings
ss rod 3mmx40 mm</t>
  </si>
  <si>
    <t>See technical drawings
ss rod 4mmx120 mm</t>
  </si>
  <si>
    <t>Belt tensioner, structural component and motor connection</t>
  </si>
  <si>
    <t>with TPU95A on prusa</t>
  </si>
  <si>
    <t>01_PCB</t>
  </si>
  <si>
    <t>02_connector</t>
  </si>
  <si>
    <t>03_Connector</t>
  </si>
  <si>
    <t>04_Motor</t>
  </si>
  <si>
    <t>05_Battery</t>
  </si>
  <si>
    <t>06_Battery holder</t>
  </si>
  <si>
    <t>07_Belt</t>
  </si>
  <si>
    <t>08_Bearings big</t>
  </si>
  <si>
    <t>09_Bearings small</t>
  </si>
  <si>
    <t>10_Set screw</t>
  </si>
  <si>
    <t>11_Nuts</t>
  </si>
  <si>
    <t>12_Rod_big</t>
  </si>
  <si>
    <t>13_Rod_small</t>
  </si>
  <si>
    <t>14_Sewing thread</t>
  </si>
  <si>
    <t>15_Needle</t>
  </si>
  <si>
    <t>16_Alignement pin</t>
  </si>
  <si>
    <t>17_Glue</t>
  </si>
  <si>
    <t>18_Tension pin</t>
  </si>
  <si>
    <t>19_PLA filement</t>
  </si>
  <si>
    <t>20_TPU filement</t>
  </si>
  <si>
    <t>21_Fixed axis</t>
  </si>
  <si>
    <t>22_Drive axis</t>
  </si>
  <si>
    <t>23_Pulley 3mm axis</t>
  </si>
  <si>
    <t>24_Pulley 4mm axis</t>
  </si>
  <si>
    <t xml:space="preserve">25_CFM (Constant Force Mechanism) </t>
  </si>
  <si>
    <t>26_CFM (Constant Force Mechanism) + motor connection</t>
  </si>
  <si>
    <t>27_Bumper</t>
  </si>
  <si>
    <t>29_Shell bottom part (with supension holes)</t>
  </si>
  <si>
    <t>30_Hub</t>
  </si>
  <si>
    <t>28_Shell top part</t>
  </si>
  <si>
    <t>Drive train</t>
  </si>
  <si>
    <t>Suspension/Fixed axis</t>
  </si>
  <si>
    <t>whole ball</t>
  </si>
  <si>
    <t>In stock</t>
  </si>
  <si>
    <t>Enough at StudioMake</t>
  </si>
  <si>
    <t xml:space="preserve">shoulder bold M3 4mm </t>
  </si>
  <si>
    <t>https://www.maedler.nl/Article/64700400</t>
  </si>
  <si>
    <t>Alternatives</t>
  </si>
  <si>
    <t>https://www.maedler.de/Article/14073107</t>
  </si>
  <si>
    <t>10ml</t>
  </si>
  <si>
    <t>19_Glue</t>
  </si>
  <si>
    <t>20_Tension pin</t>
  </si>
  <si>
    <t>21_PLA filement</t>
  </si>
  <si>
    <t>22_TPU filement</t>
  </si>
  <si>
    <t>Threaded rod</t>
  </si>
  <si>
    <t>https://www.maedler.nl/Article/619704030</t>
  </si>
  <si>
    <t>Old design</t>
  </si>
  <si>
    <t>https://www.maedler.nl/Article/64700300</t>
  </si>
  <si>
    <t>MG669R - continuous rotation</t>
  </si>
  <si>
    <t>14_Glue</t>
  </si>
  <si>
    <t>15_Motor_axis</t>
  </si>
  <si>
    <t>16_Sewing thread</t>
  </si>
  <si>
    <t>17_Needle</t>
  </si>
  <si>
    <t>18_Alignement pin</t>
  </si>
  <si>
    <t>Loctite 243 Medium strength thread locking</t>
  </si>
  <si>
    <t>https://www.reichelt.com/nl/nl/shop/product/ontwikkelborden_-_4in1_module_voor_3_7v_li-ion_accu_s-291376</t>
  </si>
  <si>
    <t>Charger component</t>
  </si>
  <si>
    <t>Sideways USB cable: https://www.reichelt.com/nl/nl/shop/product/synchronisatie-_en_oplaadkabel_usb-c_-_c_90_100_w_1_m_-339170?PROVID=2809&amp;gad_source=1&amp;gad_campaignid=18142433251&amp;gbraid=0AAAAADwnxtZ1gXl2e6ewtcT8NrAlbW2Eo&amp;gclid=CjwKCAiA55rJBhByEiwAFkY1QIcSSA2J5lhVavW_vWdlUlLBafAv7uamK_9AKL52CmpDyXYSwJw--BoCImwQAvD_BwE</t>
  </si>
  <si>
    <t>150mm</t>
  </si>
  <si>
    <t>See technical drawings
ss rod 4mmx30 mm</t>
  </si>
  <si>
    <t>Tools: saw &amp; file</t>
  </si>
  <si>
    <t>PLA</t>
  </si>
  <si>
    <t>CFM</t>
  </si>
  <si>
    <t>Bumper</t>
  </si>
  <si>
    <t>Shell part</t>
  </si>
  <si>
    <t>suspension</t>
  </si>
  <si>
    <t>https://www.nkon.nl/en/rechargeable/li-ion/inr18650-mj1.html?srsltid=AfmBOoo8KfHqlx4MOUBxDI68HH2M6JiD0PRb_FTYIDFskQ55eH6av9uTY7k</t>
  </si>
  <si>
    <t>M3 thickness 2.4mm width 5.5mm</t>
  </si>
  <si>
    <t>per 500mm</t>
  </si>
  <si>
    <t>https://www.123inkt.nl/123inkt-paperclips-rond-33-mm-100-stuks-23130056005-2386-33-K-10030C-i31888.html?utm_source=google&amp;utm_medium=cpc&amp;utm_campaign=PPC-SEA-NL-Google-Shopping-B-Office_Deskacc&amp;gad_source=1&amp;gad_campaignid=22170947451&amp;gbraid=0AAAAAC0_yBH-Zk0zbxJDUiph86-V7kd5U&amp;gclid=Cj0KCQjw0JnRBhDJARIsALobnXayRNrElc9-aVVEni5R1LyCd3ha_Ur8vfLC_Pp8VLFMVEdu_v_t-eoaAu-OEALw_wcB</t>
  </si>
  <si>
    <t>per 100</t>
  </si>
  <si>
    <t>https://www.3dfilamentshop.nl/flexibel-filament/fiberlogy-fiberflex-30d-red</t>
  </si>
  <si>
    <t>https://www.3dfilamentshop.nl/pla-filament/fiberlogy-easy-pla-graphite</t>
  </si>
  <si>
    <t>per 850g</t>
  </si>
  <si>
    <t>400g</t>
  </si>
  <si>
    <t>03_Swith</t>
  </si>
  <si>
    <t>https://www.reichelt.com/nl/nl/shop/product/schuifschakelaar_90_rm2_54_-_1x_aan_-_aan-105717</t>
  </si>
  <si>
    <t>https://nl.aliexpress.com/item/1005006523337700.html?spm=a2g0o.productlist.similar_items.2.42b9URozURozFT&amp;utparam-url=scene%3Aimage_search%7Cquery_from%3Adetail_bigimg%7Cx_object_id%3A1005006523337700%7C_p_origin_prod%3A&amp;algo_pvid=9a9fc96a-ef4b-493e-b599-09dc8dca4c8c&amp;algo_exp_id=9a9fc96a-ef4b-493e-b599-09dc8dca4c8c&amp;pdp_ext_f=%7B%22order%22%3A%22373%22%2C%22spu_best_type%22%3A%22price%22%2C%22fromPage%22%3A%22search%22%7D&amp;pdp_npi=6%40dis%21EUR%214.35%210.88%21%21%2133.24%216.71%21%40210396b417809266514713823e0fce%2112000037867958541%21sea%21NL%210%21ABX%211%210%21n_tag%3A-29910%3Bd%3A1203be75%3Bm03_new_user%3A-29895%3BpisId%3A5000000205003134</t>
  </si>
  <si>
    <t>5V 2A Lithium Batterij Step-Up Power Module</t>
  </si>
  <si>
    <t>17_Super glue</t>
  </si>
  <si>
    <t>15_Flexible glue</t>
  </si>
  <si>
    <t>zippers</t>
  </si>
  <si>
    <t>rings</t>
  </si>
  <si>
    <t>04_Button</t>
  </si>
  <si>
    <t>02_Charge_discharge_module</t>
  </si>
  <si>
    <t>10_Battery</t>
  </si>
  <si>
    <t>11_Belt</t>
  </si>
  <si>
    <t>19_PLA_filement</t>
  </si>
  <si>
    <t>Hexagon bolt</t>
  </si>
  <si>
    <t>M3x8 (2 mm thick head)</t>
  </si>
  <si>
    <t>https://www.rvspaleis.nl/bouten/buitenzeskant/din-933/din-933-[-]-a2/din-933-[-]-a2-[-]-m3/933-2-3x8_1</t>
  </si>
  <si>
    <t>Washers</t>
  </si>
  <si>
    <t xml:space="preserve">per 50 </t>
  </si>
  <si>
    <t>https://www.123-3d.nl/123-3D-Vlakke-carrosserie-sluitring-verzinkt-M8-x-24x-2-mm-50-stuks-i180.html?utm_source=google&amp;utm_medium=cpc&amp;utm_campaign=PPC-SEA-NL-Google-Shopping-B-Parts-Balanced-Growth-Profit&amp;gad_source=1&amp;gad_campaignid=23928548585&amp;gbraid=0AAAAAC164-REaEAq5Ya2NYWoLNoFPwce8&amp;gclid=CjwKCAjw25fWBhAVEiwAMopNjnJym6YgAsFIaxe15qMvpYCLL0SL2iYVzrWo8BwRtmKUWgki06ZMzxoCfKUQAvD_BwE</t>
  </si>
  <si>
    <t>M8x24x2 mm</t>
  </si>
  <si>
    <t>Slide switch, angled, pitch 2.54, 1 x ON-ON</t>
  </si>
  <si>
    <t>https://www.reichelt.com/nl/en/shop/product/short_stroke_button_pcb_assembly_1_no_6_x_6_x_5_mm-360043</t>
  </si>
  <si>
    <t>Short stroke button, PCB assembly, 1 NO, 6 x 6 x 5 mm</t>
  </si>
  <si>
    <t>Switching capacity: 2 A 250 V AC</t>
  </si>
  <si>
    <t>Straight servo arm included with the servo motor</t>
  </si>
  <si>
    <t>included with the servo motor</t>
  </si>
  <si>
    <t>05_Battery_holder</t>
  </si>
  <si>
    <t>06_Connector_crimp_contact</t>
  </si>
  <si>
    <t>07_Connector_housing</t>
  </si>
  <si>
    <t>08_Motor</t>
  </si>
  <si>
    <t>09_Servo_arm</t>
  </si>
  <si>
    <t>12_Bearings</t>
  </si>
  <si>
    <t>13_Set_screw</t>
  </si>
  <si>
    <t>14_Nuts</t>
  </si>
  <si>
    <t>15_Axis</t>
  </si>
  <si>
    <t>16_Pins</t>
  </si>
  <si>
    <t>17_Bolts</t>
  </si>
  <si>
    <t>18_Washers</t>
  </si>
  <si>
    <t>Length 120 mm + 30mm, Diameter 4 mm 
(Stainless steel would be better)</t>
  </si>
  <si>
    <t>Total (€)</t>
  </si>
  <si>
    <t>Unit (€)</t>
  </si>
  <si>
    <t>Qty</t>
  </si>
  <si>
    <t>20_TPC_filement</t>
  </si>
  <si>
    <t>Washers M8x24x2 mm</t>
  </si>
  <si>
    <t xml:space="preserve">Paperclip (Use straight parts of the clip) (18 pins) </t>
  </si>
  <si>
    <t>Silver steel rod, diameter 4 mm</t>
  </si>
  <si>
    <t>Designator</t>
  </si>
  <si>
    <t>PCB including smd components top layer</t>
  </si>
  <si>
    <t>FiberFlex 40D, Fiberlogy</t>
  </si>
  <si>
    <t>https://www.3dfilamentshop.nl/flexibel-filament/fiberlogy-fiberflex-40d-black?gad_source=1&amp;gad_campaignid=20630181503&amp;gbraid=0AAAAACWZXqIXP0HzT9nBg9LDZQaLTDzCx&amp;gclid=CjwKCAjw25fWBhAVEiwAMopNjuMcCWIo0APu3YO1YIm-6-9_t7RAiXUCEAJ_22IxOtzpCH1AZp3OAxoC8cwQAvD_BwE</t>
  </si>
  <si>
    <t>https://www.3dfilamentshop.nl/pla-filament/fiberlogy-easy-pla-brilliant-blue</t>
  </si>
  <si>
    <t>Easy PLA, Fiberlogy</t>
  </si>
  <si>
    <t>Mounting screw, included with the servo motor</t>
  </si>
  <si>
    <t>Hub</t>
  </si>
  <si>
    <t>Peg</t>
  </si>
  <si>
    <t>FDM 3D printing</t>
  </si>
  <si>
    <t>Tools</t>
  </si>
  <si>
    <t>Part name</t>
  </si>
  <si>
    <t>Part number</t>
  </si>
  <si>
    <t>PCB</t>
  </si>
  <si>
    <t>harge_discharge_module</t>
  </si>
  <si>
    <t>Switch</t>
  </si>
  <si>
    <t>Button</t>
  </si>
  <si>
    <t>Battery_holder</t>
  </si>
  <si>
    <t>Connector_crimp_contact</t>
  </si>
  <si>
    <t>Connector_housing</t>
  </si>
  <si>
    <t>Motor</t>
  </si>
  <si>
    <t>Servo_arm</t>
  </si>
  <si>
    <t>Motor_screw</t>
  </si>
  <si>
    <t>Battery</t>
  </si>
  <si>
    <t>Belt</t>
  </si>
  <si>
    <t>Bearings</t>
  </si>
  <si>
    <t>Set_screw</t>
  </si>
  <si>
    <t>Nuts</t>
  </si>
  <si>
    <t>Axis</t>
  </si>
  <si>
    <t>Pins</t>
  </si>
  <si>
    <t>Bolts</t>
  </si>
  <si>
    <t>PLA_filament</t>
  </si>
  <si>
    <t>TPC_filament</t>
  </si>
  <si>
    <t>Name part</t>
  </si>
  <si>
    <t>Fixed_axis</t>
  </si>
  <si>
    <t>Filing_aid</t>
  </si>
  <si>
    <t>Motor_axis</t>
  </si>
  <si>
    <t>Pulley_motor</t>
  </si>
  <si>
    <t>Pulley_fixed_axis</t>
  </si>
  <si>
    <t>Clamp_fixed_axis</t>
  </si>
  <si>
    <t>CFM_bearing</t>
  </si>
  <si>
    <t>CFM_motor</t>
  </si>
  <si>
    <t>Side cutter</t>
  </si>
  <si>
    <t>Saw + File + vice</t>
  </si>
  <si>
    <t>Suspension_connector</t>
  </si>
  <si>
    <t>End_cap</t>
  </si>
  <si>
    <t>End_cap_counterweight</t>
  </si>
  <si>
    <t>Zipper_1</t>
  </si>
  <si>
    <t>Zipper_2</t>
  </si>
  <si>
    <t>Ring_1</t>
  </si>
  <si>
    <t>Ring_2</t>
  </si>
  <si>
    <t>Shell_yellow_left</t>
  </si>
  <si>
    <t>Shell_yellow_right</t>
  </si>
  <si>
    <t>Shell_red_left</t>
  </si>
  <si>
    <t>Shell_red_right</t>
  </si>
  <si>
    <t>Crimping + stripping pliers</t>
  </si>
  <si>
    <t>Material</t>
  </si>
  <si>
    <t>Metal</t>
  </si>
  <si>
    <t>Other</t>
  </si>
  <si>
    <t>Weight</t>
  </si>
  <si>
    <t>Striaght parts of the paperclip (10 mm)</t>
  </si>
  <si>
    <t>Paperclips</t>
  </si>
  <si>
    <t>paperclips (use straight part for pins)</t>
  </si>
  <si>
    <t>Motor_bolt</t>
  </si>
  <si>
    <t>Mounting bolt, included with the servo motor</t>
  </si>
  <si>
    <t>?</t>
  </si>
  <si>
    <t>TPC 40D</t>
  </si>
  <si>
    <t>Print settings: Adjusted</t>
  </si>
  <si>
    <t>Print settings: Standard</t>
  </si>
  <si>
    <t>shell</t>
  </si>
  <si>
    <t>Rubber o-ring NBR 90, Compound: 47702, Cord thickness: 3mm, Inside diameter: 22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</si>
</sst>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7]_-;\-* #,##0.00\ [$€-407]_-;_-* &quot;-&quot;??\ [$€-407]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3A0D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0" fillId="0" borderId="1" xfId="0" applyBorder="1"/>
    <xf numFmtId="0" fontId="3" fillId="0" borderId="0" xfId="0" applyFont="1" applyAlignment="1">
      <alignment wrapText="1"/>
    </xf>
    <xf numFmtId="0" fontId="2" fillId="0" borderId="0" xfId="1" applyAlignment="1">
      <alignment wrapText="1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5" xfId="0" applyBorder="1"/>
    <xf numFmtId="0" fontId="0" fillId="0" borderId="5" xfId="0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11" xfId="0" applyBorder="1"/>
    <xf numFmtId="0" fontId="1" fillId="0" borderId="11" xfId="0" applyFont="1" applyBorder="1" applyAlignment="1">
      <alignment wrapText="1"/>
    </xf>
    <xf numFmtId="0" fontId="0" fillId="0" borderId="11" xfId="0" applyBorder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0" fontId="0" fillId="0" borderId="12" xfId="0" applyBorder="1" applyAlignment="1">
      <alignment wrapText="1"/>
    </xf>
    <xf numFmtId="0" fontId="2" fillId="0" borderId="11" xfId="1" applyBorder="1" applyAlignment="1">
      <alignment wrapText="1"/>
    </xf>
    <xf numFmtId="0" fontId="0" fillId="0" borderId="0" xfId="0" applyAlignment="1">
      <alignment horizontal="center"/>
    </xf>
    <xf numFmtId="0" fontId="2" fillId="0" borderId="0" xfId="1" applyBorder="1" applyAlignment="1">
      <alignment wrapText="1"/>
    </xf>
    <xf numFmtId="0" fontId="0" fillId="3" borderId="0" xfId="0" applyFill="1"/>
    <xf numFmtId="0" fontId="0" fillId="0" borderId="0" xfId="0" applyAlignment="1">
      <alignment horizontal="center" wrapText="1"/>
    </xf>
    <xf numFmtId="0" fontId="0" fillId="3" borderId="1" xfId="0" applyFill="1" applyBorder="1"/>
    <xf numFmtId="0" fontId="4" fillId="0" borderId="0" xfId="0" applyFont="1"/>
    <xf numFmtId="0" fontId="4" fillId="0" borderId="0" xfId="0" applyFont="1" applyAlignment="1">
      <alignment wrapText="1"/>
    </xf>
    <xf numFmtId="0" fontId="0" fillId="0" borderId="14" xfId="0" applyBorder="1"/>
    <xf numFmtId="0" fontId="0" fillId="0" borderId="15" xfId="0" applyBorder="1"/>
    <xf numFmtId="0" fontId="1" fillId="0" borderId="16" xfId="0" applyFont="1" applyBorder="1" applyAlignment="1">
      <alignment wrapText="1"/>
    </xf>
    <xf numFmtId="0" fontId="0" fillId="0" borderId="16" xfId="0" applyBorder="1"/>
    <xf numFmtId="0" fontId="2" fillId="0" borderId="16" xfId="1" applyBorder="1" applyAlignment="1">
      <alignment wrapText="1"/>
    </xf>
    <xf numFmtId="0" fontId="5" fillId="0" borderId="0" xfId="0" applyFont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7" xfId="0" applyBorder="1"/>
    <xf numFmtId="0" fontId="0" fillId="3" borderId="18" xfId="0" applyFill="1" applyBorder="1"/>
    <xf numFmtId="0" fontId="0" fillId="0" borderId="19" xfId="0" applyBorder="1"/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20" xfId="0" applyBorder="1"/>
    <xf numFmtId="0" fontId="1" fillId="0" borderId="8" xfId="0" applyFont="1" applyBorder="1" applyAlignment="1">
      <alignment wrapText="1"/>
    </xf>
    <xf numFmtId="0" fontId="0" fillId="0" borderId="8" xfId="0" applyBorder="1" applyAlignment="1">
      <alignment horizontal="center" wrapText="1"/>
    </xf>
    <xf numFmtId="0" fontId="1" fillId="2" borderId="4" xfId="0" applyFont="1" applyFill="1" applyBorder="1"/>
    <xf numFmtId="0" fontId="1" fillId="2" borderId="7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164" fontId="1" fillId="0" borderId="0" xfId="0" applyNumberFormat="1" applyFont="1" applyAlignment="1">
      <alignment wrapText="1"/>
    </xf>
    <xf numFmtId="0" fontId="0" fillId="4" borderId="1" xfId="0" applyFill="1" applyBorder="1"/>
    <xf numFmtId="0" fontId="4" fillId="5" borderId="10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0" fillId="6" borderId="13" xfId="0" applyFill="1" applyBorder="1"/>
    <xf numFmtId="0" fontId="0" fillId="7" borderId="11" xfId="0" applyFill="1" applyBorder="1"/>
    <xf numFmtId="0" fontId="4" fillId="8" borderId="10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4" fillId="9" borderId="10" xfId="0" applyFont="1" applyFill="1" applyBorder="1"/>
    <xf numFmtId="0" fontId="0" fillId="9" borderId="6" xfId="0" applyFill="1" applyBorder="1"/>
    <xf numFmtId="0" fontId="0" fillId="0" borderId="17" xfId="0" applyBorder="1" applyAlignment="1">
      <alignment wrapText="1"/>
    </xf>
    <xf numFmtId="0" fontId="0" fillId="10" borderId="0" xfId="0" applyFill="1"/>
    <xf numFmtId="0" fontId="0" fillId="11" borderId="0" xfId="0" applyFill="1" applyAlignment="1">
      <alignment horizontal="center"/>
    </xf>
    <xf numFmtId="0" fontId="0" fillId="11" borderId="0" xfId="0" applyFill="1" applyAlignment="1">
      <alignment wrapText="1"/>
    </xf>
    <xf numFmtId="0" fontId="0" fillId="11" borderId="11" xfId="0" applyFill="1" applyBorder="1" applyAlignment="1">
      <alignment wrapText="1"/>
    </xf>
    <xf numFmtId="0" fontId="2" fillId="0" borderId="5" xfId="1" applyBorder="1"/>
    <xf numFmtId="2" fontId="0" fillId="0" borderId="0" xfId="0" applyNumberFormat="1"/>
    <xf numFmtId="0" fontId="1" fillId="0" borderId="0" xfId="0" applyFont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0" xfId="0" applyBorder="1"/>
    <xf numFmtId="0" fontId="0" fillId="0" borderId="9" xfId="0" applyFill="1" applyBorder="1"/>
    <xf numFmtId="0" fontId="0" fillId="0" borderId="0" xfId="0" applyFill="1" applyBorder="1"/>
    <xf numFmtId="0" fontId="0" fillId="0" borderId="0" xfId="0" applyBorder="1" applyAlignment="1">
      <alignment horizontal="center" wrapText="1"/>
    </xf>
    <xf numFmtId="2" fontId="0" fillId="0" borderId="0" xfId="0" applyNumberFormat="1" applyBorder="1"/>
    <xf numFmtId="0" fontId="2" fillId="0" borderId="0" xfId="1" applyBorder="1"/>
    <xf numFmtId="0" fontId="4" fillId="6" borderId="10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1" fillId="2" borderId="0" xfId="0" applyFont="1" applyFill="1" applyBorder="1"/>
    <xf numFmtId="0" fontId="1" fillId="2" borderId="10" xfId="0" applyFont="1" applyFill="1" applyBorder="1"/>
    <xf numFmtId="0" fontId="0" fillId="4" borderId="21" xfId="0" applyFill="1" applyBorder="1" applyAlignment="1">
      <alignment vertical="top"/>
    </xf>
    <xf numFmtId="0" fontId="0" fillId="4" borderId="0" xfId="0" applyFill="1" applyBorder="1" applyAlignment="1">
      <alignment vertical="top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colors>
    <mruColors>
      <color rgb="FF79ADDD"/>
      <color rgb="FF63A0D7"/>
      <color rgb="FF81B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0">
  <rv s="0">
    <v>0</v>
    <v>5</v>
  </rv>
  <rv s="0">
    <v>1</v>
    <v>5</v>
  </rv>
  <rv s="0">
    <v>2</v>
    <v>5</v>
  </rv>
  <rv s="0">
    <v>3</v>
    <v>5</v>
  </rv>
  <rv s="0">
    <v>4</v>
    <v>5</v>
  </rv>
  <rv s="1">
    <v>5</v>
    <v>5</v>
    <v>JST - krimpcontact, bus - PH</v>
  </rv>
  <rv s="1">
    <v>6</v>
    <v>5</v>
    <v>JST - busbehuizing, 1x3-polig - PH</v>
  </rv>
  <rv s="0">
    <v>7</v>
    <v>5</v>
  </rv>
  <rv s="0">
    <v>8</v>
    <v>5</v>
  </rv>
  <rv s="0">
    <v>9</v>
    <v>5</v>
  </rv>
  <rv s="0">
    <v>10</v>
    <v>5</v>
  </rv>
  <rv s="1">
    <v>11</v>
    <v>5</v>
    <v>Gewindestifte ISO 4026 (DIN 913) mit Innensechskant und Kegelstumpf, Stahl, Produktphoto</v>
  </rv>
  <rv s="0">
    <v>12</v>
    <v>5</v>
  </rv>
  <rv s="0">
    <v>13</v>
    <v>5</v>
  </rv>
  <rv s="0">
    <v>14</v>
    <v>5</v>
  </rv>
  <rv s="0">
    <v>15</v>
    <v>5</v>
  </rv>
  <rv s="0">
    <v>16</v>
    <v>5</v>
  </rv>
  <rv s="1">
    <v>17</v>
    <v>5</v>
    <v>Polymaker PolyTerra PLA Regular Colours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1">
    <v>35</v>
    <v>5</v>
    <v>Synchronisatie- en oplaadkabel, USB-C -&gt; C, 90°, 100 W, 1 m.</v>
  </rv>
  <rv s="1">
    <v>36</v>
    <v>5</v>
    <v>MG996R Servo - 10kg - Continuous</v>
  </rv>
  <rv s="0">
    <v>37</v>
    <v>5</v>
  </rv>
  <rv s="1">
    <v>38</v>
    <v>5</v>
    <v>Loctite 243 Medium strength thread locking content 10 ml (Actual safety data sheet on the internet in the section Downloads), Produktphoto</v>
  </rv>
  <rv s="1">
    <v>39</v>
    <v>5</v>
    <v>Socket Shoulder Screws similar ISO 7379, Steel strength 12.9, Produktphoto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ichelt.com/de/en/shop/product/industrial_cell_18650_3_6_v_3500_mah_unprotected_pack_of_2-261050" TargetMode="External"/><Relationship Id="rId13" Type="http://schemas.openxmlformats.org/officeDocument/2006/relationships/hyperlink" Target="https://www.reichelt.de/de/en/battery-holder-for-1x-18650-keystone-1043-p213370.html?&amp;trstct=pos_0&amp;nbc=1" TargetMode="External"/><Relationship Id="rId3" Type="http://schemas.openxmlformats.org/officeDocument/2006/relationships/hyperlink" Target="https://www.maedler.de/product/1643/3/gewindestifte-iso-4026-din-913-mit-innensechskant-und-kegelstumpf-stahl" TargetMode="External"/><Relationship Id="rId7" Type="http://schemas.openxmlformats.org/officeDocument/2006/relationships/hyperlink" Target="https://www.reichelt.com/nl/nl/shop/product/jst_-_busbehuizing_1x3-polig_-_ph-185042?PROVID=2809&amp;gad_source=1&amp;gad_campaignid=22421704484&amp;gbraid=0AAAAADwnxtYxgsW3mnQB9VMFUYiLh3bRU&amp;gclid=CjwKCAjwuIbBBhBvEiwAsNypvdJGhECjHO7EtigVw6YTYt_kyzae0BOcjiik297oN2CyiWK7ymfVMxoC-eUQAvD_BwE" TargetMode="External"/><Relationship Id="rId12" Type="http://schemas.openxmlformats.org/officeDocument/2006/relationships/hyperlink" Target="https://www.3dfilamentshop.nl/pla-filament/fiberlogy-easy-pla-graphite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tinytronics.nl/nl/mechanica-en-actuatoren/motoren/servomotoren/ts90m-mini-servo-1.6kg-continuous" TargetMode="External"/><Relationship Id="rId16" Type="http://schemas.openxmlformats.org/officeDocument/2006/relationships/hyperlink" Target="https://www.tinytronics.nl/nl/mechanica-en-actuatoren/motoren/servomotoren/ts90m-mini-servo-1.6kg-continuous" TargetMode="External"/><Relationship Id="rId1" Type="http://schemas.openxmlformats.org/officeDocument/2006/relationships/hyperlink" Target="https://shop.eriks.nl/nl/afdichtingen-o-ringen-en-toebehoren-o-ringen/o-ring-nbr-90-compound-47702-pr-ec010584-0010-nl/" TargetMode="External"/><Relationship Id="rId6" Type="http://schemas.openxmlformats.org/officeDocument/2006/relationships/hyperlink" Target="https://www.reichelt.com/nl/nl/shop/product/jst_-_krimpcontact_bus_-_ph-185072" TargetMode="External"/><Relationship Id="rId11" Type="http://schemas.openxmlformats.org/officeDocument/2006/relationships/hyperlink" Target="https://www.3dfilamentshop.nl/flexibel-filament/fiberlogy-fiberflex-30d-red" TargetMode="External"/><Relationship Id="rId5" Type="http://schemas.openxmlformats.org/officeDocument/2006/relationships/hyperlink" Target="https://www.pcbway.com/" TargetMode="External"/><Relationship Id="rId15" Type="http://schemas.openxmlformats.org/officeDocument/2006/relationships/hyperlink" Target="https://www.reichelt.com/nl/nl/shop/product/schuifschakelaar_90_rm2_54_-_1x_aan_-_aan-105717" TargetMode="External"/><Relationship Id="rId10" Type="http://schemas.openxmlformats.org/officeDocument/2006/relationships/hyperlink" Target="https://www.123inkt.nl/123inkt-paperclips-rond-33-mm-100-stuks-23130056005-2386-33-K-10030C-i31888.html?utm_source=google&amp;utm_medium=cpc&amp;utm_campaign=PPC-SEA-NL-Google-Shopping-B-Office_Deskacc&amp;gad_source=1&amp;gad_campaignid=22170947451&amp;gbraid=0AAAAAC0_yBH-Zk0zbxJDUiph86-V7kd5U&amp;gclid=Cj0KCQjw0JnRBhDJARIsALobnXayRNrElc9-aVVEni5R1LyCd3ha_Ur8vfLC_Pp8VLFMVEdu_v_t-eoaAu-OEALw_wcB" TargetMode="External"/><Relationship Id="rId4" Type="http://schemas.openxmlformats.org/officeDocument/2006/relationships/hyperlink" Target="https://www.maedler.de/Article/65200300" TargetMode="External"/><Relationship Id="rId9" Type="http://schemas.openxmlformats.org/officeDocument/2006/relationships/hyperlink" Target="https://www.kugellager-express.de/miniature-deep-groove-ball-bearing-mr-74-w2-open-oiled-4x7x2-mm" TargetMode="External"/><Relationship Id="rId14" Type="http://schemas.openxmlformats.org/officeDocument/2006/relationships/hyperlink" Target="https://www.123-3d.nl/123-3D-Kabel-connector-JST-XHP-2-mannelijk-10-stuks-123-3D-huismerk-i8204-t135134.html?gad_source=1&amp;gad_campaignid=21230405716&amp;gbraid=0AAAAAC164-Q_7YK7_HVMjHJ9IZ-9ZH6G9&amp;gclid=CjwKCAjwuIbBBhBvEiwAsNypvcJDaHwtr3VSEGJ_cDbsekawH1epOJzFhDdUGTGQ9O9B-ob0TDbg5BoCulIQAvD_Bw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ichelt.com/de/en/shop/product/industrial_cell_18650_3_6_v_3500_mah_unprotected_pack_of_2-261050" TargetMode="External"/><Relationship Id="rId13" Type="http://schemas.openxmlformats.org/officeDocument/2006/relationships/hyperlink" Target="https://www.tinytronics.nl/nl/mechanica-en-actuatoren/motoren/servomotoren/ts90m-mini-servo-1.6kg-continuous" TargetMode="External"/><Relationship Id="rId3" Type="http://schemas.openxmlformats.org/officeDocument/2006/relationships/hyperlink" Target="https://www.maedler.de/product/1643/3/gewindestifte-iso-4026-din-913-mit-innensechskant-und-kegelstumpf-stahl" TargetMode="External"/><Relationship Id="rId7" Type="http://schemas.openxmlformats.org/officeDocument/2006/relationships/hyperlink" Target="https://www.reichelt.com/nl/nl/shop/product/jst_-_busbehuizing_1x3-polig_-_ph-185042?PROVID=2809&amp;gad_source=1&amp;gad_campaignid=22421704484&amp;gbraid=0AAAAADwnxtYxgsW3mnQB9VMFUYiLh3bRU&amp;gclid=CjwKCAjwuIbBBhBvEiwAsNypvdJGhECjHO7EtigVw6YTYt_kyzae0BOcjiik297oN2CyiWK7ymfVMxoC-eUQAvD_BwE" TargetMode="External"/><Relationship Id="rId12" Type="http://schemas.openxmlformats.org/officeDocument/2006/relationships/hyperlink" Target="https://www.reichelt.com/nl/nl/shop/product/schuifschakelaar_90_rm2_54_-_1x_aan_-_aan-105717" TargetMode="External"/><Relationship Id="rId2" Type="http://schemas.openxmlformats.org/officeDocument/2006/relationships/hyperlink" Target="https://www.tinytronics.nl/nl/mechanica-en-actuatoren/motoren/servomotoren/ts90m-mini-servo-1.6kg-continuous" TargetMode="External"/><Relationship Id="rId1" Type="http://schemas.openxmlformats.org/officeDocument/2006/relationships/hyperlink" Target="https://shop.eriks.nl/nl/afdichtingen-o-ringen-en-toebehoren-o-ringen/o-ring-nbr-90-compound-47702-pr-ec010584-0010-nl/" TargetMode="External"/><Relationship Id="rId6" Type="http://schemas.openxmlformats.org/officeDocument/2006/relationships/hyperlink" Target="https://www.reichelt.com/nl/nl/shop/product/jst_-_krimpcontact_bus_-_ph-185072" TargetMode="External"/><Relationship Id="rId11" Type="http://schemas.openxmlformats.org/officeDocument/2006/relationships/hyperlink" Target="https://www.reichelt.de/de/en/battery-holder-for-1x-18650-keystone-1043-p213370.html?&amp;trstct=pos_0&amp;nbc=1" TargetMode="External"/><Relationship Id="rId5" Type="http://schemas.openxmlformats.org/officeDocument/2006/relationships/hyperlink" Target="https://www.pcbway.com/" TargetMode="External"/><Relationship Id="rId15" Type="http://schemas.openxmlformats.org/officeDocument/2006/relationships/hyperlink" Target="https://www.tinytronics.nl/nl/mechanica-en-actuatoren/motoren/servomotoren/ts90m-mini-servo-1.6kg-continuous" TargetMode="External"/><Relationship Id="rId10" Type="http://schemas.openxmlformats.org/officeDocument/2006/relationships/hyperlink" Target="https://www.123inkt.nl/123inkt-paperclips-rond-33-mm-100-stuks-23130056005-2386-33-K-10030C-i31888.html?utm_source=google&amp;utm_medium=cpc&amp;utm_campaign=PPC-SEA-NL-Google-Shopping-B-Office_Deskacc&amp;gad_source=1&amp;gad_campaignid=22170947451&amp;gbraid=0AAAAAC0_yBH-Zk0zbxJDUiph86-V7kd5U&amp;gclid=Cj0KCQjw0JnRBhDJARIsALobnXayRNrElc9-aVVEni5R1LyCd3ha_Ur8vfLC_Pp8VLFMVEdu_v_t-eoaAu-OEALw_wcB" TargetMode="External"/><Relationship Id="rId4" Type="http://schemas.openxmlformats.org/officeDocument/2006/relationships/hyperlink" Target="https://www.maedler.de/Article/65200300" TargetMode="External"/><Relationship Id="rId9" Type="http://schemas.openxmlformats.org/officeDocument/2006/relationships/hyperlink" Target="https://www.kugellager-express.de/miniature-deep-groove-ball-bearing-mr-74-w2-open-oiled-4x7x2-mm" TargetMode="External"/><Relationship Id="rId14" Type="http://schemas.openxmlformats.org/officeDocument/2006/relationships/hyperlink" Target="https://www.tinytronics.nl/nl/mechanica-en-actuatoren/motoren/servomotoren/ts90m-mini-servo-1.6kg-continuou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3dmensionals.de/polymaker-polyterra-pla-filament-2562?category=4&amp;attrib=319-2471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www.tinytronics.nl/nl/mechanica-en-actuatoren/motoren/servomotoren/ts90m-mini-servo-1.6kg-continuous" TargetMode="External"/><Relationship Id="rId7" Type="http://schemas.openxmlformats.org/officeDocument/2006/relationships/hyperlink" Target="https://www.maedler.de/Article/65200300" TargetMode="External"/><Relationship Id="rId12" Type="http://schemas.openxmlformats.org/officeDocument/2006/relationships/hyperlink" Target="https://www.amazon.de/gp/aw/d/B0C6DH53SD?ref=ppx_pop_mob_b_asin_title&amp;th=1" TargetMode="External"/><Relationship Id="rId2" Type="http://schemas.openxmlformats.org/officeDocument/2006/relationships/hyperlink" Target="https://shop.eriks.nl/nl/afdichtingen-o-ringen-en-toebehoren-o-ringen/o-ring-nbr-90-compound-47702-pr-ec010584-0010-nl/" TargetMode="External"/><Relationship Id="rId1" Type="http://schemas.openxmlformats.org/officeDocument/2006/relationships/hyperlink" Target="https://www.reichelt.de/de/en/battery-holder-for-1x-18650-keystone-1043-p213370.html?&amp;trstct=pos_0&amp;nbc=1" TargetMode="External"/><Relationship Id="rId6" Type="http://schemas.openxmlformats.org/officeDocument/2006/relationships/hyperlink" Target="https://www.maedler.de/product/1643/1126/3378/splinte-din-en-iso-1234-ex-din-94-edelstahl" TargetMode="External"/><Relationship Id="rId11" Type="http://schemas.openxmlformats.org/officeDocument/2006/relationships/hyperlink" Target="https://www.amazon.de/gp/aw/d/B08DN4MZY8?psc=1&amp;ref=ppx_pop_mob_b_asin_title" TargetMode="External"/><Relationship Id="rId5" Type="http://schemas.openxmlformats.org/officeDocument/2006/relationships/hyperlink" Target="https://www.kugellager-express.de/miniature-deep-groove-ball-bearing-mr-63-w2-open-oiled-3x6x2-mm" TargetMode="External"/><Relationship Id="rId10" Type="http://schemas.openxmlformats.org/officeDocument/2006/relationships/hyperlink" Target="https://www.maedler.de/product/1643/1629/3184/3564/579/loctite-4850-flexibler-sofort-klebstoff?result=14073326" TargetMode="External"/><Relationship Id="rId4" Type="http://schemas.openxmlformats.org/officeDocument/2006/relationships/hyperlink" Target="https://www.maedler.de/product/1643/3/gewindestifte-iso-4026-din-913-mit-innensechskant-und-kegelstumpf-stahl" TargetMode="External"/><Relationship Id="rId9" Type="http://schemas.openxmlformats.org/officeDocument/2006/relationships/hyperlink" Target="https://www.pcbway.com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3dmensionals.de/polymaker-polyterra-pla-filament-2562?category=4&amp;attrib=319-2471" TargetMode="External"/><Relationship Id="rId13" Type="http://schemas.openxmlformats.org/officeDocument/2006/relationships/hyperlink" Target="https://www.maedler.de/Article/14073107" TargetMode="External"/><Relationship Id="rId18" Type="http://schemas.openxmlformats.org/officeDocument/2006/relationships/hyperlink" Target="https://www.reichelt.com/nl/nl/shop/product/ontwikkelborden_-_4in1_module_voor_3_7v_li-ion_accu_s-291376" TargetMode="External"/><Relationship Id="rId3" Type="http://schemas.openxmlformats.org/officeDocument/2006/relationships/hyperlink" Target="https://www.tinytronics.nl/nl/mechanica-en-actuatoren/motoren/servomotoren/ts90m-mini-servo-1.6kg-continuous" TargetMode="External"/><Relationship Id="rId7" Type="http://schemas.openxmlformats.org/officeDocument/2006/relationships/hyperlink" Target="https://www.maedler.de/Article/65200300" TargetMode="External"/><Relationship Id="rId12" Type="http://schemas.openxmlformats.org/officeDocument/2006/relationships/hyperlink" Target="https://www.amazon.de/gp/aw/d/B0C6DH53SD?ref=ppx_pop_mob_b_asin_title&amp;th=1" TargetMode="External"/><Relationship Id="rId17" Type="http://schemas.openxmlformats.org/officeDocument/2006/relationships/hyperlink" Target="https://www.reichelt.com/de/en/shop/product/industrial_cell_18650_3_6_v_3500_mah_unprotected_pack_of_2-261050" TargetMode="External"/><Relationship Id="rId2" Type="http://schemas.openxmlformats.org/officeDocument/2006/relationships/hyperlink" Target="https://shop.eriks.nl/nl/afdichtingen-o-ringen-en-toebehoren-o-ringen/o-ring-nbr-90-compound-47702-pr-ec010584-0010-nl/" TargetMode="External"/><Relationship Id="rId16" Type="http://schemas.openxmlformats.org/officeDocument/2006/relationships/hyperlink" Target="https://www.tinytronics.nl/nl/mechanica-en-actuatoren/motoren/servomotoren/mg996r-servo-10kg-continuous" TargetMode="External"/><Relationship Id="rId1" Type="http://schemas.openxmlformats.org/officeDocument/2006/relationships/hyperlink" Target="https://www.reichelt.de/de/en/battery-holder-for-1x-18650-keystone-1043-p213370.html?&amp;trstct=pos_0&amp;nbc=1" TargetMode="External"/><Relationship Id="rId6" Type="http://schemas.openxmlformats.org/officeDocument/2006/relationships/hyperlink" Target="https://www.maedler.de/product/1643/1126/3378/splinte-din-en-iso-1234-ex-din-94-edelstahl" TargetMode="External"/><Relationship Id="rId11" Type="http://schemas.openxmlformats.org/officeDocument/2006/relationships/hyperlink" Target="https://www.amazon.de/gp/aw/d/B08DN4MZY8?psc=1&amp;ref=ppx_pop_mob_b_asin_title" TargetMode="External"/><Relationship Id="rId5" Type="http://schemas.openxmlformats.org/officeDocument/2006/relationships/hyperlink" Target="https://www.kugellager-express.de/miniature-deep-groove-ball-bearing-mr-63-w2-open-oiled-3x6x2-mm" TargetMode="External"/><Relationship Id="rId15" Type="http://schemas.openxmlformats.org/officeDocument/2006/relationships/hyperlink" Target="https://www.maedler.nl/Article/64700400" TargetMode="External"/><Relationship Id="rId10" Type="http://schemas.openxmlformats.org/officeDocument/2006/relationships/hyperlink" Target="https://www.maedler.de/product/1643/1629/3184/3564/579/loctite-4850-flexibler-sofort-klebstoff?result=14073326" TargetMode="External"/><Relationship Id="rId19" Type="http://schemas.openxmlformats.org/officeDocument/2006/relationships/printerSettings" Target="../printerSettings/printerSettings3.bin"/><Relationship Id="rId4" Type="http://schemas.openxmlformats.org/officeDocument/2006/relationships/hyperlink" Target="https://www.maedler.de/product/1643/3/gewindestifte-iso-4026-din-913-mit-innensechskant-und-kegelstumpf-stahl" TargetMode="External"/><Relationship Id="rId9" Type="http://schemas.openxmlformats.org/officeDocument/2006/relationships/hyperlink" Target="https://www.pcbway.com/" TargetMode="External"/><Relationship Id="rId14" Type="http://schemas.openxmlformats.org/officeDocument/2006/relationships/hyperlink" Target="https://www.maedler.nl/Article/65099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D5C2-1AB3-4765-B5FE-A132875F496A}">
  <dimension ref="A1:FQ40"/>
  <sheetViews>
    <sheetView zoomScale="70" zoomScaleNormal="70" workbookViewId="0">
      <pane ySplit="1" topLeftCell="A8" activePane="bottomLeft" state="frozen"/>
      <selection pane="bottomLeft" activeCell="J12" sqref="J12"/>
    </sheetView>
  </sheetViews>
  <sheetFormatPr defaultColWidth="10.90625" defaultRowHeight="14.5" x14ac:dyDescent="0.35"/>
  <cols>
    <col min="1" max="1" width="15.90625" customWidth="1"/>
    <col min="2" max="2" width="18.54296875" bestFit="1" customWidth="1"/>
    <col min="3" max="3" width="28.7265625" bestFit="1" customWidth="1"/>
    <col min="4" max="4" width="24" bestFit="1" customWidth="1"/>
    <col min="5" max="5" width="14.54296875" style="23" bestFit="1" customWidth="1"/>
    <col min="7" max="7" width="12.26953125" bestFit="1" customWidth="1"/>
    <col min="8" max="8" width="18.08984375" customWidth="1"/>
    <col min="9" max="9" width="15.81640625" customWidth="1"/>
    <col min="10" max="10" width="33.54296875" customWidth="1"/>
    <col min="11" max="11" width="12.1796875" bestFit="1" customWidth="1"/>
    <col min="12" max="12" width="20.90625" customWidth="1"/>
  </cols>
  <sheetData>
    <row r="1" spans="1:12" s="47" customFormat="1" ht="40" customHeight="1" thickBot="1" x14ac:dyDescent="0.4">
      <c r="A1" s="47" t="s">
        <v>72</v>
      </c>
      <c r="B1" s="48" t="s">
        <v>19</v>
      </c>
      <c r="C1" s="49" t="s">
        <v>8</v>
      </c>
      <c r="D1" s="50" t="s">
        <v>2</v>
      </c>
      <c r="E1" s="51" t="s">
        <v>215</v>
      </c>
      <c r="F1" s="47" t="s">
        <v>214</v>
      </c>
      <c r="G1" s="47" t="s">
        <v>213</v>
      </c>
      <c r="H1" s="52" t="s">
        <v>3</v>
      </c>
      <c r="I1" s="50" t="s">
        <v>1</v>
      </c>
      <c r="J1" s="50" t="s">
        <v>5</v>
      </c>
      <c r="K1" s="50" t="s">
        <v>6</v>
      </c>
      <c r="L1" s="50" t="s">
        <v>4</v>
      </c>
    </row>
    <row r="2" spans="1:12" ht="40" customHeight="1" x14ac:dyDescent="0.35">
      <c r="A2" s="29" t="s">
        <v>13</v>
      </c>
      <c r="B2" s="40" t="s">
        <v>9</v>
      </c>
      <c r="C2" s="30" t="s">
        <v>99</v>
      </c>
      <c r="D2" s="1" t="s">
        <v>63</v>
      </c>
      <c r="E2" s="23">
        <v>1</v>
      </c>
      <c r="F2">
        <v>21</v>
      </c>
      <c r="G2">
        <f>F2*E2</f>
        <v>21</v>
      </c>
      <c r="H2" s="2" t="s">
        <v>74</v>
      </c>
      <c r="I2" s="23" t="e" vm="1">
        <v>#VALUE!</v>
      </c>
      <c r="J2" s="19" t="s">
        <v>64</v>
      </c>
      <c r="K2">
        <v>21.23</v>
      </c>
      <c r="L2" s="1"/>
    </row>
    <row r="3" spans="1:12" ht="40" customHeight="1" x14ac:dyDescent="0.35">
      <c r="A3" s="29"/>
      <c r="B3" s="25"/>
      <c r="C3" s="14" t="s">
        <v>183</v>
      </c>
      <c r="D3" s="1" t="s">
        <v>177</v>
      </c>
      <c r="E3" s="23">
        <v>1</v>
      </c>
      <c r="F3">
        <v>4.04</v>
      </c>
      <c r="G3">
        <f>F3*E3</f>
        <v>4.04</v>
      </c>
      <c r="H3" s="5" t="s">
        <v>176</v>
      </c>
      <c r="I3" s="23" t="e" vm="2">
        <v>#VALUE!</v>
      </c>
      <c r="J3" s="19"/>
      <c r="L3" s="1"/>
    </row>
    <row r="4" spans="1:12" ht="40" customHeight="1" x14ac:dyDescent="0.35">
      <c r="A4" s="29"/>
      <c r="B4" s="25"/>
      <c r="C4" s="14" t="s">
        <v>174</v>
      </c>
      <c r="D4" s="1" t="s">
        <v>194</v>
      </c>
      <c r="E4" s="23">
        <v>1</v>
      </c>
      <c r="F4">
        <v>2.64</v>
      </c>
      <c r="G4">
        <f>F4*E4</f>
        <v>2.64</v>
      </c>
      <c r="H4" s="5" t="s">
        <v>175</v>
      </c>
      <c r="I4" s="23" t="e" vm="3">
        <v>#VALUE!</v>
      </c>
      <c r="J4" s="19" t="s">
        <v>197</v>
      </c>
      <c r="L4" s="1"/>
    </row>
    <row r="5" spans="1:12" ht="40" customHeight="1" x14ac:dyDescent="0.35">
      <c r="A5" s="29"/>
      <c r="B5" s="25"/>
      <c r="C5" s="14" t="s">
        <v>182</v>
      </c>
      <c r="D5" s="1" t="s">
        <v>196</v>
      </c>
      <c r="E5" s="23">
        <v>1</v>
      </c>
      <c r="F5">
        <v>0.31</v>
      </c>
      <c r="G5">
        <f>F5*E5</f>
        <v>0.31</v>
      </c>
      <c r="H5" s="5" t="s">
        <v>195</v>
      </c>
      <c r="I5" s="23" t="e" vm="4">
        <v>#VALUE!</v>
      </c>
      <c r="J5" s="19"/>
      <c r="L5" s="1"/>
    </row>
    <row r="6" spans="1:12" ht="40" customHeight="1" x14ac:dyDescent="0.35">
      <c r="B6" s="27"/>
      <c r="C6" t="s">
        <v>200</v>
      </c>
      <c r="D6" s="35" t="s">
        <v>65</v>
      </c>
      <c r="E6" s="23">
        <v>1</v>
      </c>
      <c r="F6">
        <v>3.8</v>
      </c>
      <c r="G6">
        <f>F6*E6</f>
        <v>3.8</v>
      </c>
      <c r="H6" s="5" t="s">
        <v>10</v>
      </c>
      <c r="I6" s="23" t="e" vm="5">
        <v>#VALUE!</v>
      </c>
      <c r="J6" s="4" t="s">
        <v>82</v>
      </c>
      <c r="K6">
        <v>8</v>
      </c>
    </row>
    <row r="7" spans="1:12" ht="40" customHeight="1" x14ac:dyDescent="0.35">
      <c r="A7" s="29"/>
      <c r="B7" s="25"/>
      <c r="C7" s="14" t="s">
        <v>201</v>
      </c>
      <c r="D7" s="1" t="s">
        <v>91</v>
      </c>
      <c r="E7" s="23">
        <v>1</v>
      </c>
      <c r="F7">
        <v>0.03</v>
      </c>
      <c r="G7">
        <f>F7*E7</f>
        <v>0.03</v>
      </c>
      <c r="H7" s="5" t="s">
        <v>88</v>
      </c>
      <c r="I7" s="23" t="e" vm="6">
        <v>#VALUE!</v>
      </c>
      <c r="J7" s="19"/>
      <c r="L7" s="1"/>
    </row>
    <row r="8" spans="1:12" ht="40" customHeight="1" x14ac:dyDescent="0.35">
      <c r="A8" s="29"/>
      <c r="B8" s="25"/>
      <c r="C8" s="14" t="s">
        <v>202</v>
      </c>
      <c r="D8" s="1" t="s">
        <v>90</v>
      </c>
      <c r="E8" s="23">
        <v>1</v>
      </c>
      <c r="F8">
        <v>7.0000000000000007E-2</v>
      </c>
      <c r="G8">
        <f>F8*E8</f>
        <v>7.0000000000000007E-2</v>
      </c>
      <c r="H8" s="5" t="s">
        <v>89</v>
      </c>
      <c r="I8" s="23" t="e" vm="7">
        <v>#VALUE!</v>
      </c>
      <c r="J8" s="19"/>
      <c r="L8" s="5" t="s">
        <v>87</v>
      </c>
    </row>
    <row r="9" spans="1:12" ht="40" customHeight="1" x14ac:dyDescent="0.35">
      <c r="B9" s="25"/>
      <c r="C9" s="14" t="s">
        <v>203</v>
      </c>
      <c r="D9" s="1" t="s">
        <v>67</v>
      </c>
      <c r="E9" s="23">
        <v>1</v>
      </c>
      <c r="F9">
        <v>5</v>
      </c>
      <c r="G9">
        <f>F9*E9</f>
        <v>5</v>
      </c>
      <c r="H9" s="5" t="s">
        <v>0</v>
      </c>
      <c r="I9" s="23" t="e" vm="8">
        <v>#VALUE!</v>
      </c>
      <c r="J9" s="1" t="s">
        <v>7</v>
      </c>
      <c r="K9">
        <v>13</v>
      </c>
    </row>
    <row r="10" spans="1:12" ht="40" customHeight="1" x14ac:dyDescent="0.35">
      <c r="B10" s="27"/>
      <c r="C10" s="73" t="s">
        <v>204</v>
      </c>
      <c r="D10" s="1" t="s">
        <v>198</v>
      </c>
      <c r="E10" s="23">
        <v>1</v>
      </c>
      <c r="F10">
        <v>0</v>
      </c>
      <c r="G10">
        <f>F10*E10</f>
        <v>0</v>
      </c>
      <c r="H10" s="5" t="s">
        <v>0</v>
      </c>
      <c r="I10" s="23"/>
      <c r="J10" s="1"/>
      <c r="L10" s="1" t="s">
        <v>199</v>
      </c>
    </row>
    <row r="11" spans="1:12" ht="40" customHeight="1" x14ac:dyDescent="0.35">
      <c r="B11" s="27"/>
      <c r="C11" t="s">
        <v>184</v>
      </c>
      <c r="D11" s="1" t="s">
        <v>66</v>
      </c>
      <c r="E11" s="23">
        <v>1</v>
      </c>
      <c r="F11">
        <v>1.99</v>
      </c>
      <c r="G11">
        <f>F11*E11</f>
        <v>1.99</v>
      </c>
      <c r="H11" s="5" t="s">
        <v>37</v>
      </c>
      <c r="I11" s="23" t="e" vm="9">
        <v>#VALUE!</v>
      </c>
      <c r="J11" s="1" t="s">
        <v>48</v>
      </c>
      <c r="K11">
        <v>47</v>
      </c>
      <c r="L11" s="1" t="s">
        <v>165</v>
      </c>
    </row>
    <row r="12" spans="1:12" ht="40" customHeight="1" x14ac:dyDescent="0.35">
      <c r="B12" s="27"/>
      <c r="C12" t="s">
        <v>185</v>
      </c>
      <c r="D12" t="s">
        <v>17</v>
      </c>
      <c r="E12" s="23">
        <v>1</v>
      </c>
      <c r="F12">
        <v>0.85</v>
      </c>
      <c r="G12">
        <f>F12*E12</f>
        <v>0.85</v>
      </c>
      <c r="H12" s="5" t="s">
        <v>16</v>
      </c>
      <c r="I12" s="23" t="e" vm="10">
        <v>#VALUE!</v>
      </c>
      <c r="J12" s="1" t="s">
        <v>86</v>
      </c>
      <c r="K12" s="8">
        <v>0.25</v>
      </c>
      <c r="L12" s="1" t="s">
        <v>43</v>
      </c>
    </row>
    <row r="13" spans="1:12" ht="40" customHeight="1" x14ac:dyDescent="0.35">
      <c r="B13" s="27"/>
      <c r="C13" t="s">
        <v>205</v>
      </c>
      <c r="D13" s="1" t="s">
        <v>68</v>
      </c>
      <c r="E13" s="23">
        <v>5</v>
      </c>
      <c r="F13">
        <v>1.62</v>
      </c>
      <c r="G13">
        <f>F13*E13</f>
        <v>8.1000000000000014</v>
      </c>
      <c r="H13" s="5" t="s">
        <v>38</v>
      </c>
      <c r="I13" s="23" t="e" vm="11">
        <v>#VALUE!</v>
      </c>
      <c r="J13" s="1" t="s">
        <v>42</v>
      </c>
      <c r="K13" s="8">
        <f>4*0.24</f>
        <v>0.96</v>
      </c>
      <c r="L13" s="1"/>
    </row>
    <row r="14" spans="1:12" ht="40" customHeight="1" x14ac:dyDescent="0.35">
      <c r="B14" s="27"/>
      <c r="C14" t="s">
        <v>206</v>
      </c>
      <c r="D14" s="1" t="s">
        <v>50</v>
      </c>
      <c r="E14" s="23">
        <v>6</v>
      </c>
      <c r="F14">
        <v>0.09</v>
      </c>
      <c r="G14">
        <f>F14*E14</f>
        <v>0.54</v>
      </c>
      <c r="H14" s="5" t="s">
        <v>35</v>
      </c>
      <c r="I14" s="23" t="e" vm="12">
        <v>#VALUE!</v>
      </c>
      <c r="J14" t="s">
        <v>24</v>
      </c>
      <c r="K14" s="8">
        <f>E14*0.17</f>
        <v>1.02</v>
      </c>
      <c r="L14" s="1"/>
    </row>
    <row r="15" spans="1:12" ht="40" customHeight="1" x14ac:dyDescent="0.35">
      <c r="B15" s="27"/>
      <c r="C15" s="14" t="s">
        <v>207</v>
      </c>
      <c r="D15" s="1" t="s">
        <v>51</v>
      </c>
      <c r="E15" s="23">
        <v>8</v>
      </c>
      <c r="F15">
        <v>0.18</v>
      </c>
      <c r="G15">
        <f>F15*E15</f>
        <v>1.44</v>
      </c>
      <c r="H15" s="5" t="s">
        <v>49</v>
      </c>
      <c r="I15" s="23" t="e" vm="13">
        <v>#VALUE!</v>
      </c>
      <c r="J15" s="1" t="s">
        <v>166</v>
      </c>
      <c r="K15" s="8">
        <f>E15*0.31</f>
        <v>2.48</v>
      </c>
      <c r="L15" s="1"/>
    </row>
    <row r="16" spans="1:12" ht="40" customHeight="1" x14ac:dyDescent="0.35">
      <c r="B16" s="27"/>
      <c r="C16" t="s">
        <v>208</v>
      </c>
      <c r="D16" s="1" t="s">
        <v>219</v>
      </c>
      <c r="E16" s="23" t="s">
        <v>157</v>
      </c>
      <c r="F16">
        <v>2.4</v>
      </c>
      <c r="G16">
        <f>F16/500*150</f>
        <v>0.72</v>
      </c>
      <c r="H16" s="5" t="s">
        <v>135</v>
      </c>
      <c r="I16" s="23" t="e" vm="14">
        <v>#VALUE!</v>
      </c>
      <c r="J16" s="19" t="s">
        <v>212</v>
      </c>
      <c r="K16">
        <f>0.099/500*150</f>
        <v>2.9700000000000001E-2</v>
      </c>
      <c r="L16" s="1" t="s">
        <v>167</v>
      </c>
    </row>
    <row r="17" spans="1:173" ht="40" customHeight="1" x14ac:dyDescent="0.35">
      <c r="A17" s="28"/>
      <c r="B17" s="59" t="s">
        <v>14</v>
      </c>
      <c r="C17" t="s">
        <v>209</v>
      </c>
      <c r="D17" s="1" t="s">
        <v>218</v>
      </c>
      <c r="E17" s="26">
        <v>4</v>
      </c>
      <c r="F17">
        <v>0.95</v>
      </c>
      <c r="G17">
        <f>F17/10</f>
        <v>9.5000000000000001E-2</v>
      </c>
      <c r="H17" s="2" t="s">
        <v>168</v>
      </c>
      <c r="I17" s="70" t="e" vm="15">
        <v>#VALUE!</v>
      </c>
      <c r="J17" s="1" t="s">
        <v>75</v>
      </c>
      <c r="K17">
        <f>0.05*18</f>
        <v>0.9</v>
      </c>
      <c r="L17" s="1" t="s">
        <v>169</v>
      </c>
    </row>
    <row r="18" spans="1:173" ht="40" customHeight="1" x14ac:dyDescent="0.35">
      <c r="A18" s="28"/>
      <c r="B18" s="60"/>
      <c r="C18" t="s">
        <v>210</v>
      </c>
      <c r="D18" s="1" t="s">
        <v>187</v>
      </c>
      <c r="E18" s="26">
        <v>2</v>
      </c>
      <c r="F18">
        <v>0.21</v>
      </c>
      <c r="G18">
        <f>F18*E18</f>
        <v>0.42</v>
      </c>
      <c r="H18" s="5" t="s">
        <v>189</v>
      </c>
      <c r="I18" s="23" t="e" vm="16">
        <v>#VALUE!</v>
      </c>
      <c r="J18" s="1" t="s">
        <v>188</v>
      </c>
      <c r="K18" s="20"/>
      <c r="L18" s="1"/>
    </row>
    <row r="19" spans="1:173" ht="40" customHeight="1" x14ac:dyDescent="0.35">
      <c r="B19" s="60"/>
      <c r="C19" t="s">
        <v>211</v>
      </c>
      <c r="D19" s="1" t="s">
        <v>217</v>
      </c>
      <c r="E19" s="26">
        <v>2</v>
      </c>
      <c r="F19">
        <v>4.28</v>
      </c>
      <c r="G19">
        <f>F19/50*E19</f>
        <v>0.17120000000000002</v>
      </c>
      <c r="H19" s="5" t="s">
        <v>192</v>
      </c>
      <c r="I19" s="23" t="e" vm="17">
        <v>#VALUE!</v>
      </c>
      <c r="J19" s="1" t="s">
        <v>193</v>
      </c>
      <c r="K19" s="20"/>
      <c r="L19" s="1" t="s">
        <v>191</v>
      </c>
    </row>
    <row r="20" spans="1:173" s="16" customFormat="1" ht="40" customHeight="1" x14ac:dyDescent="0.35">
      <c r="A20"/>
      <c r="B20" s="61" t="s">
        <v>58</v>
      </c>
      <c r="C20" t="s">
        <v>186</v>
      </c>
      <c r="D20" t="s">
        <v>60</v>
      </c>
      <c r="E20" s="23" t="s">
        <v>54</v>
      </c>
      <c r="F20">
        <v>20.95</v>
      </c>
      <c r="G20" s="69">
        <f>F20/850*50</f>
        <v>1.2323529411764707</v>
      </c>
      <c r="H20" s="24" t="s">
        <v>171</v>
      </c>
      <c r="I20" s="23" t="e" vm="18">
        <v>#VALUE!</v>
      </c>
      <c r="J20" s="1" t="s">
        <v>61</v>
      </c>
      <c r="K20"/>
      <c r="L20" t="s">
        <v>172</v>
      </c>
      <c r="M20"/>
      <c r="N20" s="1" t="s">
        <v>179</v>
      </c>
      <c r="O20" s="1" t="e" vm="19">
        <v>#VALUE!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</row>
    <row r="21" spans="1:173" ht="40" customHeight="1" thickBot="1" x14ac:dyDescent="0.4">
      <c r="A21" s="10"/>
      <c r="B21" s="62"/>
      <c r="C21" s="41" t="s">
        <v>216</v>
      </c>
      <c r="D21" s="10" t="s">
        <v>36</v>
      </c>
      <c r="E21" s="42" t="s">
        <v>173</v>
      </c>
      <c r="F21">
        <v>46.95</v>
      </c>
      <c r="G21" s="69">
        <f>F21/850*350</f>
        <v>19.33235294117647</v>
      </c>
      <c r="H21" s="68" t="s">
        <v>170</v>
      </c>
      <c r="I21" s="71" t="e" vm="20">
        <v>#VALUE!</v>
      </c>
      <c r="J21" s="11" t="s">
        <v>62</v>
      </c>
      <c r="K21" s="10"/>
      <c r="L21" t="s">
        <v>172</v>
      </c>
      <c r="N21" s="15" t="s">
        <v>178</v>
      </c>
      <c r="O21" s="1" t="e" vm="19">
        <v>#VALUE!</v>
      </c>
    </row>
    <row r="22" spans="1:173" ht="40" customHeight="1" thickTop="1" x14ac:dyDescent="0.35">
      <c r="B22" s="3"/>
      <c r="G22" s="69">
        <f>SUM(G2:G21)</f>
        <v>71.78090588235294</v>
      </c>
    </row>
    <row r="23" spans="1:173" ht="40" customHeight="1" thickBot="1" x14ac:dyDescent="0.4">
      <c r="A23" s="10"/>
      <c r="B23" s="9"/>
      <c r="C23" s="41"/>
      <c r="D23" s="10"/>
      <c r="E23" s="43"/>
      <c r="H23" s="10" t="s">
        <v>73</v>
      </c>
      <c r="I23" s="10"/>
      <c r="J23" s="10"/>
      <c r="K23" s="10"/>
      <c r="L23" s="1"/>
    </row>
    <row r="24" spans="1:173" s="16" customFormat="1" ht="40" customHeight="1" thickTop="1" x14ac:dyDescent="0.35">
      <c r="A24" s="29" t="s">
        <v>11</v>
      </c>
      <c r="B24" s="54" t="s">
        <v>9</v>
      </c>
      <c r="C24" t="s">
        <v>119</v>
      </c>
      <c r="D24" s="1" t="s">
        <v>96</v>
      </c>
      <c r="E24" s="26">
        <v>1</v>
      </c>
      <c r="F24" t="s">
        <v>83</v>
      </c>
      <c r="G24"/>
      <c r="H24" s="1"/>
      <c r="I24" s="6" t="e" vm="21">
        <v>#VALUE!</v>
      </c>
      <c r="J24" s="19" t="s">
        <v>159</v>
      </c>
      <c r="K24">
        <v>11.62</v>
      </c>
      <c r="L24" s="1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</row>
    <row r="25" spans="1:173" ht="40" customHeight="1" x14ac:dyDescent="0.35">
      <c r="A25" s="29"/>
      <c r="B25" s="54"/>
      <c r="C25" t="s">
        <v>120</v>
      </c>
      <c r="D25" s="1" t="s">
        <v>158</v>
      </c>
      <c r="E25" s="26">
        <v>1</v>
      </c>
      <c r="H25" s="1"/>
      <c r="I25" s="6" t="e" vm="22">
        <v>#VALUE!</v>
      </c>
      <c r="J25" s="19" t="s">
        <v>159</v>
      </c>
    </row>
    <row r="26" spans="1:173" ht="40" customHeight="1" x14ac:dyDescent="0.35">
      <c r="B26" s="54"/>
      <c r="C26" s="14" t="s">
        <v>121</v>
      </c>
      <c r="D26" s="1" t="s">
        <v>12</v>
      </c>
      <c r="E26" s="23">
        <v>1</v>
      </c>
      <c r="H26" t="s">
        <v>47</v>
      </c>
      <c r="I26" t="e" vm="23">
        <v>#VALUE!</v>
      </c>
      <c r="J26" s="1" t="s">
        <v>160</v>
      </c>
      <c r="K26">
        <f>2.92</f>
        <v>2.92</v>
      </c>
      <c r="L26" s="1"/>
    </row>
    <row r="27" spans="1:173" ht="40" customHeight="1" x14ac:dyDescent="0.35">
      <c r="B27" s="54"/>
      <c r="C27" s="14" t="s">
        <v>122</v>
      </c>
      <c r="D27" s="1" t="s">
        <v>12</v>
      </c>
      <c r="E27" s="23">
        <v>1</v>
      </c>
      <c r="H27" t="s">
        <v>46</v>
      </c>
      <c r="I27" t="e" vm="23">
        <v>#VALUE!</v>
      </c>
      <c r="J27" s="1" t="s">
        <v>160</v>
      </c>
      <c r="K27">
        <f>2.92</f>
        <v>2.92</v>
      </c>
    </row>
    <row r="28" spans="1:173" ht="40" customHeight="1" x14ac:dyDescent="0.35">
      <c r="B28" s="54"/>
      <c r="C28" s="1" t="s">
        <v>123</v>
      </c>
      <c r="D28" s="1" t="s">
        <v>161</v>
      </c>
      <c r="E28" s="26">
        <v>1</v>
      </c>
      <c r="H28" s="1" t="s">
        <v>44</v>
      </c>
      <c r="I28" s="6" t="s">
        <v>18</v>
      </c>
      <c r="J28" s="1" t="s">
        <v>34</v>
      </c>
      <c r="K28" s="1">
        <v>8</v>
      </c>
      <c r="L28" s="1" t="s">
        <v>98</v>
      </c>
    </row>
    <row r="29" spans="1:173" ht="40" customHeight="1" x14ac:dyDescent="0.35">
      <c r="B29" s="54"/>
      <c r="C29" s="1" t="s">
        <v>124</v>
      </c>
      <c r="D29" s="1" t="s">
        <v>161</v>
      </c>
      <c r="E29" s="26">
        <v>1</v>
      </c>
      <c r="H29" s="1" t="s">
        <v>44</v>
      </c>
      <c r="I29" s="6" t="s">
        <v>18</v>
      </c>
      <c r="J29" s="1" t="s">
        <v>34</v>
      </c>
      <c r="K29" s="1">
        <v>10</v>
      </c>
      <c r="L29" s="1" t="s">
        <v>98</v>
      </c>
    </row>
    <row r="30" spans="1:173" ht="40" customHeight="1" x14ac:dyDescent="0.35">
      <c r="B30" s="54"/>
      <c r="C30" t="s">
        <v>125</v>
      </c>
      <c r="D30" s="1" t="s">
        <v>162</v>
      </c>
      <c r="E30" s="26">
        <v>1</v>
      </c>
      <c r="H30" s="39" t="s">
        <v>45</v>
      </c>
      <c r="I30" s="6" t="s">
        <v>18</v>
      </c>
      <c r="J30" t="s">
        <v>34</v>
      </c>
      <c r="K30">
        <v>49</v>
      </c>
      <c r="L30" s="1" t="s">
        <v>98</v>
      </c>
    </row>
    <row r="31" spans="1:173" ht="40" customHeight="1" x14ac:dyDescent="0.35">
      <c r="B31" s="55" t="s">
        <v>14</v>
      </c>
      <c r="C31" s="21" t="s">
        <v>128</v>
      </c>
      <c r="D31" s="16" t="s">
        <v>163</v>
      </c>
      <c r="E31" s="38">
        <v>2</v>
      </c>
      <c r="F31" t="s">
        <v>84</v>
      </c>
      <c r="H31" t="s">
        <v>45</v>
      </c>
      <c r="I31" s="17" t="e" vm="24">
        <v>#VALUE!</v>
      </c>
      <c r="J31" s="16" t="s">
        <v>34</v>
      </c>
      <c r="K31" s="16">
        <v>75.599999999999994</v>
      </c>
    </row>
    <row r="32" spans="1:173" ht="40" customHeight="1" x14ac:dyDescent="0.35">
      <c r="B32" s="56"/>
      <c r="C32" s="1" t="s">
        <v>126</v>
      </c>
      <c r="D32" s="1" t="s">
        <v>163</v>
      </c>
      <c r="E32" s="26">
        <v>2</v>
      </c>
      <c r="H32" t="s">
        <v>45</v>
      </c>
      <c r="I32" s="6" t="e" vm="25">
        <v>#VALUE!</v>
      </c>
      <c r="J32" t="s">
        <v>34</v>
      </c>
      <c r="K32">
        <v>74.64</v>
      </c>
    </row>
    <row r="33" spans="1:12" ht="40" customHeight="1" x14ac:dyDescent="0.35">
      <c r="B33" s="56"/>
      <c r="C33" s="1" t="s">
        <v>180</v>
      </c>
      <c r="D33" s="1"/>
      <c r="I33" s="6"/>
    </row>
    <row r="34" spans="1:12" ht="40" customHeight="1" x14ac:dyDescent="0.35">
      <c r="B34" s="56"/>
      <c r="C34" s="1" t="s">
        <v>181</v>
      </c>
      <c r="D34" s="1"/>
      <c r="I34" s="6"/>
    </row>
    <row r="35" spans="1:12" ht="40" customHeight="1" x14ac:dyDescent="0.35">
      <c r="B35" s="56"/>
      <c r="C35" s="1"/>
      <c r="D35" s="1"/>
      <c r="E35" s="26"/>
      <c r="I35" s="6"/>
    </row>
    <row r="36" spans="1:12" ht="40" customHeight="1" thickBot="1" x14ac:dyDescent="0.4">
      <c r="A36" s="10"/>
      <c r="B36" s="57" t="s">
        <v>15</v>
      </c>
      <c r="C36" s="44" t="s">
        <v>127</v>
      </c>
      <c r="D36" s="13" t="s">
        <v>164</v>
      </c>
      <c r="E36" s="46">
        <v>2</v>
      </c>
      <c r="H36" s="10" t="s">
        <v>45</v>
      </c>
      <c r="I36" s="45" t="e" vm="26">
        <v>#VALUE!</v>
      </c>
      <c r="J36" s="13" t="s">
        <v>34</v>
      </c>
      <c r="K36" s="13">
        <f>E36*6.3</f>
        <v>12.6</v>
      </c>
      <c r="L36" s="10"/>
    </row>
    <row r="37" spans="1:12" ht="40" customHeight="1" thickTop="1" x14ac:dyDescent="0.35">
      <c r="B37" s="7"/>
      <c r="C37" s="1"/>
      <c r="H37" s="1"/>
      <c r="I37" s="6"/>
      <c r="K37">
        <f>SUM(K31:K35)</f>
        <v>150.24</v>
      </c>
      <c r="L37" t="s">
        <v>14</v>
      </c>
    </row>
    <row r="38" spans="1:12" ht="40" customHeight="1" x14ac:dyDescent="0.35">
      <c r="A38" s="28"/>
      <c r="B38" s="3"/>
      <c r="C38" s="1"/>
      <c r="E38" s="26"/>
      <c r="H38" s="1"/>
      <c r="I38" s="6"/>
      <c r="L38" t="s">
        <v>130</v>
      </c>
    </row>
    <row r="39" spans="1:12" ht="40" customHeight="1" x14ac:dyDescent="0.35">
      <c r="K39" t="e">
        <f>SUM(K15,K14,#REF!,K12,#REF!,K11,K9,K2,K26,K28,K29,K30)</f>
        <v>#REF!</v>
      </c>
      <c r="L39" t="s">
        <v>129</v>
      </c>
    </row>
    <row r="40" spans="1:12" ht="40" customHeight="1" x14ac:dyDescent="0.35">
      <c r="K40">
        <f>SUM(K2:K36)</f>
        <v>342.16970000000003</v>
      </c>
      <c r="L40" t="s">
        <v>131</v>
      </c>
    </row>
  </sheetData>
  <hyperlinks>
    <hyperlink ref="H12" r:id="rId1" xr:uid="{8DFC169F-6ABF-4439-BB5E-4EB18B3BCE51}"/>
    <hyperlink ref="H9" r:id="rId2" xr:uid="{1809E174-CBDD-47B1-A582-60605CEC87C4}"/>
    <hyperlink ref="H14" r:id="rId3" xr:uid="{B0629BDE-45CB-47BA-8797-83E38E8FAC9C}"/>
    <hyperlink ref="H15" r:id="rId4" xr:uid="{1B4BF37A-BBEC-4B8F-96C3-89F49DE04C1B}"/>
    <hyperlink ref="H2" r:id="rId5" xr:uid="{23315692-F101-465C-8D80-5289DDDDE9BB}"/>
    <hyperlink ref="H7" r:id="rId6" xr:uid="{F9EDDB9A-AD93-46A7-A59B-9D8BC0DA7744}"/>
    <hyperlink ref="H8" r:id="rId7" display="https://www.reichelt.com/nl/nl/shop/product/jst_-_busbehuizing_1x3-polig_-_ph-185042?PROVID=2809&amp;gad_source=1&amp;gad_campaignid=22421704484&amp;gbraid=0AAAAADwnxtYxgsW3mnQB9VMFUYiLh3bRU&amp;gclid=CjwKCAjwuIbBBhBvEiwAsNypvdJGhECjHO7EtigVw6YTYt_kyzae0BOcjiik297oN2CyiWK7ymfVMxoC-eUQAvD_BwE" xr:uid="{BFE6DDB2-9892-4E99-AEE7-B0230496ED5A}"/>
    <hyperlink ref="H11" r:id="rId8" xr:uid="{00B92D7F-8E4B-49DC-9FDC-51594E0E530F}"/>
    <hyperlink ref="H13" r:id="rId9" xr:uid="{E0C9D6CA-C8B2-447F-905C-FD2801FCC949}"/>
    <hyperlink ref="H17" r:id="rId10" display="https://www.123inkt.nl/123inkt-paperclips-rond-33-mm-100-stuks-23130056005-2386-33-K-10030C-i31888.html?utm_source=google&amp;utm_medium=cpc&amp;utm_campaign=PPC-SEA-NL-Google-Shopping-B-Office_Deskacc&amp;gad_source=1&amp;gad_campaignid=22170947451&amp;gbraid=0AAAAAC0_yBH-Zk0zbxJDUiph86-V7kd5U&amp;gclid=Cj0KCQjw0JnRBhDJARIsALobnXayRNrElc9-aVVEni5R1LyCd3ha_Ur8vfLC_Pp8VLFMVEdu_v_t-eoaAu-OEALw_wcB" xr:uid="{48F7B48B-9EBA-4FFC-B3DE-FA9212B2972A}"/>
    <hyperlink ref="H21" r:id="rId11" xr:uid="{0437D2CE-ADC5-49A1-8A91-C74E5AC45D9E}"/>
    <hyperlink ref="H20" r:id="rId12" xr:uid="{0AF459F0-B42F-439B-B106-FEC729871F18}"/>
    <hyperlink ref="H6" r:id="rId13" xr:uid="{197893D3-3F5D-410B-A2A1-AFA42FC94B69}"/>
    <hyperlink ref="L8" r:id="rId14" display="https://www.123-3d.nl/123-3D-Kabel-connector-JST-XHP-2-mannelijk-10-stuks-123-3D-huismerk-i8204-t135134.html?gad_source=1&amp;gad_campaignid=21230405716&amp;gbraid=0AAAAAC164-Q_7YK7_HVMjHJ9IZ-9ZH6G9&amp;gclid=CjwKCAjwuIbBBhBvEiwAsNypvcJDaHwtr3VSEGJ_cDbsekawH1epOJzFhDdUGTGQ9O9B-ob0TDbg5BoCulIQAvD_BwE" xr:uid="{8FED07EA-E97D-4BC8-8815-E35A2E05EECD}"/>
    <hyperlink ref="H4" r:id="rId15" xr:uid="{BE754DC3-7376-4B60-BA9D-82AE124F69EF}"/>
    <hyperlink ref="H10" r:id="rId16" xr:uid="{BBE3313D-B29D-4F84-ACF4-4BA6E57F3CC7}"/>
  </hyperlinks>
  <pageMargins left="0.7" right="0.7" top="0.78740157499999996" bottom="0.78740157499999996" header="0.3" footer="0.3"/>
  <pageSetup paperSize="9" orientation="portrait" horizontalDpi="1200" verticalDpi="1200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4C06-2A03-4CF2-B527-6B6AE07DC56B}">
  <dimension ref="A1:J24"/>
  <sheetViews>
    <sheetView tabSelected="1" zoomScale="85" zoomScaleNormal="85" workbookViewId="0">
      <selection activeCell="L5" sqref="L5"/>
    </sheetView>
  </sheetViews>
  <sheetFormatPr defaultRowHeight="14.5" x14ac:dyDescent="0.35"/>
  <cols>
    <col min="1" max="1" width="26.26953125" bestFit="1" customWidth="1"/>
    <col min="2" max="2" width="40.7265625" customWidth="1"/>
    <col min="3" max="4" width="7.08984375" bestFit="1" customWidth="1"/>
    <col min="5" max="5" width="12.1796875" bestFit="1" customWidth="1"/>
    <col min="6" max="6" width="23.81640625" customWidth="1"/>
    <col min="9" max="9" width="22.08984375" bestFit="1" customWidth="1"/>
  </cols>
  <sheetData>
    <row r="1" spans="1:10" ht="15" thickBot="1" x14ac:dyDescent="0.4">
      <c r="A1" s="81" t="s">
        <v>220</v>
      </c>
      <c r="B1" s="50" t="s">
        <v>2</v>
      </c>
      <c r="C1" s="51" t="s">
        <v>215</v>
      </c>
      <c r="D1" s="47" t="s">
        <v>214</v>
      </c>
      <c r="E1" s="47" t="s">
        <v>213</v>
      </c>
      <c r="F1" s="52" t="s">
        <v>3</v>
      </c>
      <c r="G1" s="50" t="s">
        <v>1</v>
      </c>
      <c r="H1" s="80" t="s">
        <v>279</v>
      </c>
      <c r="I1" s="80" t="s">
        <v>231</v>
      </c>
      <c r="J1" s="80" t="s">
        <v>232</v>
      </c>
    </row>
    <row r="2" spans="1:10" ht="40" customHeight="1" x14ac:dyDescent="0.35">
      <c r="A2" s="72" t="str">
        <f>TEXT(ROW()+99,"000")&amp;"_"&amp;I2</f>
        <v>101_PCB</v>
      </c>
      <c r="B2" s="1" t="s">
        <v>221</v>
      </c>
      <c r="C2" s="23">
        <v>1</v>
      </c>
      <c r="D2">
        <v>21</v>
      </c>
      <c r="E2">
        <f>D2*C2</f>
        <v>21</v>
      </c>
      <c r="F2" s="2" t="s">
        <v>74</v>
      </c>
      <c r="G2" s="23" t="e" vm="1">
        <v>#VALUE!</v>
      </c>
      <c r="H2">
        <v>21.46</v>
      </c>
      <c r="I2" t="s">
        <v>233</v>
      </c>
      <c r="J2" t="str">
        <f>TEXT(ROW()+99,"000")</f>
        <v>101</v>
      </c>
    </row>
    <row r="3" spans="1:10" ht="40" customHeight="1" x14ac:dyDescent="0.35">
      <c r="A3" s="14" t="str">
        <f>TEXT(ROW()+99,"000")&amp;"_"&amp;I3</f>
        <v>102_harge_discharge_module</v>
      </c>
      <c r="B3" s="1" t="s">
        <v>177</v>
      </c>
      <c r="C3" s="23">
        <v>1</v>
      </c>
      <c r="D3">
        <v>4.04</v>
      </c>
      <c r="E3">
        <f>D3*C3</f>
        <v>4.04</v>
      </c>
      <c r="F3" s="5" t="s">
        <v>176</v>
      </c>
      <c r="G3" s="23" t="e" vm="2">
        <v>#VALUE!</v>
      </c>
      <c r="H3" t="s">
        <v>285</v>
      </c>
      <c r="I3" t="s">
        <v>234</v>
      </c>
      <c r="J3" t="str">
        <f>TEXT(ROW()+99,"000")</f>
        <v>102</v>
      </c>
    </row>
    <row r="4" spans="1:10" ht="40" customHeight="1" x14ac:dyDescent="0.35">
      <c r="A4" s="72" t="str">
        <f t="shared" ref="A4:A23" si="0">TEXT(ROW()+99,"000")&amp;"_"&amp;I4</f>
        <v>103_Switch</v>
      </c>
      <c r="B4" s="1" t="s">
        <v>194</v>
      </c>
      <c r="C4" s="23">
        <v>1</v>
      </c>
      <c r="D4">
        <v>2.64</v>
      </c>
      <c r="E4">
        <f>D4*C4</f>
        <v>2.64</v>
      </c>
      <c r="F4" s="5" t="s">
        <v>175</v>
      </c>
      <c r="G4" s="23" t="e" vm="3">
        <v>#VALUE!</v>
      </c>
      <c r="H4" t="s">
        <v>285</v>
      </c>
      <c r="I4" t="s">
        <v>235</v>
      </c>
      <c r="J4" t="str">
        <f t="shared" ref="J4:J23" si="1">TEXT(ROW()+99,"000")</f>
        <v>103</v>
      </c>
    </row>
    <row r="5" spans="1:10" ht="40" customHeight="1" x14ac:dyDescent="0.35">
      <c r="A5" s="14" t="str">
        <f t="shared" si="0"/>
        <v>104_Button</v>
      </c>
      <c r="B5" s="1" t="s">
        <v>196</v>
      </c>
      <c r="C5" s="23">
        <v>1</v>
      </c>
      <c r="D5">
        <v>0.31</v>
      </c>
      <c r="E5">
        <f>D5*C5</f>
        <v>0.31</v>
      </c>
      <c r="F5" s="5" t="s">
        <v>195</v>
      </c>
      <c r="G5" s="23" t="e" vm="4">
        <v>#VALUE!</v>
      </c>
      <c r="H5" t="s">
        <v>285</v>
      </c>
      <c r="I5" t="s">
        <v>236</v>
      </c>
      <c r="J5" t="str">
        <f t="shared" si="1"/>
        <v>104</v>
      </c>
    </row>
    <row r="6" spans="1:10" ht="40" customHeight="1" x14ac:dyDescent="0.35">
      <c r="A6" s="72" t="str">
        <f t="shared" si="0"/>
        <v>105_Battery_holder</v>
      </c>
      <c r="B6" s="35" t="s">
        <v>65</v>
      </c>
      <c r="C6" s="23">
        <v>1</v>
      </c>
      <c r="D6">
        <v>3.8</v>
      </c>
      <c r="E6">
        <f>D6*C6</f>
        <v>3.8</v>
      </c>
      <c r="F6" s="5" t="s">
        <v>10</v>
      </c>
      <c r="G6" s="23" t="e" vm="5">
        <v>#VALUE!</v>
      </c>
      <c r="H6">
        <v>8.18</v>
      </c>
      <c r="I6" t="s">
        <v>237</v>
      </c>
      <c r="J6" t="str">
        <f t="shared" si="1"/>
        <v>105</v>
      </c>
    </row>
    <row r="7" spans="1:10" ht="40" customHeight="1" x14ac:dyDescent="0.35">
      <c r="A7" s="14" t="str">
        <f t="shared" si="0"/>
        <v>106_Connector_crimp_contact</v>
      </c>
      <c r="B7" s="1" t="s">
        <v>91</v>
      </c>
      <c r="C7" s="23">
        <v>1</v>
      </c>
      <c r="D7">
        <v>0.03</v>
      </c>
      <c r="E7">
        <f>D7*C7</f>
        <v>0.03</v>
      </c>
      <c r="F7" s="5" t="s">
        <v>88</v>
      </c>
      <c r="G7" s="23" t="e" vm="27">
        <v>#VALUE!</v>
      </c>
      <c r="H7" t="s">
        <v>285</v>
      </c>
      <c r="I7" t="s">
        <v>238</v>
      </c>
      <c r="J7" t="str">
        <f t="shared" si="1"/>
        <v>106</v>
      </c>
    </row>
    <row r="8" spans="1:10" ht="40" customHeight="1" x14ac:dyDescent="0.35">
      <c r="A8" s="72" t="str">
        <f t="shared" si="0"/>
        <v>107_Connector_housing</v>
      </c>
      <c r="B8" s="1" t="s">
        <v>90</v>
      </c>
      <c r="C8" s="23">
        <v>1</v>
      </c>
      <c r="D8">
        <v>7.0000000000000007E-2</v>
      </c>
      <c r="E8">
        <f>D8*C8</f>
        <v>7.0000000000000007E-2</v>
      </c>
      <c r="F8" s="5" t="s">
        <v>89</v>
      </c>
      <c r="G8" s="23" t="e" vm="7">
        <v>#VALUE!</v>
      </c>
      <c r="H8" t="s">
        <v>285</v>
      </c>
      <c r="I8" t="s">
        <v>239</v>
      </c>
      <c r="J8" t="str">
        <f t="shared" si="1"/>
        <v>107</v>
      </c>
    </row>
    <row r="9" spans="1:10" ht="40" customHeight="1" x14ac:dyDescent="0.35">
      <c r="A9" s="14" t="str">
        <f t="shared" si="0"/>
        <v>108_Motor</v>
      </c>
      <c r="B9" s="1" t="s">
        <v>67</v>
      </c>
      <c r="C9" s="23">
        <v>1</v>
      </c>
      <c r="D9">
        <v>5</v>
      </c>
      <c r="E9">
        <f>D9*C9</f>
        <v>5</v>
      </c>
      <c r="F9" s="5" t="s">
        <v>0</v>
      </c>
      <c r="G9" s="23" t="e" vm="8">
        <v>#VALUE!</v>
      </c>
      <c r="H9" t="s">
        <v>285</v>
      </c>
      <c r="I9" t="s">
        <v>240</v>
      </c>
      <c r="J9" t="str">
        <f t="shared" si="1"/>
        <v>108</v>
      </c>
    </row>
    <row r="10" spans="1:10" ht="40" customHeight="1" x14ac:dyDescent="0.35">
      <c r="A10" s="72" t="str">
        <f t="shared" si="0"/>
        <v>109_Servo_arm</v>
      </c>
      <c r="B10" s="1" t="s">
        <v>198</v>
      </c>
      <c r="C10" s="23">
        <v>1</v>
      </c>
      <c r="D10">
        <v>0</v>
      </c>
      <c r="E10">
        <f>D10*C10</f>
        <v>0</v>
      </c>
      <c r="F10" s="5" t="s">
        <v>0</v>
      </c>
      <c r="G10" s="23" t="e" vm="28">
        <v>#VALUE!</v>
      </c>
      <c r="H10" t="s">
        <v>285</v>
      </c>
      <c r="I10" t="s">
        <v>241</v>
      </c>
      <c r="J10" t="str">
        <f t="shared" si="1"/>
        <v>109</v>
      </c>
    </row>
    <row r="11" spans="1:10" ht="40" customHeight="1" x14ac:dyDescent="0.35">
      <c r="A11" s="14" t="str">
        <f t="shared" si="0"/>
        <v>110_Motor_bolt</v>
      </c>
      <c r="B11" s="1" t="s">
        <v>284</v>
      </c>
      <c r="C11" s="23">
        <v>1</v>
      </c>
      <c r="D11">
        <v>0</v>
      </c>
      <c r="E11">
        <f>D11*C11</f>
        <v>0</v>
      </c>
      <c r="F11" s="5" t="s">
        <v>0</v>
      </c>
      <c r="G11" s="23"/>
      <c r="H11">
        <v>0.22</v>
      </c>
      <c r="I11" t="s">
        <v>283</v>
      </c>
      <c r="J11" t="str">
        <f t="shared" si="1"/>
        <v>110</v>
      </c>
    </row>
    <row r="12" spans="1:10" ht="40" customHeight="1" x14ac:dyDescent="0.35">
      <c r="A12" s="74" t="str">
        <f t="shared" si="0"/>
        <v>111_Motor_screw</v>
      </c>
      <c r="B12" s="1" t="s">
        <v>226</v>
      </c>
      <c r="C12" s="23">
        <v>1</v>
      </c>
      <c r="D12">
        <v>0</v>
      </c>
      <c r="E12">
        <f>D12*C12</f>
        <v>0</v>
      </c>
      <c r="F12" s="5" t="s">
        <v>0</v>
      </c>
      <c r="G12" s="23"/>
      <c r="H12">
        <v>0.23</v>
      </c>
      <c r="I12" t="s">
        <v>242</v>
      </c>
      <c r="J12" t="str">
        <f t="shared" si="1"/>
        <v>111</v>
      </c>
    </row>
    <row r="13" spans="1:10" ht="40" customHeight="1" x14ac:dyDescent="0.35">
      <c r="A13" s="72" t="str">
        <f t="shared" si="0"/>
        <v>112_Battery</v>
      </c>
      <c r="B13" s="1" t="s">
        <v>66</v>
      </c>
      <c r="C13" s="23">
        <v>1</v>
      </c>
      <c r="D13">
        <v>1.99</v>
      </c>
      <c r="E13">
        <f>D13*C13</f>
        <v>1.99</v>
      </c>
      <c r="F13" s="5" t="s">
        <v>37</v>
      </c>
      <c r="G13" s="23" t="e" vm="9">
        <v>#VALUE!</v>
      </c>
      <c r="H13">
        <v>47.05</v>
      </c>
      <c r="I13" t="s">
        <v>243</v>
      </c>
      <c r="J13" t="str">
        <f t="shared" si="1"/>
        <v>112</v>
      </c>
    </row>
    <row r="14" spans="1:10" ht="40" customHeight="1" x14ac:dyDescent="0.35">
      <c r="A14" s="14" t="str">
        <f t="shared" si="0"/>
        <v>113_Belt</v>
      </c>
      <c r="B14" s="1" t="s">
        <v>290</v>
      </c>
      <c r="C14" s="23">
        <v>1</v>
      </c>
      <c r="D14">
        <v>0.85</v>
      </c>
      <c r="E14">
        <f>D14*C14</f>
        <v>0.85</v>
      </c>
      <c r="F14" s="5" t="s">
        <v>16</v>
      </c>
      <c r="G14" s="23" t="e" vm="10">
        <v>#VALUE!</v>
      </c>
      <c r="H14">
        <v>0.83</v>
      </c>
      <c r="I14" t="s">
        <v>244</v>
      </c>
      <c r="J14" t="str">
        <f t="shared" si="1"/>
        <v>113</v>
      </c>
    </row>
    <row r="15" spans="1:10" ht="40" customHeight="1" x14ac:dyDescent="0.35">
      <c r="A15" s="72" t="str">
        <f t="shared" si="0"/>
        <v>114_Bearings</v>
      </c>
      <c r="B15" s="1" t="s">
        <v>68</v>
      </c>
      <c r="C15" s="23">
        <v>5</v>
      </c>
      <c r="D15">
        <v>1.62</v>
      </c>
      <c r="E15">
        <f>D15*C15</f>
        <v>8.1000000000000014</v>
      </c>
      <c r="F15" s="5" t="s">
        <v>38</v>
      </c>
      <c r="G15" s="23" t="e" vm="11">
        <v>#VALUE!</v>
      </c>
      <c r="H15">
        <f>0.23*C15</f>
        <v>1.1500000000000001</v>
      </c>
      <c r="I15" t="s">
        <v>245</v>
      </c>
      <c r="J15" t="str">
        <f t="shared" si="1"/>
        <v>114</v>
      </c>
    </row>
    <row r="16" spans="1:10" ht="40" customHeight="1" x14ac:dyDescent="0.35">
      <c r="A16" s="14" t="str">
        <f t="shared" si="0"/>
        <v>115_Set_screw</v>
      </c>
      <c r="B16" s="1" t="s">
        <v>50</v>
      </c>
      <c r="C16" s="23">
        <v>6</v>
      </c>
      <c r="D16">
        <v>0.09</v>
      </c>
      <c r="E16">
        <f>D16*C16</f>
        <v>0.54</v>
      </c>
      <c r="F16" s="5" t="s">
        <v>35</v>
      </c>
      <c r="G16" s="23" t="e" vm="12">
        <v>#VALUE!</v>
      </c>
      <c r="H16">
        <f>0.2*C16</f>
        <v>1.2000000000000002</v>
      </c>
      <c r="I16" t="s">
        <v>246</v>
      </c>
      <c r="J16" t="str">
        <f t="shared" si="1"/>
        <v>115</v>
      </c>
    </row>
    <row r="17" spans="1:10" ht="40" customHeight="1" x14ac:dyDescent="0.35">
      <c r="A17" s="72" t="str">
        <f t="shared" si="0"/>
        <v>116_Nuts</v>
      </c>
      <c r="B17" s="1" t="s">
        <v>51</v>
      </c>
      <c r="C17" s="23">
        <v>8</v>
      </c>
      <c r="D17">
        <v>0.18</v>
      </c>
      <c r="E17">
        <f>D17*C17</f>
        <v>1.44</v>
      </c>
      <c r="F17" s="5" t="s">
        <v>49</v>
      </c>
      <c r="G17" s="23" t="e" vm="13">
        <v>#VALUE!</v>
      </c>
      <c r="H17">
        <f>0.32*C17</f>
        <v>2.56</v>
      </c>
      <c r="I17" t="s">
        <v>247</v>
      </c>
      <c r="J17" t="str">
        <f t="shared" si="1"/>
        <v>116</v>
      </c>
    </row>
    <row r="18" spans="1:10" ht="40" customHeight="1" x14ac:dyDescent="0.35">
      <c r="A18" s="14" t="str">
        <f t="shared" si="0"/>
        <v>117_Axis</v>
      </c>
      <c r="B18" s="1" t="s">
        <v>219</v>
      </c>
      <c r="C18" s="23" t="s">
        <v>157</v>
      </c>
      <c r="D18">
        <v>2.4</v>
      </c>
      <c r="E18">
        <f>D18/500*150</f>
        <v>0.72</v>
      </c>
      <c r="F18" s="5" t="s">
        <v>135</v>
      </c>
      <c r="G18" s="23" t="e" vm="14">
        <v>#VALUE!</v>
      </c>
      <c r="H18">
        <v>15</v>
      </c>
      <c r="I18" t="s">
        <v>248</v>
      </c>
      <c r="J18" t="str">
        <f t="shared" si="1"/>
        <v>117</v>
      </c>
    </row>
    <row r="19" spans="1:10" ht="40" customHeight="1" x14ac:dyDescent="0.35">
      <c r="A19" s="72" t="str">
        <f t="shared" si="0"/>
        <v>118_Paperclips</v>
      </c>
      <c r="B19" s="1" t="s">
        <v>282</v>
      </c>
      <c r="C19" s="26">
        <v>4</v>
      </c>
      <c r="D19">
        <v>0.95</v>
      </c>
      <c r="E19">
        <f>D19/10</f>
        <v>9.5000000000000001E-2</v>
      </c>
      <c r="F19" s="2" t="s">
        <v>168</v>
      </c>
      <c r="G19" s="70" t="e" vm="15">
        <v>#VALUE!</v>
      </c>
      <c r="I19" t="s">
        <v>281</v>
      </c>
      <c r="J19" t="str">
        <f t="shared" si="1"/>
        <v>118</v>
      </c>
    </row>
    <row r="20" spans="1:10" ht="40" customHeight="1" x14ac:dyDescent="0.35">
      <c r="A20" s="14" t="str">
        <f t="shared" si="0"/>
        <v>119_Bolts</v>
      </c>
      <c r="B20" s="1" t="s">
        <v>187</v>
      </c>
      <c r="C20" s="26">
        <v>2</v>
      </c>
      <c r="D20">
        <v>0.21</v>
      </c>
      <c r="E20">
        <f>D20*C20</f>
        <v>0.42</v>
      </c>
      <c r="F20" s="5" t="s">
        <v>189</v>
      </c>
      <c r="G20" s="23" t="e" vm="16">
        <v>#VALUE!</v>
      </c>
      <c r="H20">
        <v>0.69</v>
      </c>
      <c r="I20" t="s">
        <v>250</v>
      </c>
      <c r="J20" t="str">
        <f t="shared" si="1"/>
        <v>119</v>
      </c>
    </row>
    <row r="21" spans="1:10" ht="40" customHeight="1" x14ac:dyDescent="0.35">
      <c r="A21" s="72" t="str">
        <f t="shared" si="0"/>
        <v>120_Washers</v>
      </c>
      <c r="B21" s="1" t="s">
        <v>217</v>
      </c>
      <c r="C21" s="26">
        <v>2</v>
      </c>
      <c r="D21">
        <v>4.28</v>
      </c>
      <c r="E21">
        <f>D21/50*C21</f>
        <v>0.17120000000000002</v>
      </c>
      <c r="F21" s="5" t="s">
        <v>192</v>
      </c>
      <c r="G21" s="23" t="e" vm="17">
        <v>#VALUE!</v>
      </c>
      <c r="H21">
        <f>5.12*C21</f>
        <v>10.24</v>
      </c>
      <c r="I21" t="s">
        <v>190</v>
      </c>
      <c r="J21" t="str">
        <f t="shared" si="1"/>
        <v>120</v>
      </c>
    </row>
    <row r="22" spans="1:10" ht="40" customHeight="1" x14ac:dyDescent="0.35">
      <c r="A22" s="14" t="str">
        <f t="shared" si="0"/>
        <v>121_PLA_filament</v>
      </c>
      <c r="B22" t="s">
        <v>225</v>
      </c>
      <c r="C22" s="23" t="s">
        <v>54</v>
      </c>
      <c r="D22">
        <v>20.95</v>
      </c>
      <c r="E22" s="69">
        <f>D22/850*50</f>
        <v>1.2323529411764707</v>
      </c>
      <c r="F22" s="24" t="s">
        <v>224</v>
      </c>
      <c r="G22" t="e" vm="29">
        <v>#VALUE!</v>
      </c>
      <c r="H22">
        <v>850</v>
      </c>
      <c r="I22" t="s">
        <v>251</v>
      </c>
      <c r="J22" t="str">
        <f t="shared" si="1"/>
        <v>121</v>
      </c>
    </row>
    <row r="23" spans="1:10" ht="40" customHeight="1" x14ac:dyDescent="0.35">
      <c r="A23" s="72" t="str">
        <f t="shared" si="0"/>
        <v>122_TPC_filament</v>
      </c>
      <c r="B23" s="72" t="s">
        <v>222</v>
      </c>
      <c r="C23" s="75" t="s">
        <v>173</v>
      </c>
      <c r="D23" s="72">
        <v>46.95</v>
      </c>
      <c r="E23" s="76">
        <f>D23/850*350</f>
        <v>19.33235294117647</v>
      </c>
      <c r="F23" s="77" t="s">
        <v>223</v>
      </c>
      <c r="G23" t="e" vm="30">
        <v>#VALUE!</v>
      </c>
      <c r="H23">
        <v>850</v>
      </c>
      <c r="I23" t="s">
        <v>252</v>
      </c>
      <c r="J23" t="str">
        <f t="shared" si="1"/>
        <v>122</v>
      </c>
    </row>
    <row r="24" spans="1:10" x14ac:dyDescent="0.35">
      <c r="E24" s="69">
        <f>SUM(E2:E23)</f>
        <v>71.78090588235294</v>
      </c>
      <c r="H24">
        <f>SUM(H21,H20,H17,H16,H15,H14,H13,H12,H11,H8,H7,H6,H2,H5,H4,H3)</f>
        <v>93.81</v>
      </c>
    </row>
  </sheetData>
  <hyperlinks>
    <hyperlink ref="F14" r:id="rId1" xr:uid="{5D501C2A-9395-4871-B7DA-98C159E9E82B}"/>
    <hyperlink ref="F9" r:id="rId2" xr:uid="{381A301A-5EF9-4D95-A42C-B74D5D13152E}"/>
    <hyperlink ref="F16" r:id="rId3" xr:uid="{18A4097E-24BC-45FC-A233-24ED6817F9B3}"/>
    <hyperlink ref="F17" r:id="rId4" xr:uid="{486791F6-297C-449E-BFD6-3C9D7D205ABC}"/>
    <hyperlink ref="F2" r:id="rId5" xr:uid="{CB90EE37-A5E9-4D0E-8FED-7A20C8F0BB84}"/>
    <hyperlink ref="F7" r:id="rId6" xr:uid="{D709D121-1FC5-4A31-BCEC-CD6983E50CA3}"/>
    <hyperlink ref="F8" r:id="rId7" display="https://www.reichelt.com/nl/nl/shop/product/jst_-_busbehuizing_1x3-polig_-_ph-185042?PROVID=2809&amp;gad_source=1&amp;gad_campaignid=22421704484&amp;gbraid=0AAAAADwnxtYxgsW3mnQB9VMFUYiLh3bRU&amp;gclid=CjwKCAjwuIbBBhBvEiwAsNypvdJGhECjHO7EtigVw6YTYt_kyzae0BOcjiik297oN2CyiWK7ymfVMxoC-eUQAvD_BwE" xr:uid="{9E2EB02A-0C90-4AA1-848D-863B8E427A8C}"/>
    <hyperlink ref="F13" r:id="rId8" xr:uid="{F232BC77-56F0-4245-91A2-C6ABEADEAFFA}"/>
    <hyperlink ref="F15" r:id="rId9" xr:uid="{FD7668BD-4836-476E-9930-8540E31D274E}"/>
    <hyperlink ref="F19" r:id="rId10" display="https://www.123inkt.nl/123inkt-paperclips-rond-33-mm-100-stuks-23130056005-2386-33-K-10030C-i31888.html?utm_source=google&amp;utm_medium=cpc&amp;utm_campaign=PPC-SEA-NL-Google-Shopping-B-Office_Deskacc&amp;gad_source=1&amp;gad_campaignid=22170947451&amp;gbraid=0AAAAAC0_yBH-Zk0zbxJDUiph86-V7kd5U&amp;gclid=Cj0KCQjw0JnRBhDJARIsALobnXayRNrElc9-aVVEni5R1LyCd3ha_Ur8vfLC_Pp8VLFMVEdu_v_t-eoaAu-OEALw_wcB" xr:uid="{7685CEF3-0A25-41C9-A9E8-F0BBA40FFEB1}"/>
    <hyperlink ref="F6" r:id="rId11" xr:uid="{6C8E4396-1579-47CD-913E-A1F2DA4BC413}"/>
    <hyperlink ref="F4" r:id="rId12" xr:uid="{BDAD6D4D-C660-4A90-A7DE-7A280B88B7BC}"/>
    <hyperlink ref="F10" r:id="rId13" xr:uid="{99758824-64E7-4824-A319-AED0E05F4D52}"/>
    <hyperlink ref="F11" r:id="rId14" xr:uid="{AD084793-0BC6-4B9A-96A2-37AFAE43AAF2}"/>
    <hyperlink ref="F12" r:id="rId15" xr:uid="{B8C9F27C-7CA0-4C7F-B0BC-947244621A5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78CB-85EB-4AF9-9859-F75DF22F52A8}">
  <dimension ref="A1:M30"/>
  <sheetViews>
    <sheetView zoomScaleNormal="100" workbookViewId="0">
      <selection activeCell="G29" sqref="G29"/>
    </sheetView>
  </sheetViews>
  <sheetFormatPr defaultRowHeight="14.5" x14ac:dyDescent="0.35"/>
  <cols>
    <col min="1" max="1" width="11.54296875" customWidth="1"/>
    <col min="2" max="2" width="28.1796875" bestFit="1" customWidth="1"/>
    <col min="3" max="3" width="7.36328125" customWidth="1"/>
    <col min="4" max="4" width="12.26953125" style="1" customWidth="1"/>
    <col min="5" max="5" width="23.26953125" customWidth="1"/>
    <col min="6" max="6" width="33.453125" bestFit="1" customWidth="1"/>
    <col min="7" max="7" width="12.1796875" bestFit="1" customWidth="1"/>
    <col min="9" max="9" width="21.1796875" bestFit="1" customWidth="1"/>
    <col min="12" max="12" width="10.1796875" bestFit="1" customWidth="1"/>
    <col min="13" max="13" width="10" bestFit="1" customWidth="1"/>
  </cols>
  <sheetData>
    <row r="1" spans="1:9" ht="15" thickBot="1" x14ac:dyDescent="0.4">
      <c r="A1" s="48" t="s">
        <v>72</v>
      </c>
      <c r="B1" s="49" t="s">
        <v>8</v>
      </c>
      <c r="C1" s="51" t="s">
        <v>215</v>
      </c>
      <c r="D1" s="51" t="s">
        <v>276</v>
      </c>
      <c r="E1" s="50" t="s">
        <v>230</v>
      </c>
      <c r="F1" s="50" t="s">
        <v>4</v>
      </c>
      <c r="G1" s="50" t="s">
        <v>6</v>
      </c>
      <c r="H1" s="50" t="s">
        <v>1</v>
      </c>
      <c r="I1" s="50" t="s">
        <v>253</v>
      </c>
    </row>
    <row r="2" spans="1:9" ht="20" customHeight="1" x14ac:dyDescent="0.35">
      <c r="A2" s="82" t="s">
        <v>9</v>
      </c>
      <c r="B2" s="72" t="str">
        <f>TEXT(ROW()+199,"000")&amp;"_"&amp;I2</f>
        <v>201_CFM_bearing</v>
      </c>
      <c r="C2" s="26">
        <v>1</v>
      </c>
      <c r="D2" s="1" t="s">
        <v>286</v>
      </c>
      <c r="E2" s="1" t="s">
        <v>229</v>
      </c>
      <c r="F2" s="1" t="s">
        <v>287</v>
      </c>
      <c r="G2" s="1">
        <v>9.01</v>
      </c>
      <c r="H2" s="6"/>
      <c r="I2" t="s">
        <v>260</v>
      </c>
    </row>
    <row r="3" spans="1:9" ht="20" customHeight="1" x14ac:dyDescent="0.35">
      <c r="A3" s="83"/>
      <c r="B3" s="72" t="str">
        <f>TEXT(ROW()+199,"000")&amp;"_"&amp;I3</f>
        <v>202_CFM_motor</v>
      </c>
      <c r="C3" s="26">
        <v>1</v>
      </c>
      <c r="D3" s="1" t="s">
        <v>286</v>
      </c>
      <c r="E3" s="1" t="s">
        <v>229</v>
      </c>
      <c r="F3" s="1" t="s">
        <v>287</v>
      </c>
      <c r="G3" s="1">
        <v>8.94</v>
      </c>
      <c r="H3" s="6"/>
      <c r="I3" t="s">
        <v>261</v>
      </c>
    </row>
    <row r="4" spans="1:9" ht="20" customHeight="1" x14ac:dyDescent="0.35">
      <c r="A4" s="83"/>
      <c r="B4" s="72" t="str">
        <f>TEXT(ROW()+199,"000")&amp;"_"&amp;I4</f>
        <v>203_Peg</v>
      </c>
      <c r="C4" s="26">
        <v>1</v>
      </c>
      <c r="D4" s="1" t="s">
        <v>286</v>
      </c>
      <c r="E4" s="1" t="s">
        <v>229</v>
      </c>
      <c r="F4" s="1" t="s">
        <v>287</v>
      </c>
      <c r="G4" s="1">
        <v>1</v>
      </c>
      <c r="H4" s="6"/>
      <c r="I4" t="s">
        <v>228</v>
      </c>
    </row>
    <row r="5" spans="1:9" ht="20" customHeight="1" x14ac:dyDescent="0.35">
      <c r="A5" s="83"/>
      <c r="B5" s="72" t="str">
        <f>TEXT(ROW()+199,"000")&amp;"_"&amp;I5</f>
        <v>204_Bumper</v>
      </c>
      <c r="C5" s="26">
        <v>1</v>
      </c>
      <c r="D5" s="1" t="s">
        <v>286</v>
      </c>
      <c r="E5" s="1" t="s">
        <v>229</v>
      </c>
      <c r="F5" s="1" t="s">
        <v>287</v>
      </c>
      <c r="G5" s="1">
        <v>25</v>
      </c>
      <c r="H5" s="6"/>
      <c r="I5" t="s">
        <v>162</v>
      </c>
    </row>
    <row r="6" spans="1:9" ht="20" customHeight="1" x14ac:dyDescent="0.35">
      <c r="A6" s="83"/>
      <c r="B6" s="72" t="str">
        <f>TEXT(ROW()+199,"000")&amp;"_"&amp;I6</f>
        <v>205_Pulley_motor</v>
      </c>
      <c r="C6" s="23">
        <v>1</v>
      </c>
      <c r="D6" s="1" t="s">
        <v>160</v>
      </c>
      <c r="E6" s="1" t="s">
        <v>229</v>
      </c>
      <c r="F6" s="1" t="s">
        <v>288</v>
      </c>
      <c r="G6">
        <v>2.09</v>
      </c>
      <c r="I6" t="s">
        <v>257</v>
      </c>
    </row>
    <row r="7" spans="1:9" ht="20" customHeight="1" x14ac:dyDescent="0.35">
      <c r="A7" s="83"/>
      <c r="B7" s="72" t="str">
        <f>TEXT(ROW()+199,"000")&amp;"_"&amp;I7</f>
        <v>206_Pulley_fixed_axis</v>
      </c>
      <c r="C7" s="23">
        <v>1</v>
      </c>
      <c r="D7" s="1" t="s">
        <v>160</v>
      </c>
      <c r="E7" s="1" t="s">
        <v>229</v>
      </c>
      <c r="F7" s="1" t="s">
        <v>288</v>
      </c>
      <c r="G7">
        <v>1.93</v>
      </c>
      <c r="I7" t="s">
        <v>258</v>
      </c>
    </row>
    <row r="8" spans="1:9" ht="20" customHeight="1" x14ac:dyDescent="0.35">
      <c r="A8" s="83"/>
      <c r="B8" s="72" t="str">
        <f>TEXT(ROW()+199,"000")&amp;"_"&amp;I8</f>
        <v>207_Clamp_fixed_axis</v>
      </c>
      <c r="C8" s="23">
        <v>2</v>
      </c>
      <c r="D8" s="1" t="s">
        <v>160</v>
      </c>
      <c r="E8" s="1" t="s">
        <v>229</v>
      </c>
      <c r="F8" s="1" t="s">
        <v>288</v>
      </c>
      <c r="G8" s="1">
        <v>0.8</v>
      </c>
      <c r="I8" t="s">
        <v>259</v>
      </c>
    </row>
    <row r="9" spans="1:9" ht="20" customHeight="1" x14ac:dyDescent="0.35">
      <c r="A9" s="83"/>
      <c r="B9" s="72" t="str">
        <f>TEXT(ROW()+199,"000")&amp;"_"&amp;I9</f>
        <v>208_Filing_aid</v>
      </c>
      <c r="C9" s="26">
        <v>1</v>
      </c>
      <c r="D9" s="1" t="s">
        <v>160</v>
      </c>
      <c r="E9" s="1" t="s">
        <v>229</v>
      </c>
      <c r="F9" s="1" t="s">
        <v>288</v>
      </c>
      <c r="G9" s="1">
        <v>6</v>
      </c>
      <c r="H9" s="6"/>
      <c r="I9" t="s">
        <v>255</v>
      </c>
    </row>
    <row r="10" spans="1:9" ht="20" customHeight="1" x14ac:dyDescent="0.35">
      <c r="A10" s="83"/>
      <c r="B10" s="72" t="str">
        <f>TEXT(ROW()+199,"000")&amp;"_"&amp;I10</f>
        <v>209_Fixed_axis</v>
      </c>
      <c r="C10" s="26">
        <v>1</v>
      </c>
      <c r="D10" s="1" t="s">
        <v>277</v>
      </c>
      <c r="E10" s="1" t="s">
        <v>263</v>
      </c>
      <c r="F10" s="1"/>
      <c r="G10">
        <v>9</v>
      </c>
      <c r="H10" s="6"/>
      <c r="I10" t="s">
        <v>254</v>
      </c>
    </row>
    <row r="11" spans="1:9" ht="20" customHeight="1" x14ac:dyDescent="0.35">
      <c r="A11" s="83"/>
      <c r="B11" s="72" t="str">
        <f>TEXT(ROW()+199,"000")&amp;"_"&amp;I11</f>
        <v>210_Motor_axis</v>
      </c>
      <c r="C11" s="26">
        <v>1</v>
      </c>
      <c r="D11" s="1" t="s">
        <v>277</v>
      </c>
      <c r="E11" s="1" t="s">
        <v>263</v>
      </c>
      <c r="F11" s="1"/>
      <c r="G11">
        <v>3.1</v>
      </c>
      <c r="H11" s="6"/>
      <c r="I11" t="s">
        <v>256</v>
      </c>
    </row>
    <row r="12" spans="1:9" ht="20" customHeight="1" x14ac:dyDescent="0.35">
      <c r="A12" s="83"/>
      <c r="B12" s="72" t="str">
        <f>TEXT(ROW()+199,"000")&amp;"_"&amp;I12</f>
        <v>211_Servo_arm</v>
      </c>
      <c r="C12" s="26">
        <v>1</v>
      </c>
      <c r="D12" s="1" t="s">
        <v>277</v>
      </c>
      <c r="E12" s="1" t="s">
        <v>262</v>
      </c>
      <c r="F12" s="1"/>
      <c r="G12" s="1" t="s">
        <v>285</v>
      </c>
      <c r="H12" s="6"/>
      <c r="I12" t="s">
        <v>241</v>
      </c>
    </row>
    <row r="13" spans="1:9" ht="20" customHeight="1" x14ac:dyDescent="0.35">
      <c r="A13" s="83"/>
      <c r="B13" s="72" t="str">
        <f>TEXT(ROW()+199,"000")&amp;"_"&amp;I13</f>
        <v>212_Motor</v>
      </c>
      <c r="C13" s="26">
        <v>1</v>
      </c>
      <c r="D13" s="1" t="s">
        <v>278</v>
      </c>
      <c r="E13" s="1" t="s">
        <v>275</v>
      </c>
      <c r="F13" s="1"/>
      <c r="G13" t="s">
        <v>285</v>
      </c>
      <c r="H13" s="6"/>
      <c r="I13" t="s">
        <v>240</v>
      </c>
    </row>
    <row r="14" spans="1:9" ht="20" customHeight="1" x14ac:dyDescent="0.35">
      <c r="A14" s="55" t="s">
        <v>15</v>
      </c>
      <c r="B14" s="16" t="str">
        <f>TEXT(ROW()+199,"000")&amp;"_"&amp;I14</f>
        <v>213_Hub</v>
      </c>
      <c r="C14" s="38">
        <v>2</v>
      </c>
      <c r="D14" s="18" t="s">
        <v>286</v>
      </c>
      <c r="E14" s="18" t="s">
        <v>229</v>
      </c>
      <c r="F14" s="18" t="s">
        <v>287</v>
      </c>
      <c r="G14" s="16">
        <f>4.43*C14</f>
        <v>8.86</v>
      </c>
      <c r="H14" s="17"/>
      <c r="I14" s="16" t="s">
        <v>227</v>
      </c>
    </row>
    <row r="15" spans="1:9" ht="20" customHeight="1" x14ac:dyDescent="0.35">
      <c r="A15" s="56"/>
      <c r="B15" s="72" t="str">
        <f>TEXT(ROW()+199,"000")&amp;"_"&amp;I15</f>
        <v>214_Suspension_connector</v>
      </c>
      <c r="C15" s="26">
        <v>2</v>
      </c>
      <c r="D15" s="1" t="s">
        <v>160</v>
      </c>
      <c r="E15" s="1" t="s">
        <v>229</v>
      </c>
      <c r="F15" s="1" t="s">
        <v>288</v>
      </c>
      <c r="G15">
        <v>1.8</v>
      </c>
      <c r="H15" s="6"/>
      <c r="I15" t="s">
        <v>264</v>
      </c>
    </row>
    <row r="16" spans="1:9" ht="20" customHeight="1" x14ac:dyDescent="0.35">
      <c r="A16" s="56"/>
      <c r="B16" s="72" t="str">
        <f>TEXT(ROW()+199,"000")&amp;"_"&amp;I16</f>
        <v>215_End_cap</v>
      </c>
      <c r="C16" s="26">
        <v>1</v>
      </c>
      <c r="D16" s="1" t="s">
        <v>160</v>
      </c>
      <c r="E16" s="1" t="s">
        <v>229</v>
      </c>
      <c r="F16" s="1" t="s">
        <v>288</v>
      </c>
      <c r="G16" t="s">
        <v>285</v>
      </c>
      <c r="I16" t="s">
        <v>265</v>
      </c>
    </row>
    <row r="17" spans="1:13" ht="20" customHeight="1" x14ac:dyDescent="0.35">
      <c r="A17" s="56"/>
      <c r="B17" s="72" t="str">
        <f>TEXT(ROW()+199,"000")&amp;"_"&amp;I17</f>
        <v>216_End_cap_counterweight</v>
      </c>
      <c r="C17" s="26">
        <v>1</v>
      </c>
      <c r="D17" s="1" t="s">
        <v>160</v>
      </c>
      <c r="E17" s="1" t="s">
        <v>229</v>
      </c>
      <c r="F17" s="1" t="s">
        <v>288</v>
      </c>
      <c r="G17">
        <v>1.29</v>
      </c>
      <c r="I17" t="s">
        <v>266</v>
      </c>
    </row>
    <row r="18" spans="1:13" ht="20" customHeight="1" x14ac:dyDescent="0.35">
      <c r="A18" s="56"/>
      <c r="B18" s="72" t="str">
        <f>TEXT(ROW()+199,"000")&amp;"_"&amp;I18</f>
        <v>217_Pins</v>
      </c>
      <c r="C18" s="26">
        <v>18</v>
      </c>
      <c r="D18" s="1" t="s">
        <v>277</v>
      </c>
      <c r="E18" s="1" t="s">
        <v>262</v>
      </c>
      <c r="F18" s="1" t="s">
        <v>280</v>
      </c>
      <c r="G18">
        <f>0.04*C18</f>
        <v>0.72</v>
      </c>
      <c r="I18" s="1" t="s">
        <v>249</v>
      </c>
    </row>
    <row r="19" spans="1:13" ht="20" customHeight="1" x14ac:dyDescent="0.35">
      <c r="A19" s="78" t="s">
        <v>14</v>
      </c>
      <c r="B19" s="16" t="str">
        <f>TEXT(ROW()+199,"000")&amp;"_"&amp;I19</f>
        <v>218_Zipper_1</v>
      </c>
      <c r="C19" s="36">
        <v>2</v>
      </c>
      <c r="D19" s="18" t="s">
        <v>286</v>
      </c>
      <c r="E19" s="18" t="s">
        <v>229</v>
      </c>
      <c r="F19" s="18" t="s">
        <v>287</v>
      </c>
      <c r="G19" s="16">
        <f>4.34*C19</f>
        <v>8.68</v>
      </c>
      <c r="H19" s="16"/>
      <c r="I19" s="16" t="s">
        <v>267</v>
      </c>
    </row>
    <row r="20" spans="1:13" ht="20" customHeight="1" x14ac:dyDescent="0.35">
      <c r="A20" s="79"/>
      <c r="B20" s="72" t="str">
        <f>TEXT(ROW()+199,"000")&amp;"_"&amp;I20</f>
        <v>219_Zipper_2</v>
      </c>
      <c r="C20" s="26">
        <v>2</v>
      </c>
      <c r="D20" s="1" t="s">
        <v>286</v>
      </c>
      <c r="E20" s="1" t="s">
        <v>229</v>
      </c>
      <c r="F20" s="1" t="s">
        <v>287</v>
      </c>
      <c r="G20">
        <f>4.26*C20</f>
        <v>8.52</v>
      </c>
      <c r="I20" t="s">
        <v>268</v>
      </c>
    </row>
    <row r="21" spans="1:13" ht="20" customHeight="1" x14ac:dyDescent="0.35">
      <c r="A21" s="79"/>
      <c r="B21" s="72" t="str">
        <f>TEXT(ROW()+199,"000")&amp;"_"&amp;I21</f>
        <v>220_Ring_1</v>
      </c>
      <c r="C21" s="26">
        <v>1</v>
      </c>
      <c r="D21" s="1" t="s">
        <v>286</v>
      </c>
      <c r="E21" s="1" t="s">
        <v>229</v>
      </c>
      <c r="F21" s="1" t="s">
        <v>287</v>
      </c>
      <c r="G21">
        <v>6.81</v>
      </c>
      <c r="I21" t="s">
        <v>269</v>
      </c>
    </row>
    <row r="22" spans="1:13" ht="20" customHeight="1" x14ac:dyDescent="0.35">
      <c r="A22" s="79"/>
      <c r="B22" s="72" t="str">
        <f>TEXT(ROW()+199,"000")&amp;"_"&amp;I22</f>
        <v>221_Ring_2</v>
      </c>
      <c r="C22" s="26">
        <v>1</v>
      </c>
      <c r="D22" s="1" t="s">
        <v>286</v>
      </c>
      <c r="E22" s="1" t="s">
        <v>229</v>
      </c>
      <c r="F22" s="1" t="s">
        <v>287</v>
      </c>
      <c r="G22">
        <v>6.81</v>
      </c>
      <c r="I22" t="s">
        <v>270</v>
      </c>
    </row>
    <row r="23" spans="1:13" ht="20" customHeight="1" x14ac:dyDescent="0.35">
      <c r="A23" s="79"/>
      <c r="B23" s="72" t="str">
        <f>TEXT(ROW()+199,"000")&amp;"_"&amp;I23</f>
        <v>222_Shell_yellow_left</v>
      </c>
      <c r="C23" s="26">
        <v>1</v>
      </c>
      <c r="D23" s="1" t="s">
        <v>286</v>
      </c>
      <c r="E23" s="1" t="s">
        <v>229</v>
      </c>
      <c r="F23" s="1" t="s">
        <v>287</v>
      </c>
      <c r="G23">
        <f>(158.29-G21)/2</f>
        <v>75.739999999999995</v>
      </c>
      <c r="I23" t="s">
        <v>271</v>
      </c>
    </row>
    <row r="24" spans="1:13" ht="20" customHeight="1" x14ac:dyDescent="0.35">
      <c r="A24" s="79"/>
      <c r="B24" s="74" t="str">
        <f>TEXT(ROW()+199,"000")&amp;"_"&amp;I24</f>
        <v>223_Shell_yellow_right</v>
      </c>
      <c r="C24" s="26">
        <v>1</v>
      </c>
      <c r="D24" s="1" t="s">
        <v>286</v>
      </c>
      <c r="E24" s="1" t="s">
        <v>229</v>
      </c>
      <c r="F24" s="1" t="s">
        <v>287</v>
      </c>
      <c r="G24">
        <f>(158.29-G21)/2</f>
        <v>75.739999999999995</v>
      </c>
      <c r="I24" t="s">
        <v>272</v>
      </c>
    </row>
    <row r="25" spans="1:13" ht="20" customHeight="1" x14ac:dyDescent="0.35">
      <c r="A25" s="79"/>
      <c r="B25" s="74" t="str">
        <f>TEXT(ROW()+199,"000")&amp;"_"&amp;I25</f>
        <v>224_Shell_red_left</v>
      </c>
      <c r="C25" s="26">
        <v>1</v>
      </c>
      <c r="D25" s="1" t="s">
        <v>286</v>
      </c>
      <c r="E25" s="1" t="s">
        <v>229</v>
      </c>
      <c r="F25" s="1" t="s">
        <v>287</v>
      </c>
      <c r="G25">
        <f>(143.93-6.81)/2</f>
        <v>68.56</v>
      </c>
      <c r="I25" t="s">
        <v>273</v>
      </c>
    </row>
    <row r="26" spans="1:13" ht="20" customHeight="1" x14ac:dyDescent="0.35">
      <c r="A26" s="79"/>
      <c r="B26" s="74" t="str">
        <f>TEXT(ROW()+199,"000")&amp;"_"&amp;I26</f>
        <v>225_Shell_red_right</v>
      </c>
      <c r="C26" s="26">
        <v>1</v>
      </c>
      <c r="D26" s="1" t="s">
        <v>286</v>
      </c>
      <c r="E26" s="1" t="s">
        <v>229</v>
      </c>
      <c r="F26" s="1" t="s">
        <v>287</v>
      </c>
      <c r="G26">
        <f>(143.93-6.81)/2</f>
        <v>68.56</v>
      </c>
      <c r="I26" t="s">
        <v>274</v>
      </c>
    </row>
    <row r="28" spans="1:13" x14ac:dyDescent="0.35">
      <c r="G28">
        <f>SUM(G2:G26)-G9</f>
        <v>392.96</v>
      </c>
    </row>
    <row r="29" spans="1:13" x14ac:dyDescent="0.35">
      <c r="G29">
        <f>G28+HardwareX_BOM!H24</f>
        <v>486.77</v>
      </c>
      <c r="L29" t="s">
        <v>289</v>
      </c>
      <c r="M29">
        <f>SUM(G19:G26)</f>
        <v>319.41999999999996</v>
      </c>
    </row>
    <row r="30" spans="1:13" x14ac:dyDescent="0.35">
      <c r="L30" t="s">
        <v>164</v>
      </c>
      <c r="M30">
        <f>SUM(G14:G18)</f>
        <v>12.67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B0C7-BDAC-468A-91B3-29A48C0AB430}">
  <dimension ref="A1:FQ37"/>
  <sheetViews>
    <sheetView topLeftCell="D1" zoomScaleNormal="100" workbookViewId="0">
      <pane ySplit="1" topLeftCell="A12" activePane="bottomLeft" state="frozen"/>
      <selection pane="bottomLeft" activeCell="D18" sqref="D18"/>
    </sheetView>
  </sheetViews>
  <sheetFormatPr defaultColWidth="10.90625" defaultRowHeight="14.5" x14ac:dyDescent="0.35"/>
  <cols>
    <col min="1" max="1" width="15.90625" customWidth="1"/>
    <col min="2" max="2" width="18.54296875" bestFit="1" customWidth="1"/>
    <col min="3" max="3" width="28.7265625" bestFit="1" customWidth="1"/>
    <col min="4" max="4" width="15.81640625" customWidth="1"/>
    <col min="5" max="5" width="14.54296875" style="23" bestFit="1" customWidth="1"/>
    <col min="6" max="6" width="24" bestFit="1" customWidth="1"/>
    <col min="7" max="7" width="33.54296875" customWidth="1"/>
    <col min="8" max="8" width="44.81640625" customWidth="1"/>
    <col min="9" max="9" width="12.1796875" bestFit="1" customWidth="1"/>
    <col min="10" max="10" width="20.90625" customWidth="1"/>
  </cols>
  <sheetData>
    <row r="1" spans="1:10" s="47" customFormat="1" ht="40" customHeight="1" thickBot="1" x14ac:dyDescent="0.4">
      <c r="A1" s="47" t="s">
        <v>72</v>
      </c>
      <c r="B1" s="48" t="s">
        <v>19</v>
      </c>
      <c r="C1" s="49" t="s">
        <v>8</v>
      </c>
      <c r="D1" s="50" t="s">
        <v>1</v>
      </c>
      <c r="E1" s="51" t="s">
        <v>39</v>
      </c>
      <c r="F1" s="50" t="s">
        <v>2</v>
      </c>
      <c r="G1" s="50" t="s">
        <v>5</v>
      </c>
      <c r="H1" s="52" t="s">
        <v>3</v>
      </c>
      <c r="I1" s="50" t="s">
        <v>6</v>
      </c>
      <c r="J1" s="50" t="s">
        <v>4</v>
      </c>
    </row>
    <row r="2" spans="1:10" ht="40" customHeight="1" x14ac:dyDescent="0.35">
      <c r="A2" s="29" t="s">
        <v>13</v>
      </c>
      <c r="B2" s="40" t="s">
        <v>9</v>
      </c>
      <c r="C2" s="30" t="s">
        <v>99</v>
      </c>
      <c r="D2" s="23" t="e" vm="31">
        <v>#VALUE!</v>
      </c>
      <c r="E2" s="23">
        <v>1</v>
      </c>
      <c r="F2" s="1" t="s">
        <v>63</v>
      </c>
      <c r="G2" s="19" t="s">
        <v>64</v>
      </c>
      <c r="H2" s="2" t="s">
        <v>74</v>
      </c>
      <c r="I2">
        <v>21.23</v>
      </c>
      <c r="J2" s="1"/>
    </row>
    <row r="3" spans="1:10" ht="40" customHeight="1" x14ac:dyDescent="0.35">
      <c r="A3" s="29"/>
      <c r="B3" s="25"/>
      <c r="C3" s="14" t="s">
        <v>100</v>
      </c>
      <c r="D3" t="e" vm="6">
        <v>#VALUE!</v>
      </c>
      <c r="E3" s="23">
        <v>1</v>
      </c>
      <c r="F3" s="1" t="s">
        <v>91</v>
      </c>
      <c r="G3" s="19"/>
      <c r="H3" s="5" t="s">
        <v>88</v>
      </c>
      <c r="J3" s="1"/>
    </row>
    <row r="4" spans="1:10" ht="40" customHeight="1" x14ac:dyDescent="0.35">
      <c r="A4" s="29"/>
      <c r="B4" s="25"/>
      <c r="C4" s="14" t="s">
        <v>101</v>
      </c>
      <c r="D4" t="e" vm="7">
        <v>#VALUE!</v>
      </c>
      <c r="E4" s="23">
        <v>1</v>
      </c>
      <c r="F4" s="1" t="s">
        <v>90</v>
      </c>
      <c r="G4" s="19"/>
      <c r="H4" s="5" t="s">
        <v>89</v>
      </c>
      <c r="J4" s="1"/>
    </row>
    <row r="5" spans="1:10" ht="40" customHeight="1" x14ac:dyDescent="0.35">
      <c r="B5" s="25"/>
      <c r="C5" s="14" t="s">
        <v>102</v>
      </c>
      <c r="D5" t="e" vm="8">
        <v>#VALUE!</v>
      </c>
      <c r="E5" s="23">
        <v>1</v>
      </c>
      <c r="F5" s="1" t="s">
        <v>67</v>
      </c>
      <c r="G5" s="1" t="s">
        <v>7</v>
      </c>
      <c r="H5" s="5" t="s">
        <v>0</v>
      </c>
      <c r="I5">
        <v>13</v>
      </c>
      <c r="J5" s="1" t="s">
        <v>87</v>
      </c>
    </row>
    <row r="6" spans="1:10" ht="40" customHeight="1" x14ac:dyDescent="0.35">
      <c r="B6" s="27"/>
      <c r="C6" t="s">
        <v>103</v>
      </c>
      <c r="D6" t="e" vm="9">
        <v>#VALUE!</v>
      </c>
      <c r="E6" s="23">
        <v>1</v>
      </c>
      <c r="F6" s="1" t="s">
        <v>66</v>
      </c>
      <c r="G6" s="1" t="s">
        <v>48</v>
      </c>
      <c r="H6" s="5" t="s">
        <v>37</v>
      </c>
      <c r="I6">
        <v>47</v>
      </c>
      <c r="J6" s="1"/>
    </row>
    <row r="7" spans="1:10" ht="40" customHeight="1" x14ac:dyDescent="0.35">
      <c r="B7" s="27"/>
      <c r="C7" t="s">
        <v>104</v>
      </c>
      <c r="D7" t="e" vm="5">
        <v>#VALUE!</v>
      </c>
      <c r="E7" s="23">
        <v>1</v>
      </c>
      <c r="F7" s="35" t="s">
        <v>65</v>
      </c>
      <c r="G7" s="4" t="s">
        <v>82</v>
      </c>
      <c r="H7" s="5" t="s">
        <v>10</v>
      </c>
      <c r="I7">
        <v>8</v>
      </c>
    </row>
    <row r="8" spans="1:10" ht="40" customHeight="1" x14ac:dyDescent="0.35">
      <c r="B8" s="27"/>
      <c r="C8" t="s">
        <v>105</v>
      </c>
      <c r="D8" t="e" vm="10">
        <v>#VALUE!</v>
      </c>
      <c r="E8" s="23">
        <v>1</v>
      </c>
      <c r="F8" t="s">
        <v>17</v>
      </c>
      <c r="G8" s="1" t="s">
        <v>86</v>
      </c>
      <c r="H8" s="5" t="s">
        <v>16</v>
      </c>
      <c r="I8" s="8">
        <v>0.25</v>
      </c>
      <c r="J8" s="1" t="s">
        <v>43</v>
      </c>
    </row>
    <row r="9" spans="1:10" ht="40" customHeight="1" x14ac:dyDescent="0.35">
      <c r="B9" s="27"/>
      <c r="C9" t="s">
        <v>106</v>
      </c>
      <c r="D9" t="e" vm="11">
        <v>#VALUE!</v>
      </c>
      <c r="E9" s="23">
        <v>2</v>
      </c>
      <c r="F9" s="1" t="s">
        <v>68</v>
      </c>
      <c r="G9" s="1" t="s">
        <v>42</v>
      </c>
      <c r="H9" s="5" t="s">
        <v>38</v>
      </c>
      <c r="I9" s="8">
        <f>4*0.24</f>
        <v>0.96</v>
      </c>
      <c r="J9" s="1"/>
    </row>
    <row r="10" spans="1:10" ht="40" customHeight="1" x14ac:dyDescent="0.35">
      <c r="B10" s="27"/>
      <c r="C10" t="s">
        <v>107</v>
      </c>
      <c r="D10" t="e" vm="11">
        <v>#VALUE!</v>
      </c>
      <c r="E10" s="23">
        <v>2</v>
      </c>
      <c r="F10" s="1" t="s">
        <v>69</v>
      </c>
      <c r="G10" s="1" t="s">
        <v>23</v>
      </c>
      <c r="H10" s="5" t="s">
        <v>41</v>
      </c>
      <c r="I10" s="8">
        <f>0.3*2</f>
        <v>0.6</v>
      </c>
      <c r="J10" s="1"/>
    </row>
    <row r="11" spans="1:10" ht="40" customHeight="1" x14ac:dyDescent="0.35">
      <c r="B11" s="27"/>
      <c r="C11" t="s">
        <v>108</v>
      </c>
      <c r="D11" t="e" vm="12">
        <v>#VALUE!</v>
      </c>
      <c r="E11" s="23">
        <v>2</v>
      </c>
      <c r="F11" s="1" t="s">
        <v>50</v>
      </c>
      <c r="G11" t="s">
        <v>24</v>
      </c>
      <c r="H11" s="5" t="s">
        <v>35</v>
      </c>
      <c r="I11" s="8">
        <f>E11*0.17</f>
        <v>0.34</v>
      </c>
      <c r="J11" s="1"/>
    </row>
    <row r="12" spans="1:10" ht="40" customHeight="1" x14ac:dyDescent="0.35">
      <c r="B12" s="27"/>
      <c r="C12" s="14" t="s">
        <v>109</v>
      </c>
      <c r="D12" t="e" vm="13">
        <v>#VALUE!</v>
      </c>
      <c r="E12" s="23">
        <v>2</v>
      </c>
      <c r="F12" s="1" t="s">
        <v>51</v>
      </c>
      <c r="G12" s="1" t="s">
        <v>52</v>
      </c>
      <c r="H12" s="5" t="s">
        <v>49</v>
      </c>
      <c r="I12" s="8">
        <f>E12*0.31</f>
        <v>0.62</v>
      </c>
      <c r="J12" s="1"/>
    </row>
    <row r="13" spans="1:10" ht="40" customHeight="1" x14ac:dyDescent="0.35">
      <c r="B13" s="27"/>
      <c r="C13" t="s">
        <v>110</v>
      </c>
      <c r="D13" t="e" vm="14">
        <v>#VALUE!</v>
      </c>
      <c r="E13" s="23" t="s">
        <v>93</v>
      </c>
      <c r="F13" s="1" t="s">
        <v>55</v>
      </c>
      <c r="G13" s="19" t="s">
        <v>57</v>
      </c>
      <c r="H13" s="5"/>
      <c r="J13" s="1"/>
    </row>
    <row r="14" spans="1:10" ht="40" customHeight="1" x14ac:dyDescent="0.35">
      <c r="B14" s="27"/>
      <c r="C14" t="s">
        <v>111</v>
      </c>
      <c r="D14" t="e" vm="32">
        <v>#VALUE!</v>
      </c>
      <c r="E14" s="23" t="s">
        <v>92</v>
      </c>
      <c r="F14" s="1" t="s">
        <v>56</v>
      </c>
      <c r="G14" s="19" t="s">
        <v>94</v>
      </c>
      <c r="H14" s="5"/>
      <c r="J14" s="1"/>
    </row>
    <row r="15" spans="1:10" ht="40" customHeight="1" x14ac:dyDescent="0.35">
      <c r="A15" s="28"/>
      <c r="B15" s="59" t="s">
        <v>14</v>
      </c>
      <c r="C15" s="16" t="s">
        <v>112</v>
      </c>
      <c r="D15" s="17" t="e" vm="33">
        <v>#VALUE!</v>
      </c>
      <c r="E15" s="36" t="s">
        <v>40</v>
      </c>
      <c r="F15" s="16" t="s">
        <v>31</v>
      </c>
      <c r="G15" s="18" t="s">
        <v>30</v>
      </c>
      <c r="H15" s="22" t="s">
        <v>27</v>
      </c>
      <c r="I15" s="16">
        <v>2</v>
      </c>
      <c r="J15" s="1"/>
    </row>
    <row r="16" spans="1:10" ht="40" customHeight="1" x14ac:dyDescent="0.35">
      <c r="A16" s="28"/>
      <c r="B16" s="60"/>
      <c r="C16" s="1" t="s">
        <v>113</v>
      </c>
      <c r="D16" s="1" t="e" vm="34">
        <v>#VALUE!</v>
      </c>
      <c r="E16" s="26">
        <v>1</v>
      </c>
      <c r="F16" s="1" t="s">
        <v>25</v>
      </c>
      <c r="G16" s="1" t="s">
        <v>29</v>
      </c>
      <c r="H16" s="5" t="s">
        <v>28</v>
      </c>
      <c r="I16" s="20" t="s">
        <v>21</v>
      </c>
      <c r="J16" s="1"/>
    </row>
    <row r="17" spans="1:173" ht="40" customHeight="1" x14ac:dyDescent="0.35">
      <c r="B17" s="60"/>
      <c r="C17" t="s">
        <v>114</v>
      </c>
      <c r="D17" s="6" t="e" vm="15">
        <v>#VALUE!</v>
      </c>
      <c r="E17" s="26">
        <v>5</v>
      </c>
      <c r="F17" s="1" t="s">
        <v>32</v>
      </c>
      <c r="G17" s="1" t="s">
        <v>75</v>
      </c>
      <c r="I17">
        <f>0.05*18</f>
        <v>0.9</v>
      </c>
      <c r="J17" s="1"/>
    </row>
    <row r="18" spans="1:173" ht="40" customHeight="1" x14ac:dyDescent="0.35">
      <c r="B18" s="60"/>
      <c r="C18" s="15" t="s">
        <v>115</v>
      </c>
      <c r="D18" s="1" t="e" vm="19">
        <v>#VALUE!</v>
      </c>
      <c r="E18" s="26" t="s">
        <v>81</v>
      </c>
      <c r="F18" s="1" t="s">
        <v>70</v>
      </c>
      <c r="G18" s="1" t="s">
        <v>80</v>
      </c>
      <c r="H18" s="5" t="s">
        <v>26</v>
      </c>
      <c r="I18" s="20" t="s">
        <v>21</v>
      </c>
      <c r="J18" s="1"/>
    </row>
    <row r="19" spans="1:173" s="16" customFormat="1" ht="40" customHeight="1" x14ac:dyDescent="0.35">
      <c r="A19"/>
      <c r="B19" s="58" t="s">
        <v>15</v>
      </c>
      <c r="C19" s="31" t="s">
        <v>116</v>
      </c>
      <c r="D19" s="32" t="e" vm="35">
        <v>#VALUE!</v>
      </c>
      <c r="E19" s="37">
        <v>2</v>
      </c>
      <c r="F19" s="33" t="s">
        <v>22</v>
      </c>
      <c r="G19" s="33" t="s">
        <v>71</v>
      </c>
      <c r="H19" s="34" t="s">
        <v>33</v>
      </c>
      <c r="I19" s="33">
        <v>0.11</v>
      </c>
      <c r="J19" s="1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</row>
    <row r="20" spans="1:173" s="16" customFormat="1" ht="40" customHeight="1" x14ac:dyDescent="0.35">
      <c r="A20"/>
      <c r="B20" s="61" t="s">
        <v>58</v>
      </c>
      <c r="C20" t="s">
        <v>117</v>
      </c>
      <c r="D20" t="e" vm="18">
        <v>#VALUE!</v>
      </c>
      <c r="E20" s="23" t="s">
        <v>54</v>
      </c>
      <c r="F20" t="s">
        <v>60</v>
      </c>
      <c r="G20" s="1" t="s">
        <v>61</v>
      </c>
      <c r="H20" s="24" t="s">
        <v>59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</row>
    <row r="21" spans="1:173" ht="40" customHeight="1" thickBot="1" x14ac:dyDescent="0.4">
      <c r="A21" s="10"/>
      <c r="B21" s="62"/>
      <c r="C21" s="41" t="s">
        <v>118</v>
      </c>
      <c r="D21" s="12" t="e" vm="20">
        <v>#VALUE!</v>
      </c>
      <c r="E21" s="42" t="s">
        <v>53</v>
      </c>
      <c r="F21" s="10" t="s">
        <v>36</v>
      </c>
      <c r="G21" s="11" t="s">
        <v>62</v>
      </c>
      <c r="H21" s="10"/>
      <c r="I21" s="10"/>
    </row>
    <row r="22" spans="1:173" ht="40" customHeight="1" thickTop="1" x14ac:dyDescent="0.35">
      <c r="B22" s="3"/>
    </row>
    <row r="23" spans="1:173" ht="40" customHeight="1" thickBot="1" x14ac:dyDescent="0.4">
      <c r="A23" s="10"/>
      <c r="B23" s="9"/>
      <c r="C23" s="41"/>
      <c r="D23" s="10"/>
      <c r="E23" s="43"/>
      <c r="F23" s="10"/>
      <c r="G23" s="10"/>
      <c r="H23" s="10" t="s">
        <v>73</v>
      </c>
      <c r="I23" s="10"/>
      <c r="J23" s="1"/>
    </row>
    <row r="24" spans="1:173" s="16" customFormat="1" ht="40" customHeight="1" thickTop="1" x14ac:dyDescent="0.35">
      <c r="A24" s="29" t="s">
        <v>11</v>
      </c>
      <c r="B24" s="54" t="s">
        <v>9</v>
      </c>
      <c r="C24" t="s">
        <v>119</v>
      </c>
      <c r="D24" s="6" t="e" vm="21">
        <v>#VALUE!</v>
      </c>
      <c r="E24" s="26">
        <v>1</v>
      </c>
      <c r="F24" s="1" t="s">
        <v>96</v>
      </c>
      <c r="G24" s="19" t="s">
        <v>77</v>
      </c>
      <c r="H24" s="1"/>
      <c r="I24">
        <v>11.62</v>
      </c>
      <c r="J24" s="1"/>
      <c r="K24" t="s">
        <v>83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</row>
    <row r="25" spans="1:173" ht="40" customHeight="1" x14ac:dyDescent="0.35">
      <c r="A25" s="29"/>
      <c r="B25" s="54"/>
      <c r="C25" t="s">
        <v>120</v>
      </c>
      <c r="D25" s="6" t="e" vm="22">
        <v>#VALUE!</v>
      </c>
      <c r="E25" s="26">
        <v>1</v>
      </c>
      <c r="F25" s="1" t="s">
        <v>95</v>
      </c>
      <c r="G25" s="53" t="s">
        <v>76</v>
      </c>
      <c r="H25" s="1" t="s">
        <v>78</v>
      </c>
      <c r="I25">
        <v>2.5299999999999998</v>
      </c>
    </row>
    <row r="26" spans="1:173" ht="40" customHeight="1" x14ac:dyDescent="0.35">
      <c r="B26" s="54"/>
      <c r="C26" s="14" t="s">
        <v>121</v>
      </c>
      <c r="D26" t="e" vm="23">
        <v>#VALUE!</v>
      </c>
      <c r="E26" s="23">
        <v>1</v>
      </c>
      <c r="F26" s="1" t="s">
        <v>12</v>
      </c>
      <c r="G26" s="1" t="s">
        <v>20</v>
      </c>
      <c r="H26" t="s">
        <v>47</v>
      </c>
      <c r="I26">
        <f>2.92</f>
        <v>2.92</v>
      </c>
      <c r="J26" s="1"/>
    </row>
    <row r="27" spans="1:173" ht="40" customHeight="1" x14ac:dyDescent="0.35">
      <c r="B27" s="54"/>
      <c r="C27" s="14" t="s">
        <v>122</v>
      </c>
      <c r="D27" t="e" vm="23">
        <v>#VALUE!</v>
      </c>
      <c r="E27" s="23">
        <v>1</v>
      </c>
      <c r="F27" s="1" t="s">
        <v>12</v>
      </c>
      <c r="G27" s="1" t="s">
        <v>20</v>
      </c>
      <c r="H27" t="s">
        <v>46</v>
      </c>
      <c r="I27">
        <f>2.92</f>
        <v>2.92</v>
      </c>
    </row>
    <row r="28" spans="1:173" ht="40" customHeight="1" x14ac:dyDescent="0.35">
      <c r="B28" s="54"/>
      <c r="C28" s="1" t="s">
        <v>123</v>
      </c>
      <c r="D28" s="6" t="s">
        <v>18</v>
      </c>
      <c r="E28" s="26">
        <v>1</v>
      </c>
      <c r="F28" s="1" t="s">
        <v>79</v>
      </c>
      <c r="G28" s="1" t="s">
        <v>34</v>
      </c>
      <c r="H28" s="1" t="s">
        <v>44</v>
      </c>
      <c r="I28" s="1">
        <v>8</v>
      </c>
      <c r="J28" s="1" t="s">
        <v>98</v>
      </c>
    </row>
    <row r="29" spans="1:173" ht="40" customHeight="1" x14ac:dyDescent="0.35">
      <c r="B29" s="54"/>
      <c r="C29" s="1" t="s">
        <v>124</v>
      </c>
      <c r="D29" s="6" t="s">
        <v>18</v>
      </c>
      <c r="E29" s="26">
        <v>1</v>
      </c>
      <c r="F29" s="1" t="s">
        <v>97</v>
      </c>
      <c r="G29" s="1" t="s">
        <v>34</v>
      </c>
      <c r="H29" s="1" t="s">
        <v>44</v>
      </c>
      <c r="I29" s="1">
        <v>10</v>
      </c>
      <c r="J29" s="1" t="s">
        <v>98</v>
      </c>
    </row>
    <row r="30" spans="1:173" ht="40" customHeight="1" x14ac:dyDescent="0.35">
      <c r="B30" s="54"/>
      <c r="C30" t="s">
        <v>125</v>
      </c>
      <c r="D30" s="6" t="s">
        <v>18</v>
      </c>
      <c r="E30" s="26">
        <v>1</v>
      </c>
      <c r="F30" s="1" t="s">
        <v>85</v>
      </c>
      <c r="G30" t="s">
        <v>34</v>
      </c>
      <c r="H30" s="39" t="s">
        <v>45</v>
      </c>
      <c r="I30">
        <v>49</v>
      </c>
      <c r="J30" s="1" t="s">
        <v>98</v>
      </c>
    </row>
    <row r="31" spans="1:173" ht="40" customHeight="1" x14ac:dyDescent="0.35">
      <c r="B31" s="55" t="s">
        <v>14</v>
      </c>
      <c r="C31" s="21" t="s">
        <v>128</v>
      </c>
      <c r="D31" s="17" t="e" vm="24">
        <v>#VALUE!</v>
      </c>
      <c r="E31" s="38">
        <v>2</v>
      </c>
      <c r="F31" s="16"/>
      <c r="G31" s="16" t="s">
        <v>34</v>
      </c>
      <c r="H31" t="s">
        <v>45</v>
      </c>
      <c r="I31" s="16">
        <v>75.599999999999994</v>
      </c>
      <c r="K31" t="s">
        <v>84</v>
      </c>
    </row>
    <row r="32" spans="1:173" ht="40" customHeight="1" x14ac:dyDescent="0.35">
      <c r="B32" s="56"/>
      <c r="C32" s="1" t="s">
        <v>126</v>
      </c>
      <c r="D32" s="6" t="e" vm="25">
        <v>#VALUE!</v>
      </c>
      <c r="E32" s="26">
        <v>2</v>
      </c>
      <c r="G32" t="s">
        <v>34</v>
      </c>
      <c r="H32" t="s">
        <v>45</v>
      </c>
      <c r="I32">
        <v>74.64</v>
      </c>
    </row>
    <row r="33" spans="1:10" ht="40" customHeight="1" thickBot="1" x14ac:dyDescent="0.4">
      <c r="A33" s="10"/>
      <c r="B33" s="57" t="s">
        <v>15</v>
      </c>
      <c r="C33" s="44" t="s">
        <v>127</v>
      </c>
      <c r="D33" s="45" t="e" vm="26">
        <v>#VALUE!</v>
      </c>
      <c r="E33" s="46">
        <v>2</v>
      </c>
      <c r="F33" s="13"/>
      <c r="G33" s="13" t="s">
        <v>34</v>
      </c>
      <c r="H33" s="10" t="s">
        <v>45</v>
      </c>
      <c r="I33" s="13">
        <f>E33*6.3</f>
        <v>12.6</v>
      </c>
      <c r="J33" s="10"/>
    </row>
    <row r="34" spans="1:10" ht="40" customHeight="1" thickTop="1" x14ac:dyDescent="0.35">
      <c r="B34" s="7"/>
      <c r="C34" s="1"/>
      <c r="D34" s="6"/>
      <c r="H34" s="1"/>
      <c r="I34">
        <f>SUM(I31:I32)</f>
        <v>150.24</v>
      </c>
      <c r="J34" t="s">
        <v>14</v>
      </c>
    </row>
    <row r="35" spans="1:10" ht="40" customHeight="1" x14ac:dyDescent="0.35">
      <c r="A35" s="28"/>
      <c r="B35" s="3"/>
      <c r="C35" s="1"/>
      <c r="D35" s="6"/>
      <c r="E35" s="26"/>
      <c r="H35" s="1"/>
      <c r="J35" t="s">
        <v>130</v>
      </c>
    </row>
    <row r="36" spans="1:10" ht="40" customHeight="1" x14ac:dyDescent="0.35">
      <c r="I36">
        <f>SUM(I12,I11,I10,I8,I7,I6,I5,I2,I26,I28,I29,I30)</f>
        <v>160.96</v>
      </c>
      <c r="J36" t="s">
        <v>129</v>
      </c>
    </row>
    <row r="37" spans="1:10" ht="40" customHeight="1" x14ac:dyDescent="0.35">
      <c r="I37">
        <f>SUM(I2:I33)</f>
        <v>344.84000000000003</v>
      </c>
      <c r="J37" t="s">
        <v>131</v>
      </c>
    </row>
  </sheetData>
  <hyperlinks>
    <hyperlink ref="H7" r:id="rId1" xr:uid="{06E9A0B6-9661-44AC-9D11-4B1FD10EE0AF}"/>
    <hyperlink ref="H8" r:id="rId2" xr:uid="{1CE70323-981F-4843-88D2-26DC9B7170F3}"/>
    <hyperlink ref="H5" r:id="rId3" xr:uid="{02D8CDFD-1AFB-4E9E-BEF7-49332778B49B}"/>
    <hyperlink ref="H11" r:id="rId4" xr:uid="{A9A44797-A589-4785-B834-BCBE4E16193F}"/>
    <hyperlink ref="H10" r:id="rId5" xr:uid="{E6C8AF6A-9584-4045-88CB-936AE4B9BFDF}"/>
    <hyperlink ref="H19" r:id="rId6" xr:uid="{DE3E8527-AE96-4834-8FC8-C21D77EFF07E}"/>
    <hyperlink ref="H12" r:id="rId7" xr:uid="{B3D9087E-907D-4A24-86B5-7F37E03E84C1}"/>
    <hyperlink ref="H20" r:id="rId8" location="attr=12472,12460,12462,4794,4789,4792,21824,23719,24895" xr:uid="{7A0116D9-0628-4FBD-8CF2-810C6E1EBF49}"/>
    <hyperlink ref="H2" r:id="rId9" xr:uid="{71E9D8DA-58E1-4D33-A317-FCFA31C4DE3A}"/>
    <hyperlink ref="H18" r:id="rId10" xr:uid="{51249A8C-A3CC-4C11-91FA-58234E69E1BA}"/>
    <hyperlink ref="H15" r:id="rId11" xr:uid="{8E578F62-4F95-4C4A-8BB3-8FDD797861FA}"/>
    <hyperlink ref="H16" r:id="rId12" xr:uid="{708FA67E-CA5B-4E48-ADCB-7342C8274D24}"/>
  </hyperlinks>
  <pageMargins left="0.7" right="0.7" top="0.78740157499999996" bottom="0.78740157499999996" header="0.3" footer="0.3"/>
  <pageSetup paperSize="9" orientation="portrait" horizontalDpi="1200" verticalDpi="1200" r:id="rId1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111CB-3F55-4A59-8BF3-ED82C2C21315}">
  <dimension ref="A1:FP26"/>
  <sheetViews>
    <sheetView topLeftCell="G1" zoomScaleNormal="100" workbookViewId="0">
      <pane ySplit="1" topLeftCell="A2" activePane="bottomLeft" state="frozen"/>
      <selection pane="bottomLeft" activeCell="N5" sqref="N5"/>
    </sheetView>
  </sheetViews>
  <sheetFormatPr defaultColWidth="10.90625" defaultRowHeight="14.5" x14ac:dyDescent="0.35"/>
  <cols>
    <col min="1" max="1" width="15.90625" customWidth="1"/>
    <col min="2" max="2" width="18.54296875" bestFit="1" customWidth="1"/>
    <col min="3" max="3" width="28.7265625" bestFit="1" customWidth="1"/>
    <col min="4" max="5" width="15.81640625" customWidth="1"/>
    <col min="6" max="6" width="14.54296875" style="23" bestFit="1" customWidth="1"/>
    <col min="7" max="7" width="44.81640625" customWidth="1"/>
    <col min="8" max="8" width="10.90625" bestFit="1" customWidth="1"/>
    <col min="9" max="9" width="26.26953125" bestFit="1" customWidth="1"/>
    <col min="10" max="10" width="24" bestFit="1" customWidth="1"/>
    <col min="11" max="11" width="33.54296875" customWidth="1"/>
  </cols>
  <sheetData>
    <row r="1" spans="1:12" s="47" customFormat="1" ht="40" customHeight="1" thickBot="1" x14ac:dyDescent="0.4">
      <c r="A1" s="47" t="s">
        <v>72</v>
      </c>
      <c r="B1" s="48" t="s">
        <v>19</v>
      </c>
      <c r="C1" s="49" t="s">
        <v>8</v>
      </c>
      <c r="D1" s="50" t="s">
        <v>1</v>
      </c>
      <c r="E1" s="47" t="s">
        <v>132</v>
      </c>
      <c r="F1" s="51" t="s">
        <v>39</v>
      </c>
      <c r="G1" s="52" t="s">
        <v>3</v>
      </c>
      <c r="H1" s="47" t="s">
        <v>136</v>
      </c>
      <c r="I1" s="47" t="s">
        <v>3</v>
      </c>
      <c r="J1" s="50" t="s">
        <v>2</v>
      </c>
      <c r="K1" s="50" t="s">
        <v>5</v>
      </c>
    </row>
    <row r="2" spans="1:12" ht="40" customHeight="1" x14ac:dyDescent="0.35">
      <c r="A2" s="29" t="s">
        <v>13</v>
      </c>
      <c r="B2" s="40" t="s">
        <v>9</v>
      </c>
      <c r="C2" s="30" t="s">
        <v>99</v>
      </c>
      <c r="D2" s="23" t="e" vm="31">
        <v>#VALUE!</v>
      </c>
      <c r="E2" s="65">
        <v>3</v>
      </c>
      <c r="F2" s="23">
        <v>1</v>
      </c>
      <c r="G2" s="2" t="s">
        <v>74</v>
      </c>
      <c r="H2" t="s">
        <v>155</v>
      </c>
      <c r="I2" s="2" t="s">
        <v>154</v>
      </c>
      <c r="J2" s="1" t="s">
        <v>63</v>
      </c>
      <c r="K2" s="19" t="s">
        <v>64</v>
      </c>
      <c r="L2" t="s">
        <v>156</v>
      </c>
    </row>
    <row r="3" spans="1:12" ht="40" customHeight="1" x14ac:dyDescent="0.35">
      <c r="A3" s="29"/>
      <c r="B3" s="25"/>
      <c r="C3" s="14" t="s">
        <v>100</v>
      </c>
      <c r="D3" t="e" vm="6">
        <v>#VALUE!</v>
      </c>
      <c r="E3" s="66" t="s">
        <v>133</v>
      </c>
      <c r="F3" s="23">
        <v>1</v>
      </c>
      <c r="G3" s="5" t="s">
        <v>88</v>
      </c>
      <c r="J3" s="1" t="s">
        <v>91</v>
      </c>
      <c r="K3" s="19"/>
      <c r="L3" t="e" vm="36">
        <v>#VALUE!</v>
      </c>
    </row>
    <row r="4" spans="1:12" ht="40" customHeight="1" x14ac:dyDescent="0.35">
      <c r="A4" s="29"/>
      <c r="B4" s="25"/>
      <c r="C4" s="14" t="s">
        <v>101</v>
      </c>
      <c r="D4" t="e" vm="7">
        <v>#VALUE!</v>
      </c>
      <c r="E4" s="66" t="s">
        <v>133</v>
      </c>
      <c r="F4" s="23">
        <v>1</v>
      </c>
      <c r="G4" s="5" t="s">
        <v>89</v>
      </c>
      <c r="J4" s="1" t="s">
        <v>90</v>
      </c>
      <c r="K4" s="19"/>
    </row>
    <row r="5" spans="1:12" ht="40" customHeight="1" x14ac:dyDescent="0.35">
      <c r="B5" s="25"/>
      <c r="C5" s="14" t="s">
        <v>102</v>
      </c>
      <c r="D5" t="e" vm="8">
        <v>#VALUE!</v>
      </c>
      <c r="E5" s="64" t="s">
        <v>145</v>
      </c>
      <c r="F5" s="23">
        <v>1</v>
      </c>
      <c r="G5" s="5" t="s">
        <v>0</v>
      </c>
      <c r="H5" t="e" vm="37">
        <v>#VALUE!</v>
      </c>
      <c r="I5" s="2" t="s">
        <v>147</v>
      </c>
      <c r="J5" s="1" t="s">
        <v>67</v>
      </c>
      <c r="K5" s="1" t="s">
        <v>7</v>
      </c>
    </row>
    <row r="6" spans="1:12" ht="40" customHeight="1" x14ac:dyDescent="0.35">
      <c r="B6" s="27"/>
      <c r="C6" t="s">
        <v>103</v>
      </c>
      <c r="D6" t="e" vm="9">
        <v>#VALUE!</v>
      </c>
      <c r="F6" s="23">
        <v>1</v>
      </c>
      <c r="G6" s="5" t="s">
        <v>37</v>
      </c>
      <c r="J6" s="1" t="s">
        <v>66</v>
      </c>
      <c r="K6" s="1" t="s">
        <v>48</v>
      </c>
    </row>
    <row r="7" spans="1:12" ht="40" customHeight="1" x14ac:dyDescent="0.35">
      <c r="B7" s="27"/>
      <c r="C7" t="s">
        <v>104</v>
      </c>
      <c r="D7" t="e" vm="5">
        <v>#VALUE!</v>
      </c>
      <c r="F7" s="23">
        <v>1</v>
      </c>
      <c r="G7" s="5" t="s">
        <v>10</v>
      </c>
      <c r="J7" s="35" t="s">
        <v>65</v>
      </c>
      <c r="K7" s="4" t="s">
        <v>82</v>
      </c>
    </row>
    <row r="8" spans="1:12" ht="40" customHeight="1" x14ac:dyDescent="0.35">
      <c r="B8" s="27"/>
      <c r="C8" t="s">
        <v>105</v>
      </c>
      <c r="D8" t="e" vm="10">
        <v>#VALUE!</v>
      </c>
      <c r="F8" s="23">
        <v>1</v>
      </c>
      <c r="G8" s="5" t="s">
        <v>16</v>
      </c>
      <c r="J8" t="s">
        <v>17</v>
      </c>
      <c r="K8" s="1" t="s">
        <v>86</v>
      </c>
    </row>
    <row r="9" spans="1:12" ht="40" customHeight="1" x14ac:dyDescent="0.35">
      <c r="B9" s="27"/>
      <c r="C9" t="s">
        <v>106</v>
      </c>
      <c r="D9" t="e" vm="11">
        <v>#VALUE!</v>
      </c>
      <c r="F9" s="23">
        <v>2</v>
      </c>
      <c r="G9" s="5" t="s">
        <v>38</v>
      </c>
      <c r="J9" s="1" t="s">
        <v>68</v>
      </c>
      <c r="K9" s="1" t="s">
        <v>42</v>
      </c>
    </row>
    <row r="10" spans="1:12" ht="40" customHeight="1" x14ac:dyDescent="0.35">
      <c r="B10" s="27"/>
      <c r="C10" t="s">
        <v>107</v>
      </c>
      <c r="D10" t="e" vm="11">
        <v>#VALUE!</v>
      </c>
      <c r="F10" s="23">
        <v>2</v>
      </c>
      <c r="G10" s="5" t="s">
        <v>41</v>
      </c>
      <c r="J10" s="1" t="s">
        <v>69</v>
      </c>
      <c r="K10" s="1" t="s">
        <v>23</v>
      </c>
    </row>
    <row r="11" spans="1:12" ht="40" customHeight="1" x14ac:dyDescent="0.35">
      <c r="B11" s="27"/>
      <c r="C11" t="s">
        <v>108</v>
      </c>
      <c r="D11" t="e" vm="12">
        <v>#VALUE!</v>
      </c>
      <c r="F11" s="23">
        <v>2</v>
      </c>
      <c r="G11" s="5" t="s">
        <v>35</v>
      </c>
      <c r="J11" s="1" t="s">
        <v>50</v>
      </c>
      <c r="K11" t="s">
        <v>24</v>
      </c>
    </row>
    <row r="12" spans="1:12" ht="40" customHeight="1" x14ac:dyDescent="0.35">
      <c r="B12" s="27"/>
      <c r="C12" s="14" t="s">
        <v>109</v>
      </c>
      <c r="D12" t="e" vm="13">
        <v>#VALUE!</v>
      </c>
      <c r="E12" s="66" t="s">
        <v>133</v>
      </c>
      <c r="F12" s="23">
        <v>2</v>
      </c>
      <c r="G12" s="5" t="s">
        <v>49</v>
      </c>
      <c r="J12" s="1" t="s">
        <v>51</v>
      </c>
      <c r="K12" s="1" t="s">
        <v>52</v>
      </c>
    </row>
    <row r="13" spans="1:12" ht="40" customHeight="1" x14ac:dyDescent="0.35">
      <c r="B13" s="27"/>
      <c r="C13" t="s">
        <v>110</v>
      </c>
      <c r="D13" t="e" vm="14">
        <v>#VALUE!</v>
      </c>
      <c r="F13" s="23" t="s">
        <v>93</v>
      </c>
      <c r="G13" s="5" t="s">
        <v>135</v>
      </c>
      <c r="H13" t="e" vm="38">
        <v>#VALUE!</v>
      </c>
      <c r="I13" s="2" t="s">
        <v>143</v>
      </c>
      <c r="J13" s="1" t="s">
        <v>55</v>
      </c>
      <c r="K13" s="19" t="s">
        <v>57</v>
      </c>
    </row>
    <row r="14" spans="1:12" ht="40" customHeight="1" x14ac:dyDescent="0.35">
      <c r="B14" s="27"/>
      <c r="C14" t="s">
        <v>111</v>
      </c>
      <c r="D14" t="e" vm="32">
        <v>#VALUE!</v>
      </c>
      <c r="E14" s="64" t="s">
        <v>145</v>
      </c>
      <c r="F14" s="23" t="s">
        <v>92</v>
      </c>
      <c r="G14" s="5" t="s">
        <v>146</v>
      </c>
      <c r="J14" s="1" t="s">
        <v>56</v>
      </c>
      <c r="K14" s="19" t="s">
        <v>94</v>
      </c>
    </row>
    <row r="15" spans="1:12" ht="40" customHeight="1" x14ac:dyDescent="0.35">
      <c r="B15" s="27"/>
      <c r="C15" t="s">
        <v>148</v>
      </c>
      <c r="D15" t="e" vm="39">
        <v>#VALUE!</v>
      </c>
      <c r="E15" s="6"/>
      <c r="F15" s="26" t="s">
        <v>138</v>
      </c>
      <c r="G15" s="2" t="s">
        <v>137</v>
      </c>
      <c r="J15" s="1" t="s">
        <v>153</v>
      </c>
      <c r="K15" s="19"/>
    </row>
    <row r="16" spans="1:12" ht="40" customHeight="1" x14ac:dyDescent="0.35">
      <c r="B16" s="27"/>
      <c r="C16" t="s">
        <v>149</v>
      </c>
      <c r="D16" t="e" vm="40">
        <v>#VALUE!</v>
      </c>
      <c r="E16" s="39"/>
      <c r="F16" s="23">
        <v>1</v>
      </c>
      <c r="G16" s="5" t="s">
        <v>144</v>
      </c>
      <c r="H16" s="1"/>
      <c r="I16" s="19"/>
      <c r="J16" s="1" t="s">
        <v>134</v>
      </c>
      <c r="K16" s="19"/>
    </row>
    <row r="17" spans="1:172" ht="40" customHeight="1" x14ac:dyDescent="0.35">
      <c r="A17" s="28"/>
      <c r="B17" s="59" t="s">
        <v>14</v>
      </c>
      <c r="C17" s="16" t="s">
        <v>150</v>
      </c>
      <c r="D17" s="17" t="e" vm="33">
        <v>#VALUE!</v>
      </c>
      <c r="E17" s="66" t="s">
        <v>133</v>
      </c>
      <c r="F17" s="36" t="s">
        <v>40</v>
      </c>
      <c r="G17" s="22" t="s">
        <v>27</v>
      </c>
      <c r="H17" s="16"/>
      <c r="I17" s="18"/>
      <c r="J17" s="16" t="s">
        <v>31</v>
      </c>
      <c r="K17" s="18" t="s">
        <v>30</v>
      </c>
    </row>
    <row r="18" spans="1:172" ht="40" customHeight="1" x14ac:dyDescent="0.35">
      <c r="A18" s="28"/>
      <c r="B18" s="60"/>
      <c r="C18" s="1" t="s">
        <v>151</v>
      </c>
      <c r="D18" s="1" t="e" vm="34">
        <v>#VALUE!</v>
      </c>
      <c r="E18" s="66" t="s">
        <v>133</v>
      </c>
      <c r="F18" s="26">
        <v>1</v>
      </c>
      <c r="G18" s="5" t="s">
        <v>28</v>
      </c>
      <c r="J18" s="1" t="s">
        <v>25</v>
      </c>
      <c r="K18" s="1" t="s">
        <v>29</v>
      </c>
    </row>
    <row r="19" spans="1:172" ht="40" customHeight="1" x14ac:dyDescent="0.35">
      <c r="B19" s="60"/>
      <c r="C19" t="s">
        <v>152</v>
      </c>
      <c r="D19" s="6" t="e" vm="15">
        <v>#VALUE!</v>
      </c>
      <c r="E19" s="66" t="s">
        <v>133</v>
      </c>
      <c r="F19" s="26">
        <v>5</v>
      </c>
      <c r="J19" s="1" t="s">
        <v>32</v>
      </c>
      <c r="K19" s="1" t="s">
        <v>75</v>
      </c>
    </row>
    <row r="20" spans="1:172" ht="40" customHeight="1" x14ac:dyDescent="0.35">
      <c r="B20" s="60"/>
      <c r="C20" s="15" t="s">
        <v>139</v>
      </c>
      <c r="D20" s="1" t="e" vm="19">
        <v>#VALUE!</v>
      </c>
      <c r="E20" s="63"/>
      <c r="F20" s="26" t="s">
        <v>81</v>
      </c>
      <c r="G20" s="5" t="s">
        <v>26</v>
      </c>
      <c r="J20" s="1" t="s">
        <v>70</v>
      </c>
      <c r="K20" s="1" t="s">
        <v>80</v>
      </c>
    </row>
    <row r="21" spans="1:172" s="16" customFormat="1" ht="40" customHeight="1" x14ac:dyDescent="0.35">
      <c r="A21"/>
      <c r="B21" s="58" t="s">
        <v>15</v>
      </c>
      <c r="C21" s="31" t="s">
        <v>140</v>
      </c>
      <c r="D21" s="32" t="e" vm="35">
        <v>#VALUE!</v>
      </c>
      <c r="E21" s="67" t="s">
        <v>133</v>
      </c>
      <c r="F21" s="37">
        <v>2</v>
      </c>
      <c r="G21" s="34" t="s">
        <v>33</v>
      </c>
      <c r="J21" s="33" t="s">
        <v>22</v>
      </c>
      <c r="K21" s="33" t="s">
        <v>71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</row>
    <row r="22" spans="1:172" s="16" customFormat="1" ht="40" customHeight="1" x14ac:dyDescent="0.35">
      <c r="A22"/>
      <c r="B22" s="61" t="s">
        <v>58</v>
      </c>
      <c r="C22" t="s">
        <v>141</v>
      </c>
      <c r="D22" t="e" vm="18">
        <v>#VALUE!</v>
      </c>
      <c r="E22" s="67" t="s">
        <v>133</v>
      </c>
      <c r="F22" s="23" t="s">
        <v>54</v>
      </c>
      <c r="G22" s="24" t="s">
        <v>59</v>
      </c>
      <c r="J22" t="s">
        <v>60</v>
      </c>
      <c r="K22" s="1" t="s">
        <v>61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</row>
    <row r="23" spans="1:172" ht="40" customHeight="1" thickBot="1" x14ac:dyDescent="0.4">
      <c r="A23" s="10"/>
      <c r="B23" s="62"/>
      <c r="C23" s="41" t="s">
        <v>142</v>
      </c>
      <c r="D23" s="12" t="e" vm="20">
        <v>#VALUE!</v>
      </c>
      <c r="E23" s="12"/>
      <c r="F23" s="42" t="s">
        <v>53</v>
      </c>
      <c r="G23" s="10"/>
      <c r="H23" s="10"/>
      <c r="I23" s="11"/>
      <c r="J23" s="10" t="s">
        <v>36</v>
      </c>
      <c r="K23" s="11" t="s">
        <v>62</v>
      </c>
    </row>
    <row r="24" spans="1:172" ht="40" customHeight="1" thickTop="1" x14ac:dyDescent="0.35">
      <c r="B24" s="3"/>
    </row>
    <row r="25" spans="1:172" ht="40" customHeight="1" x14ac:dyDescent="0.35"/>
    <row r="26" spans="1:172" ht="40" customHeight="1" x14ac:dyDescent="0.35"/>
  </sheetData>
  <hyperlinks>
    <hyperlink ref="G7" r:id="rId1" xr:uid="{E15DC029-7D86-4445-8267-31E1A18D31EC}"/>
    <hyperlink ref="G8" r:id="rId2" xr:uid="{3EC28971-E954-45D2-8FD4-C55C1126C492}"/>
    <hyperlink ref="G5" r:id="rId3" xr:uid="{9F82AE82-7D6D-41AB-9AA3-E57758F8B4BC}"/>
    <hyperlink ref="G11" r:id="rId4" xr:uid="{B8AC6A02-5322-4B64-921C-32A3291B7FB9}"/>
    <hyperlink ref="G10" r:id="rId5" xr:uid="{C2B86115-7CDA-4A63-873C-BEEF49695E54}"/>
    <hyperlink ref="G21" r:id="rId6" xr:uid="{B4FA34A9-1185-4BEE-8783-5E435503F5DA}"/>
    <hyperlink ref="G12" r:id="rId7" xr:uid="{3F8D7788-83B1-4FE6-B69A-64BC03EFCDAA}"/>
    <hyperlink ref="G22" r:id="rId8" location="attr=12472,12460,12462,4794,4789,4792,21824,23719,24895" xr:uid="{ED19FAE9-0DAB-4A32-822E-2D0C073EF991}"/>
    <hyperlink ref="G2" r:id="rId9" xr:uid="{B7124D26-BB22-4D93-817D-C932E812D35D}"/>
    <hyperlink ref="G20" r:id="rId10" xr:uid="{9E4BC01E-CF10-4901-8836-E8A90461B27C}"/>
    <hyperlink ref="G17" r:id="rId11" xr:uid="{7D494BD0-90F2-4B24-91D9-F829935120D6}"/>
    <hyperlink ref="G18" r:id="rId12" xr:uid="{EBA282DC-AB60-47EB-9417-101533CA692D}"/>
    <hyperlink ref="G15" r:id="rId13" xr:uid="{4EEB885E-AA8E-4988-85F7-7BF28A4E3143}"/>
    <hyperlink ref="I13" r:id="rId14" xr:uid="{44D7E016-0F26-4CD2-A308-533DD79F449B}"/>
    <hyperlink ref="G13" r:id="rId15" xr:uid="{9FE8AE64-E3DF-4BC4-AE11-B11EE32AA2EC}"/>
    <hyperlink ref="I5" r:id="rId16" xr:uid="{F834702F-A202-489F-932A-CAB74193DADA}"/>
    <hyperlink ref="G6" r:id="rId17" xr:uid="{DD039CFA-981D-49DF-9A29-4C1790B1F9FF}"/>
    <hyperlink ref="I2" r:id="rId18" xr:uid="{0969E230-9AE8-4C67-BEC1-66A52A8D862D}"/>
  </hyperlinks>
  <pageMargins left="0.7" right="0.7" top="0.78740157499999996" bottom="0.78740157499999996" header="0.3" footer="0.3"/>
  <pageSetup paperSize="9" orientation="portrait" horizontalDpi="1200" verticalDpi="1200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Zipper_Ball</vt:lpstr>
      <vt:lpstr>HardwareX_BOM</vt:lpstr>
      <vt:lpstr>Manufacturing_list</vt:lpstr>
      <vt:lpstr>Inventory_list</vt:lpstr>
      <vt:lpstr>Order_list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Horstman</dc:creator>
  <cp:lastModifiedBy>Bart Horstman</cp:lastModifiedBy>
  <cp:lastPrinted>2025-04-22T11:10:49Z</cp:lastPrinted>
  <dcterms:created xsi:type="dcterms:W3CDTF">2015-06-05T18:19:34Z</dcterms:created>
  <dcterms:modified xsi:type="dcterms:W3CDTF">2026-10-07T14:59:30Z</dcterms:modified>
</cp:coreProperties>
</file>